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5" windowWidth="14115" windowHeight="8700" tabRatio="940" activeTab="8"/>
  </bookViews>
  <sheets>
    <sheet name="He so chung" sheetId="38" r:id="rId1"/>
    <sheet name="LUONGNGAY" sheetId="3" r:id="rId2"/>
    <sheet name="BanggiaTB" sheetId="49" r:id="rId3"/>
    <sheet name="BanggiaVL" sheetId="48" r:id="rId4"/>
    <sheet name="BanggiaDC" sheetId="47" r:id="rId5"/>
    <sheet name="TRICH DO-DT" sheetId="40" state="hidden" r:id="rId6"/>
    <sheet name="TRICH DO-NT" sheetId="39" state="hidden" r:id="rId7"/>
    <sheet name="Bang gia" sheetId="34" r:id="rId8"/>
    <sheet name="1,DG-capmoi" sheetId="57" r:id="rId9"/>
    <sheet name="2,DG-capdoi (2)" sheetId="62" r:id="rId10"/>
    <sheet name="2,DG-capdoi" sheetId="59" r:id="rId11"/>
    <sheet name="3,DG-dangkybiendong" sheetId="60" r:id="rId12"/>
    <sheet name="4,DG-trichlucHSDC" sheetId="36" r:id="rId13"/>
    <sheet name="NC_DKDD" sheetId="7" r:id="rId14"/>
    <sheet name="Dcu-DKDD" sheetId="31" r:id="rId15"/>
    <sheet name="VL-DKDD" sheetId="18" r:id="rId16"/>
    <sheet name="TB-DKDD" sheetId="35" r:id="rId17"/>
    <sheet name="NL-DKDD" sheetId="37" r:id="rId18"/>
    <sheet name="Sheet1" sheetId="61" r:id="rId19"/>
  </sheets>
  <definedNames>
    <definedName name="_xlnm._FilterDatabase" localSheetId="8" hidden="1">'1,DG-capmoi'!$A$6:$U$6</definedName>
    <definedName name="_xlnm._FilterDatabase" localSheetId="13" hidden="1">NC_DKDD!$A$1040:$AB$1070</definedName>
    <definedName name="_xlnm.Print_Titles" localSheetId="8">'1,DG-capmoi'!$704:$705</definedName>
    <definedName name="_xlnm.Print_Titles" localSheetId="10">'2,DG-capdoi'!#REF!</definedName>
    <definedName name="_xlnm.Print_Titles" localSheetId="9">'2,DG-capdoi (2)'!#REF!</definedName>
    <definedName name="_xlnm.Print_Titles" localSheetId="12">'4,DG-trichlucHSDC'!$5:$6</definedName>
    <definedName name="_xlnm.Print_Titles" localSheetId="4">BanggiaDC!$3:$3</definedName>
    <definedName name="_xlnm.Print_Titles" localSheetId="3">BanggiaVL!$3:$3</definedName>
  </definedNames>
  <calcPr calcId="144525" fullCalcOnLoad="1"/>
</workbook>
</file>

<file path=xl/calcChain.xml><?xml version="1.0" encoding="utf-8"?>
<calcChain xmlns="http://schemas.openxmlformats.org/spreadsheetml/2006/main">
  <c r="F9" i="7" l="1"/>
  <c r="H9" i="7"/>
  <c r="F23" i="57"/>
  <c r="D22" i="38"/>
  <c r="D23" i="38"/>
  <c r="Q9" i="60"/>
  <c r="F21" i="7"/>
  <c r="H21" i="7"/>
  <c r="F32" i="57"/>
  <c r="F83" i="7"/>
  <c r="H83" i="7"/>
  <c r="F122" i="57"/>
  <c r="F86" i="7"/>
  <c r="H86" i="7"/>
  <c r="F124" i="57"/>
  <c r="F93" i="7"/>
  <c r="H93" i="7"/>
  <c r="F130" i="57"/>
  <c r="F95" i="7"/>
  <c r="F97" i="7"/>
  <c r="H97" i="7"/>
  <c r="F132" i="57"/>
  <c r="F99" i="7"/>
  <c r="H99" i="7"/>
  <c r="F133" i="57"/>
  <c r="F163" i="7"/>
  <c r="H163" i="7"/>
  <c r="F232" i="57"/>
  <c r="F165" i="7"/>
  <c r="H165" i="7"/>
  <c r="F233" i="57"/>
  <c r="F167" i="7"/>
  <c r="H167" i="7"/>
  <c r="F234" i="57"/>
  <c r="F169" i="7"/>
  <c r="H169" i="7"/>
  <c r="F235" i="57"/>
  <c r="F171" i="7"/>
  <c r="H171" i="7"/>
  <c r="F236" i="57"/>
  <c r="F239" i="7"/>
  <c r="H239" i="7"/>
  <c r="F352" i="57"/>
  <c r="F241" i="7"/>
  <c r="H241" i="7"/>
  <c r="F353" i="57"/>
  <c r="F243" i="7"/>
  <c r="H243" i="7"/>
  <c r="F354" i="57"/>
  <c r="F338" i="57"/>
  <c r="F245" i="7"/>
  <c r="H245" i="7"/>
  <c r="F355" i="57"/>
  <c r="F247" i="7"/>
  <c r="H247" i="7"/>
  <c r="F356" i="57"/>
  <c r="F315" i="7"/>
  <c r="H315" i="7"/>
  <c r="F470" i="57"/>
  <c r="F317" i="7"/>
  <c r="H317" i="7"/>
  <c r="F471" i="57"/>
  <c r="F319" i="7"/>
  <c r="H319" i="7"/>
  <c r="F472" i="57"/>
  <c r="F321" i="7"/>
  <c r="H321" i="7"/>
  <c r="F473" i="57"/>
  <c r="F323" i="7"/>
  <c r="H323" i="7"/>
  <c r="F474" i="57"/>
  <c r="R122" i="59"/>
  <c r="R124" i="59"/>
  <c r="R126" i="59"/>
  <c r="R128" i="59"/>
  <c r="R129" i="59"/>
  <c r="R135" i="59"/>
  <c r="R138" i="59"/>
  <c r="R140" i="59"/>
  <c r="R142" i="59"/>
  <c r="R144" i="59"/>
  <c r="R145" i="59"/>
  <c r="R150" i="59"/>
  <c r="R152" i="59"/>
  <c r="R153" i="59"/>
  <c r="R155" i="59"/>
  <c r="R159" i="59"/>
  <c r="R161" i="59"/>
  <c r="R163" i="59"/>
  <c r="R164" i="59"/>
  <c r="R166" i="59"/>
  <c r="R168" i="59"/>
  <c r="R170" i="59"/>
  <c r="R171" i="59"/>
  <c r="R172" i="59"/>
  <c r="R175" i="59"/>
  <c r="R176" i="59"/>
  <c r="R177" i="59"/>
  <c r="R178" i="59"/>
  <c r="R179" i="59"/>
  <c r="R180" i="59"/>
  <c r="R183" i="59"/>
  <c r="R184" i="59"/>
  <c r="R185" i="59"/>
  <c r="R186" i="59"/>
  <c r="R187" i="59"/>
  <c r="R188" i="59"/>
  <c r="O8" i="62"/>
  <c r="P22" i="62"/>
  <c r="P19" i="62"/>
  <c r="D8" i="37"/>
  <c r="E85" i="57"/>
  <c r="G616" i="7"/>
  <c r="G10" i="7"/>
  <c r="G8" i="7"/>
  <c r="F4" i="49"/>
  <c r="F3" i="49"/>
  <c r="D19" i="38"/>
  <c r="D20" i="38"/>
  <c r="D18" i="38"/>
  <c r="F529" i="7"/>
  <c r="H529" i="7"/>
  <c r="F22" i="59"/>
  <c r="F532" i="7"/>
  <c r="H532" i="7"/>
  <c r="F24" i="59"/>
  <c r="F541" i="7"/>
  <c r="H541" i="7"/>
  <c r="F31" i="59"/>
  <c r="G16" i="59"/>
  <c r="F46" i="59"/>
  <c r="F543" i="7"/>
  <c r="H543" i="7"/>
  <c r="F32" i="59"/>
  <c r="G17" i="59"/>
  <c r="F539" i="7"/>
  <c r="H539" i="7"/>
  <c r="F30" i="59"/>
  <c r="H18" i="59"/>
  <c r="F47" i="59"/>
  <c r="H19" i="59"/>
  <c r="H20" i="59"/>
  <c r="G15" i="59"/>
  <c r="F603" i="7"/>
  <c r="H603" i="7"/>
  <c r="F122" i="59"/>
  <c r="F607" i="7"/>
  <c r="H607" i="7"/>
  <c r="F124" i="59"/>
  <c r="F614" i="7"/>
  <c r="H614" i="7"/>
  <c r="F130" i="59"/>
  <c r="G113" i="59"/>
  <c r="I113" i="59"/>
  <c r="J113" i="59"/>
  <c r="K113" i="59"/>
  <c r="F147" i="59"/>
  <c r="F616" i="7"/>
  <c r="G114" i="59"/>
  <c r="I114" i="59"/>
  <c r="J114" i="59"/>
  <c r="K114" i="59"/>
  <c r="F618" i="7"/>
  <c r="H618" i="7"/>
  <c r="F132" i="59"/>
  <c r="G115" i="59"/>
  <c r="H115" i="59"/>
  <c r="I115" i="59"/>
  <c r="J115" i="59"/>
  <c r="K115" i="59"/>
  <c r="F620" i="7"/>
  <c r="H620" i="7"/>
  <c r="F133" i="59"/>
  <c r="G116" i="59"/>
  <c r="I116" i="59"/>
  <c r="J116" i="59"/>
  <c r="K116" i="59"/>
  <c r="I117" i="59"/>
  <c r="J117" i="59"/>
  <c r="K117" i="59"/>
  <c r="F148" i="59"/>
  <c r="I118" i="59"/>
  <c r="J118" i="59"/>
  <c r="K118" i="59"/>
  <c r="H119" i="59"/>
  <c r="I119" i="59"/>
  <c r="J119" i="59"/>
  <c r="K119" i="59"/>
  <c r="I120" i="59"/>
  <c r="J120" i="59"/>
  <c r="K120" i="59"/>
  <c r="G455" i="57"/>
  <c r="G456" i="57"/>
  <c r="G457" i="57"/>
  <c r="G458" i="57"/>
  <c r="G459" i="57"/>
  <c r="G460" i="57"/>
  <c r="G461" i="57"/>
  <c r="G449" i="57"/>
  <c r="G462" i="57"/>
  <c r="G463" i="57"/>
  <c r="G454" i="57"/>
  <c r="G442" i="57"/>
  <c r="R29" i="57"/>
  <c r="R30" i="57"/>
  <c r="R35" i="57"/>
  <c r="R36" i="57"/>
  <c r="R37" i="57"/>
  <c r="R38" i="57"/>
  <c r="R40" i="57"/>
  <c r="R41" i="57"/>
  <c r="R42" i="57"/>
  <c r="R43" i="57"/>
  <c r="R44" i="57"/>
  <c r="R49" i="57"/>
  <c r="R51" i="57"/>
  <c r="R52" i="57"/>
  <c r="R53" i="57"/>
  <c r="R55" i="57"/>
  <c r="R59" i="57"/>
  <c r="R61" i="57"/>
  <c r="R63" i="57"/>
  <c r="R66" i="57"/>
  <c r="R68" i="57"/>
  <c r="R69" i="57"/>
  <c r="R70" i="57"/>
  <c r="R73" i="57"/>
  <c r="R74" i="57"/>
  <c r="R75" i="57"/>
  <c r="R76" i="57"/>
  <c r="R77" i="57"/>
  <c r="R78" i="57"/>
  <c r="R83" i="57"/>
  <c r="R84" i="57"/>
  <c r="R86" i="57"/>
  <c r="R87" i="57"/>
  <c r="R88" i="57"/>
  <c r="R25" i="57"/>
  <c r="R39" i="57"/>
  <c r="R48" i="57"/>
  <c r="G113" i="57"/>
  <c r="F146" i="57"/>
  <c r="E185" i="57"/>
  <c r="G114" i="57"/>
  <c r="G115" i="57"/>
  <c r="G116" i="57"/>
  <c r="F147" i="57"/>
  <c r="F503" i="57"/>
  <c r="R505" i="57"/>
  <c r="R508" i="57"/>
  <c r="R511" i="57"/>
  <c r="R512" i="57"/>
  <c r="R513" i="57"/>
  <c r="R514" i="57"/>
  <c r="R516" i="57"/>
  <c r="R519" i="57"/>
  <c r="R524" i="57"/>
  <c r="R527" i="57"/>
  <c r="R528" i="57"/>
  <c r="R531" i="57"/>
  <c r="R533" i="57"/>
  <c r="R534" i="57"/>
  <c r="R535" i="57"/>
  <c r="R538" i="57"/>
  <c r="R539" i="57"/>
  <c r="R540" i="57"/>
  <c r="R541" i="57"/>
  <c r="R542" i="57"/>
  <c r="R544" i="57"/>
  <c r="R545" i="57"/>
  <c r="R547" i="57"/>
  <c r="F499" i="57"/>
  <c r="G499" i="57"/>
  <c r="F502" i="57"/>
  <c r="F498" i="57"/>
  <c r="G498" i="57"/>
  <c r="R507" i="57"/>
  <c r="R510" i="57"/>
  <c r="R520" i="57"/>
  <c r="R523" i="57"/>
  <c r="R526" i="57"/>
  <c r="G451" i="57"/>
  <c r="R467" i="57"/>
  <c r="R468" i="57"/>
  <c r="R469" i="57"/>
  <c r="R476" i="57"/>
  <c r="R477" i="57"/>
  <c r="R478" i="57"/>
  <c r="R479" i="57"/>
  <c r="R482" i="57"/>
  <c r="R483" i="57"/>
  <c r="R484" i="57"/>
  <c r="R485" i="57"/>
  <c r="R487" i="57"/>
  <c r="R486" i="57"/>
  <c r="G450" i="57"/>
  <c r="G448" i="57"/>
  <c r="G447" i="57"/>
  <c r="G446" i="57"/>
  <c r="R466" i="57"/>
  <c r="R481" i="57"/>
  <c r="G445" i="57"/>
  <c r="G444" i="57"/>
  <c r="G443" i="57"/>
  <c r="F386" i="57"/>
  <c r="F382" i="57"/>
  <c r="R388" i="57"/>
  <c r="R391" i="57"/>
  <c r="R394" i="57"/>
  <c r="R395" i="57"/>
  <c r="R396" i="57"/>
  <c r="R397" i="57"/>
  <c r="R402" i="57"/>
  <c r="R407" i="57"/>
  <c r="R410" i="57"/>
  <c r="R411" i="57"/>
  <c r="R414" i="57"/>
  <c r="R416" i="57"/>
  <c r="R417" i="57"/>
  <c r="R418" i="57"/>
  <c r="R421" i="57"/>
  <c r="R422" i="57"/>
  <c r="R423" i="57"/>
  <c r="R424" i="57"/>
  <c r="R425" i="57"/>
  <c r="R427" i="57"/>
  <c r="R428" i="57"/>
  <c r="R430" i="57"/>
  <c r="G382" i="57"/>
  <c r="F385" i="57"/>
  <c r="F381" i="57"/>
  <c r="R390" i="57"/>
  <c r="R393" i="57"/>
  <c r="R403" i="57"/>
  <c r="R406" i="57"/>
  <c r="R409" i="57"/>
  <c r="G381" i="57"/>
  <c r="G333" i="57"/>
  <c r="R349" i="57"/>
  <c r="R350" i="57"/>
  <c r="R351" i="57"/>
  <c r="R358" i="57"/>
  <c r="R359" i="57"/>
  <c r="R360" i="57"/>
  <c r="R361" i="57"/>
  <c r="R364" i="57"/>
  <c r="R365" i="57"/>
  <c r="R366" i="57"/>
  <c r="R367" i="57"/>
  <c r="R369" i="57"/>
  <c r="G332" i="57"/>
  <c r="G331" i="57"/>
  <c r="G330" i="57"/>
  <c r="G329" i="57"/>
  <c r="G328" i="57"/>
  <c r="R348" i="57"/>
  <c r="R363" i="57"/>
  <c r="G327" i="57"/>
  <c r="G326" i="57"/>
  <c r="G325" i="57"/>
  <c r="G324" i="57"/>
  <c r="R269" i="57"/>
  <c r="R272" i="57"/>
  <c r="R275" i="57"/>
  <c r="R276" i="57"/>
  <c r="R277" i="57"/>
  <c r="R278" i="57"/>
  <c r="R280" i="57"/>
  <c r="R283" i="57"/>
  <c r="R288" i="57"/>
  <c r="R291" i="57"/>
  <c r="R292" i="57"/>
  <c r="R295" i="57"/>
  <c r="R297" i="57"/>
  <c r="R298" i="57"/>
  <c r="R299" i="57"/>
  <c r="R302" i="57"/>
  <c r="R303" i="57"/>
  <c r="R304" i="57"/>
  <c r="R305" i="57"/>
  <c r="R306" i="57"/>
  <c r="R308" i="57"/>
  <c r="R309" i="57"/>
  <c r="R311" i="57"/>
  <c r="F263" i="57"/>
  <c r="G263" i="57"/>
  <c r="R271" i="57"/>
  <c r="R274" i="57"/>
  <c r="R284" i="57"/>
  <c r="R287" i="57"/>
  <c r="R290" i="57"/>
  <c r="F262" i="57"/>
  <c r="G262" i="57"/>
  <c r="G213" i="57"/>
  <c r="R229" i="57"/>
  <c r="R230" i="57"/>
  <c r="R231" i="57"/>
  <c r="R238" i="57"/>
  <c r="R239" i="57"/>
  <c r="R240" i="57"/>
  <c r="R241" i="57"/>
  <c r="R244" i="57"/>
  <c r="R245" i="57"/>
  <c r="R246" i="57"/>
  <c r="R247" i="57"/>
  <c r="R249" i="57"/>
  <c r="G212" i="57"/>
  <c r="G211" i="57"/>
  <c r="G210" i="57"/>
  <c r="G209" i="57"/>
  <c r="G208" i="57"/>
  <c r="R228" i="57"/>
  <c r="R243" i="57"/>
  <c r="G207" i="57"/>
  <c r="G206" i="57"/>
  <c r="G205" i="57"/>
  <c r="G204" i="57"/>
  <c r="R657" i="57"/>
  <c r="R658" i="57"/>
  <c r="R659" i="57"/>
  <c r="R660" i="57"/>
  <c r="R656" i="57"/>
  <c r="J251" i="60"/>
  <c r="R167" i="60"/>
  <c r="R166" i="60"/>
  <c r="R169" i="60"/>
  <c r="R168" i="60"/>
  <c r="R228" i="60"/>
  <c r="R229" i="60"/>
  <c r="R230" i="60"/>
  <c r="R232" i="60"/>
  <c r="R233" i="60"/>
  <c r="R234" i="60"/>
  <c r="R235" i="60"/>
  <c r="R236" i="60"/>
  <c r="R237" i="60"/>
  <c r="R238" i="60"/>
  <c r="R239" i="60"/>
  <c r="R240" i="60"/>
  <c r="R241" i="60"/>
  <c r="R242" i="60"/>
  <c r="R243" i="60"/>
  <c r="R244" i="60"/>
  <c r="R245" i="60"/>
  <c r="R246" i="60"/>
  <c r="R247" i="60"/>
  <c r="R248" i="60"/>
  <c r="R249" i="60"/>
  <c r="R250" i="60"/>
  <c r="R251" i="60"/>
  <c r="R252" i="60"/>
  <c r="R253" i="60"/>
  <c r="R254" i="60"/>
  <c r="R227" i="60"/>
  <c r="H251" i="60"/>
  <c r="I251" i="60"/>
  <c r="O226" i="60"/>
  <c r="G221" i="60"/>
  <c r="F221" i="60"/>
  <c r="G220" i="60"/>
  <c r="F220" i="60"/>
  <c r="R185" i="60"/>
  <c r="R186" i="60"/>
  <c r="R187" i="60"/>
  <c r="R189" i="60"/>
  <c r="R190" i="60"/>
  <c r="R191" i="60"/>
  <c r="R192" i="60"/>
  <c r="R193" i="60"/>
  <c r="R194" i="60"/>
  <c r="R195" i="60"/>
  <c r="R196" i="60"/>
  <c r="R197" i="60"/>
  <c r="R198" i="60"/>
  <c r="R199" i="60"/>
  <c r="R200" i="60"/>
  <c r="R201" i="60"/>
  <c r="R202" i="60"/>
  <c r="R203" i="60"/>
  <c r="R204" i="60"/>
  <c r="R205" i="60"/>
  <c r="R206" i="60"/>
  <c r="R207" i="60"/>
  <c r="R208" i="60"/>
  <c r="R209" i="60"/>
  <c r="R210" i="60"/>
  <c r="R211" i="60"/>
  <c r="R184" i="60"/>
  <c r="H208" i="60"/>
  <c r="I208" i="60"/>
  <c r="J208" i="60"/>
  <c r="O183" i="60"/>
  <c r="G178" i="60"/>
  <c r="F178" i="60"/>
  <c r="G177" i="60"/>
  <c r="F177" i="60"/>
  <c r="R143" i="60"/>
  <c r="R144" i="60"/>
  <c r="R145" i="60"/>
  <c r="R147" i="60"/>
  <c r="R148" i="60"/>
  <c r="R149" i="60"/>
  <c r="R150" i="60"/>
  <c r="R151" i="60"/>
  <c r="R152" i="60"/>
  <c r="R153" i="60"/>
  <c r="R154" i="60"/>
  <c r="R155" i="60"/>
  <c r="R156" i="60"/>
  <c r="R157" i="60"/>
  <c r="R158" i="60"/>
  <c r="R159" i="60"/>
  <c r="R160" i="60"/>
  <c r="R161" i="60"/>
  <c r="R162" i="60"/>
  <c r="R163" i="60"/>
  <c r="R164" i="60"/>
  <c r="R165" i="60"/>
  <c r="R142" i="60"/>
  <c r="H166" i="60"/>
  <c r="I166" i="60"/>
  <c r="J166" i="60"/>
  <c r="O141" i="60"/>
  <c r="G136" i="60"/>
  <c r="F136" i="60"/>
  <c r="G135" i="60"/>
  <c r="F135" i="60"/>
  <c r="R126" i="60"/>
  <c r="R125" i="60"/>
  <c r="R124" i="60"/>
  <c r="R123" i="60"/>
  <c r="R100" i="60"/>
  <c r="R101" i="60"/>
  <c r="R102" i="60"/>
  <c r="R104" i="60"/>
  <c r="R105" i="60"/>
  <c r="R106" i="60"/>
  <c r="R107" i="60"/>
  <c r="R108" i="60"/>
  <c r="R109" i="60"/>
  <c r="R110" i="60"/>
  <c r="R111" i="60"/>
  <c r="R112" i="60"/>
  <c r="R113" i="60"/>
  <c r="R114" i="60"/>
  <c r="R115" i="60"/>
  <c r="R116" i="60"/>
  <c r="R117" i="60"/>
  <c r="R118" i="60"/>
  <c r="R119" i="60"/>
  <c r="R120" i="60"/>
  <c r="R121" i="60"/>
  <c r="R122" i="60"/>
  <c r="R99" i="60"/>
  <c r="H123" i="60"/>
  <c r="I123" i="60"/>
  <c r="J123" i="60"/>
  <c r="O98" i="60"/>
  <c r="G93" i="60"/>
  <c r="F93" i="60"/>
  <c r="G92" i="60"/>
  <c r="F92" i="60"/>
  <c r="R63" i="60"/>
  <c r="R64" i="60"/>
  <c r="R65" i="60"/>
  <c r="R66" i="60"/>
  <c r="R67" i="60"/>
  <c r="R68" i="60"/>
  <c r="R69" i="60"/>
  <c r="R70" i="60"/>
  <c r="R71" i="60"/>
  <c r="R72" i="60"/>
  <c r="R73" i="60"/>
  <c r="R74" i="60"/>
  <c r="R75" i="60"/>
  <c r="R76" i="60"/>
  <c r="R77" i="60"/>
  <c r="R78" i="60"/>
  <c r="R79" i="60"/>
  <c r="R80" i="60"/>
  <c r="R81" i="60"/>
  <c r="R82" i="60"/>
  <c r="R83" i="60"/>
  <c r="R84" i="60"/>
  <c r="R58" i="60"/>
  <c r="R59" i="60"/>
  <c r="R60" i="60"/>
  <c r="R62" i="60"/>
  <c r="R57" i="60"/>
  <c r="R15" i="60"/>
  <c r="R16" i="60"/>
  <c r="J81" i="60"/>
  <c r="I81" i="60"/>
  <c r="H81" i="60"/>
  <c r="O56" i="60"/>
  <c r="G51" i="60"/>
  <c r="F51" i="60"/>
  <c r="G50" i="60"/>
  <c r="F50" i="60"/>
  <c r="R310" i="57"/>
  <c r="R270" i="57"/>
  <c r="R273" i="57"/>
  <c r="R279" i="57"/>
  <c r="R281" i="57"/>
  <c r="R282" i="57"/>
  <c r="R285" i="57"/>
  <c r="R286" i="57"/>
  <c r="R289" i="57"/>
  <c r="R293" i="57"/>
  <c r="R294" i="57"/>
  <c r="R296" i="57"/>
  <c r="R300" i="57"/>
  <c r="R301" i="57"/>
  <c r="R307" i="57"/>
  <c r="R50" i="57"/>
  <c r="R47" i="57"/>
  <c r="R58" i="57"/>
  <c r="R62" i="57"/>
  <c r="R150" i="57"/>
  <c r="R151" i="57"/>
  <c r="R152" i="57"/>
  <c r="R153" i="57"/>
  <c r="R155" i="57"/>
  <c r="R158" i="57"/>
  <c r="R162" i="57"/>
  <c r="R163" i="57"/>
  <c r="R166" i="57"/>
  <c r="R168" i="57"/>
  <c r="R169" i="57"/>
  <c r="R170" i="57"/>
  <c r="R173" i="57"/>
  <c r="R174" i="57"/>
  <c r="R175" i="57"/>
  <c r="R176" i="57"/>
  <c r="R177" i="57"/>
  <c r="R178" i="57"/>
  <c r="R149" i="57"/>
  <c r="R159" i="57"/>
  <c r="R161" i="57"/>
  <c r="R183" i="57"/>
  <c r="R184" i="57"/>
  <c r="R185" i="57"/>
  <c r="R186" i="57"/>
  <c r="R187" i="57"/>
  <c r="R188" i="57"/>
  <c r="R182" i="57"/>
  <c r="R180" i="57"/>
  <c r="R771" i="57"/>
  <c r="R770" i="57"/>
  <c r="R769" i="57"/>
  <c r="R768" i="57"/>
  <c r="R696" i="57"/>
  <c r="R695" i="57"/>
  <c r="R694" i="57"/>
  <c r="R693" i="57"/>
  <c r="R622" i="57"/>
  <c r="R621" i="57"/>
  <c r="R620" i="57"/>
  <c r="R619" i="57"/>
  <c r="R506" i="57"/>
  <c r="R509" i="57"/>
  <c r="R515" i="57"/>
  <c r="R517" i="57"/>
  <c r="R518" i="57"/>
  <c r="R521" i="57"/>
  <c r="R522" i="57"/>
  <c r="R525" i="57"/>
  <c r="R529" i="57"/>
  <c r="R530" i="57"/>
  <c r="R532" i="57"/>
  <c r="R536" i="57"/>
  <c r="R537" i="57"/>
  <c r="R543" i="57"/>
  <c r="R501" i="57"/>
  <c r="R546" i="57"/>
  <c r="H547" i="57"/>
  <c r="R389" i="57"/>
  <c r="R392" i="57"/>
  <c r="R398" i="57"/>
  <c r="R399" i="57"/>
  <c r="R400" i="57"/>
  <c r="R401" i="57"/>
  <c r="R404" i="57"/>
  <c r="R405" i="57"/>
  <c r="R408" i="57"/>
  <c r="R412" i="57"/>
  <c r="R413" i="57"/>
  <c r="R415" i="57"/>
  <c r="R419" i="57"/>
  <c r="R420" i="57"/>
  <c r="R426" i="57"/>
  <c r="R387" i="57"/>
  <c r="R429" i="57"/>
  <c r="R384" i="57"/>
  <c r="H430" i="57"/>
  <c r="R354" i="60"/>
  <c r="R355" i="60"/>
  <c r="R356" i="60"/>
  <c r="R358" i="60"/>
  <c r="R360" i="60"/>
  <c r="R362" i="60"/>
  <c r="R363" i="60"/>
  <c r="R365" i="60"/>
  <c r="R367" i="60"/>
  <c r="R368" i="60"/>
  <c r="R369" i="60"/>
  <c r="R370" i="60"/>
  <c r="R373" i="60"/>
  <c r="R374" i="60"/>
  <c r="R375" i="60"/>
  <c r="R376" i="60"/>
  <c r="R353" i="60"/>
  <c r="R312" i="60"/>
  <c r="R313" i="60"/>
  <c r="R314" i="60"/>
  <c r="R316" i="60"/>
  <c r="R318" i="60"/>
  <c r="R320" i="60"/>
  <c r="R321" i="60"/>
  <c r="R323" i="60"/>
  <c r="R325" i="60"/>
  <c r="R326" i="60"/>
  <c r="R327" i="60"/>
  <c r="R328" i="60"/>
  <c r="R331" i="60"/>
  <c r="R332" i="60"/>
  <c r="R333" i="60"/>
  <c r="R334" i="60"/>
  <c r="R311" i="60"/>
  <c r="R296" i="60"/>
  <c r="R294" i="60"/>
  <c r="R270" i="60"/>
  <c r="R271" i="60"/>
  <c r="R272" i="60"/>
  <c r="R274" i="60"/>
  <c r="R276" i="60"/>
  <c r="R278" i="60"/>
  <c r="R279" i="60"/>
  <c r="R281" i="60"/>
  <c r="R283" i="60"/>
  <c r="R284" i="60"/>
  <c r="R285" i="60"/>
  <c r="R286" i="60"/>
  <c r="R289" i="60"/>
  <c r="R290" i="60"/>
  <c r="R291" i="60"/>
  <c r="R292" i="60"/>
  <c r="R269" i="60"/>
  <c r="H947" i="7"/>
  <c r="E233" i="60"/>
  <c r="H952" i="7"/>
  <c r="E238" i="60"/>
  <c r="H959" i="7"/>
  <c r="E245" i="60"/>
  <c r="H960" i="7"/>
  <c r="E246" i="60"/>
  <c r="R41" i="60"/>
  <c r="R39" i="60"/>
  <c r="R17" i="60"/>
  <c r="R19" i="60"/>
  <c r="R21" i="60"/>
  <c r="Q21" i="60"/>
  <c r="R23" i="60"/>
  <c r="Q23" i="60"/>
  <c r="R24" i="60"/>
  <c r="R26" i="60"/>
  <c r="R28" i="60"/>
  <c r="Q28" i="60"/>
  <c r="R29" i="60"/>
  <c r="R30" i="60"/>
  <c r="R31" i="60"/>
  <c r="R34" i="60"/>
  <c r="Q34" i="60"/>
  <c r="R35" i="60"/>
  <c r="R36" i="60"/>
  <c r="R37" i="60"/>
  <c r="R14" i="60"/>
  <c r="R447" i="59"/>
  <c r="R424" i="59"/>
  <c r="R425" i="59"/>
  <c r="R426" i="59"/>
  <c r="R427" i="59"/>
  <c r="R428" i="59"/>
  <c r="R430" i="59"/>
  <c r="R432" i="59"/>
  <c r="R434" i="59"/>
  <c r="R436" i="59"/>
  <c r="R437" i="59"/>
  <c r="R440" i="59"/>
  <c r="R441" i="59"/>
  <c r="R442" i="59"/>
  <c r="R443" i="59"/>
  <c r="R444" i="59"/>
  <c r="R445" i="59"/>
  <c r="R423" i="59"/>
  <c r="R383" i="59"/>
  <c r="R384" i="59"/>
  <c r="R385" i="59"/>
  <c r="R386" i="59"/>
  <c r="R387" i="59"/>
  <c r="R391" i="59"/>
  <c r="R393" i="59"/>
  <c r="R395" i="59"/>
  <c r="R396" i="59"/>
  <c r="R399" i="59"/>
  <c r="R400" i="59"/>
  <c r="R401" i="59"/>
  <c r="R402" i="59"/>
  <c r="R403" i="59"/>
  <c r="R404" i="59"/>
  <c r="R382" i="59"/>
  <c r="R365" i="59"/>
  <c r="R363" i="59"/>
  <c r="R340" i="59"/>
  <c r="R341" i="59"/>
  <c r="R342" i="59"/>
  <c r="R343" i="59"/>
  <c r="R344" i="59"/>
  <c r="R346" i="59"/>
  <c r="R348" i="59"/>
  <c r="R350" i="59"/>
  <c r="R352" i="59"/>
  <c r="R353" i="59"/>
  <c r="R356" i="59"/>
  <c r="R357" i="59"/>
  <c r="R358" i="59"/>
  <c r="R359" i="59"/>
  <c r="R360" i="59"/>
  <c r="R361" i="59"/>
  <c r="R339" i="59"/>
  <c r="R321" i="59"/>
  <c r="R298" i="59"/>
  <c r="R299" i="59"/>
  <c r="R300" i="59"/>
  <c r="R301" i="59"/>
  <c r="R302" i="59"/>
  <c r="R304" i="59"/>
  <c r="R306" i="59"/>
  <c r="R308" i="59"/>
  <c r="R310" i="59"/>
  <c r="R311" i="59"/>
  <c r="R314" i="59"/>
  <c r="R315" i="59"/>
  <c r="R316" i="59"/>
  <c r="R317" i="59"/>
  <c r="R318" i="59"/>
  <c r="R319" i="59"/>
  <c r="R297" i="59"/>
  <c r="R278" i="59"/>
  <c r="R255" i="59"/>
  <c r="R256" i="59"/>
  <c r="R257" i="59"/>
  <c r="R258" i="59"/>
  <c r="R259" i="59"/>
  <c r="R263" i="59"/>
  <c r="R265" i="59"/>
  <c r="R266" i="59"/>
  <c r="R267" i="59"/>
  <c r="R268" i="59"/>
  <c r="R271" i="59"/>
  <c r="R272" i="59"/>
  <c r="R273" i="59"/>
  <c r="R274" i="59"/>
  <c r="R275" i="59"/>
  <c r="R276" i="59"/>
  <c r="R254" i="59"/>
  <c r="R212" i="59"/>
  <c r="R213" i="59"/>
  <c r="R214" i="59"/>
  <c r="R215" i="59"/>
  <c r="R216" i="59"/>
  <c r="R218" i="59"/>
  <c r="R220" i="59"/>
  <c r="R222" i="59"/>
  <c r="R224" i="59"/>
  <c r="R225" i="59"/>
  <c r="R228" i="59"/>
  <c r="R229" i="59"/>
  <c r="R230" i="59"/>
  <c r="R231" i="59"/>
  <c r="R232" i="59"/>
  <c r="R233" i="59"/>
  <c r="R211" i="59"/>
  <c r="R151" i="59"/>
  <c r="R158" i="59"/>
  <c r="R162" i="59"/>
  <c r="R127" i="59"/>
  <c r="R136" i="59"/>
  <c r="R139" i="59"/>
  <c r="R143" i="59"/>
  <c r="R81" i="59"/>
  <c r="R82" i="59"/>
  <c r="R83" i="59"/>
  <c r="R84" i="59"/>
  <c r="R85" i="59"/>
  <c r="R86" i="59"/>
  <c r="R87" i="59"/>
  <c r="R50" i="59"/>
  <c r="R51" i="59"/>
  <c r="R52" i="59"/>
  <c r="R54" i="59"/>
  <c r="R57" i="59"/>
  <c r="R61" i="59"/>
  <c r="R62" i="59"/>
  <c r="R65" i="59"/>
  <c r="R67" i="59"/>
  <c r="R69" i="59"/>
  <c r="R70" i="59"/>
  <c r="R71" i="59"/>
  <c r="R74" i="59"/>
  <c r="R75" i="59"/>
  <c r="R76" i="59"/>
  <c r="R77" i="59"/>
  <c r="R78" i="59"/>
  <c r="R79" i="59"/>
  <c r="R49" i="59"/>
  <c r="R58" i="59"/>
  <c r="R60" i="59"/>
  <c r="R23" i="59"/>
  <c r="R24" i="59"/>
  <c r="R27" i="59"/>
  <c r="R28" i="59"/>
  <c r="R29" i="59"/>
  <c r="R34" i="59"/>
  <c r="R35" i="59"/>
  <c r="R38" i="59"/>
  <c r="R39" i="59"/>
  <c r="R42" i="59"/>
  <c r="R43" i="59"/>
  <c r="R44" i="59"/>
  <c r="R26" i="59"/>
  <c r="R37" i="59"/>
  <c r="R41" i="59"/>
  <c r="R732" i="57"/>
  <c r="R733" i="57"/>
  <c r="R734" i="57"/>
  <c r="R742" i="57"/>
  <c r="R745" i="57"/>
  <c r="R747" i="57"/>
  <c r="R750" i="57"/>
  <c r="R752" i="57"/>
  <c r="R755" i="57"/>
  <c r="R757" i="57"/>
  <c r="R758" i="57"/>
  <c r="R759" i="57"/>
  <c r="R762" i="57"/>
  <c r="R763" i="57"/>
  <c r="R764" i="57"/>
  <c r="R765" i="57"/>
  <c r="R766" i="57"/>
  <c r="R767" i="57"/>
  <c r="R731" i="57"/>
  <c r="R744" i="57"/>
  <c r="R751" i="57"/>
  <c r="R124" i="57"/>
  <c r="R127" i="57"/>
  <c r="R128" i="57"/>
  <c r="R129" i="57"/>
  <c r="R136" i="57"/>
  <c r="R137" i="57"/>
  <c r="R138" i="57"/>
  <c r="R141" i="57"/>
  <c r="R142" i="57"/>
  <c r="R143" i="57"/>
  <c r="R144" i="57"/>
  <c r="R126" i="57"/>
  <c r="R135" i="57"/>
  <c r="R140" i="57"/>
  <c r="R667" i="57"/>
  <c r="R670" i="57"/>
  <c r="R675" i="57"/>
  <c r="R677" i="57"/>
  <c r="R680" i="57"/>
  <c r="R682" i="57"/>
  <c r="R683" i="57"/>
  <c r="R684" i="57"/>
  <c r="R687" i="57"/>
  <c r="R688" i="57"/>
  <c r="R689" i="57"/>
  <c r="R690" i="57"/>
  <c r="R691" i="57"/>
  <c r="R692" i="57"/>
  <c r="R669" i="57"/>
  <c r="R676" i="57"/>
  <c r="R583" i="57"/>
  <c r="R584" i="57"/>
  <c r="R585" i="57"/>
  <c r="R593" i="57"/>
  <c r="R594" i="57"/>
  <c r="R596" i="57"/>
  <c r="R598" i="57"/>
  <c r="R601" i="57"/>
  <c r="R603" i="57"/>
  <c r="R606" i="57"/>
  <c r="R608" i="57"/>
  <c r="R609" i="57"/>
  <c r="R610" i="57"/>
  <c r="R613" i="57"/>
  <c r="R614" i="57"/>
  <c r="R615" i="57"/>
  <c r="R616" i="57"/>
  <c r="R617" i="57"/>
  <c r="R618" i="57"/>
  <c r="R582" i="57"/>
  <c r="R595" i="57"/>
  <c r="R602" i="57"/>
  <c r="R28" i="57"/>
  <c r="R27" i="57"/>
  <c r="H223" i="7"/>
  <c r="E307" i="57"/>
  <c r="H216" i="7"/>
  <c r="E300" i="57"/>
  <c r="H217" i="7"/>
  <c r="E301" i="57"/>
  <c r="H205" i="7"/>
  <c r="E289" i="57"/>
  <c r="H210" i="7"/>
  <c r="E294" i="57"/>
  <c r="H198" i="7"/>
  <c r="E282" i="57"/>
  <c r="H201" i="7"/>
  <c r="E285" i="57"/>
  <c r="H202" i="7"/>
  <c r="E286" i="57"/>
  <c r="H186" i="7"/>
  <c r="E270" i="57"/>
  <c r="H189" i="7"/>
  <c r="E273" i="57"/>
  <c r="H195" i="7"/>
  <c r="E279" i="57"/>
  <c r="H177" i="7"/>
  <c r="H399" i="7"/>
  <c r="E594" i="57"/>
  <c r="F571" i="57"/>
  <c r="F572" i="57"/>
  <c r="F573" i="57"/>
  <c r="F574" i="57"/>
  <c r="F575" i="57"/>
  <c r="F79" i="62"/>
  <c r="F175" i="62"/>
  <c r="F176" i="62"/>
  <c r="F80" i="62"/>
  <c r="P183" i="62"/>
  <c r="P182" i="62"/>
  <c r="P181" i="62"/>
  <c r="P180" i="62"/>
  <c r="E180" i="62"/>
  <c r="P179" i="62"/>
  <c r="P178" i="62"/>
  <c r="P177" i="62"/>
  <c r="P176" i="62"/>
  <c r="P175" i="62"/>
  <c r="P174" i="62"/>
  <c r="P173" i="62"/>
  <c r="P172" i="62"/>
  <c r="P171" i="62"/>
  <c r="P170" i="62"/>
  <c r="P169" i="62"/>
  <c r="P168" i="62"/>
  <c r="P167" i="62"/>
  <c r="E167" i="62"/>
  <c r="P166" i="62"/>
  <c r="E166" i="62"/>
  <c r="P165" i="62"/>
  <c r="P164" i="62"/>
  <c r="P163" i="62"/>
  <c r="P162" i="62"/>
  <c r="P161" i="62"/>
  <c r="P160" i="62"/>
  <c r="E160" i="62"/>
  <c r="P159" i="62"/>
  <c r="P158" i="62"/>
  <c r="P157" i="62"/>
  <c r="P156" i="62"/>
  <c r="P155" i="62"/>
  <c r="E155" i="62"/>
  <c r="P154" i="62"/>
  <c r="P153" i="62"/>
  <c r="P152" i="62"/>
  <c r="E152" i="62"/>
  <c r="P151" i="62"/>
  <c r="P150" i="62"/>
  <c r="P149" i="62"/>
  <c r="H118" i="7"/>
  <c r="E149" i="62"/>
  <c r="P148" i="62"/>
  <c r="P147" i="62"/>
  <c r="P146" i="62"/>
  <c r="P145" i="62"/>
  <c r="P144" i="62"/>
  <c r="P143" i="62"/>
  <c r="P142" i="62"/>
  <c r="F142" i="62"/>
  <c r="P141" i="62"/>
  <c r="F141" i="62"/>
  <c r="P140" i="62"/>
  <c r="P139" i="62"/>
  <c r="P138" i="62"/>
  <c r="P137" i="62"/>
  <c r="P136" i="62"/>
  <c r="P135" i="62"/>
  <c r="P134" i="62"/>
  <c r="E134" i="62"/>
  <c r="P133" i="62"/>
  <c r="P132" i="62"/>
  <c r="P131" i="62"/>
  <c r="P130" i="62"/>
  <c r="P129" i="62"/>
  <c r="P128" i="62"/>
  <c r="P127" i="62"/>
  <c r="P126" i="62"/>
  <c r="P125" i="62"/>
  <c r="P124" i="62"/>
  <c r="P123" i="62"/>
  <c r="P122" i="62"/>
  <c r="P121" i="62"/>
  <c r="P120" i="62"/>
  <c r="P119" i="62"/>
  <c r="P118" i="62"/>
  <c r="P117" i="62"/>
  <c r="F117" i="62"/>
  <c r="G111" i="62"/>
  <c r="G102" i="62"/>
  <c r="G110" i="62"/>
  <c r="G101" i="62"/>
  <c r="G109" i="62"/>
  <c r="G108" i="62"/>
  <c r="G99" i="62"/>
  <c r="G106" i="62"/>
  <c r="G105" i="62"/>
  <c r="G104" i="62"/>
  <c r="G103" i="62"/>
  <c r="G100" i="62"/>
  <c r="F45" i="62"/>
  <c r="F46" i="62"/>
  <c r="E84" i="62"/>
  <c r="E64" i="62"/>
  <c r="E70" i="62"/>
  <c r="E71" i="62"/>
  <c r="E53" i="62"/>
  <c r="E56" i="62"/>
  <c r="E59" i="62"/>
  <c r="E38" i="62"/>
  <c r="P87" i="62"/>
  <c r="G87" i="62"/>
  <c r="P86" i="62"/>
  <c r="G86" i="62"/>
  <c r="P85" i="62"/>
  <c r="G85" i="62"/>
  <c r="P84" i="62"/>
  <c r="G84" i="62"/>
  <c r="P83" i="62"/>
  <c r="G83" i="62"/>
  <c r="P82" i="62"/>
  <c r="P79" i="62"/>
  <c r="G82" i="62"/>
  <c r="P81" i="62"/>
  <c r="G81" i="62"/>
  <c r="P80" i="62"/>
  <c r="O80" i="62"/>
  <c r="G79" i="62"/>
  <c r="P77" i="62"/>
  <c r="G77" i="62"/>
  <c r="P76" i="62"/>
  <c r="G76" i="62"/>
  <c r="P75" i="62"/>
  <c r="G75" i="62"/>
  <c r="P74" i="62"/>
  <c r="G74" i="62"/>
  <c r="P73" i="62"/>
  <c r="G73" i="62"/>
  <c r="P72" i="62"/>
  <c r="G72" i="62"/>
  <c r="P71" i="62"/>
  <c r="G71" i="62"/>
  <c r="P70" i="62"/>
  <c r="G70" i="62"/>
  <c r="P69" i="62"/>
  <c r="G69" i="62"/>
  <c r="P68" i="62"/>
  <c r="G68" i="62"/>
  <c r="P67" i="62"/>
  <c r="G67" i="62"/>
  <c r="P66" i="62"/>
  <c r="G66" i="62"/>
  <c r="P65" i="62"/>
  <c r="G65" i="62"/>
  <c r="P64" i="62"/>
  <c r="G64" i="62"/>
  <c r="P63" i="62"/>
  <c r="G63" i="62"/>
  <c r="P62" i="62"/>
  <c r="G62" i="62"/>
  <c r="P61" i="62"/>
  <c r="G61" i="62"/>
  <c r="P60" i="62"/>
  <c r="G60" i="62"/>
  <c r="P59" i="62"/>
  <c r="G59" i="62"/>
  <c r="P58" i="62"/>
  <c r="G58" i="62"/>
  <c r="P57" i="62"/>
  <c r="G57" i="62"/>
  <c r="P56" i="62"/>
  <c r="G56" i="62"/>
  <c r="P55" i="62"/>
  <c r="G55" i="62"/>
  <c r="P54" i="62"/>
  <c r="G54" i="62"/>
  <c r="P53" i="62"/>
  <c r="G53" i="62"/>
  <c r="P52" i="62"/>
  <c r="G52" i="62"/>
  <c r="P51" i="62"/>
  <c r="P45" i="62"/>
  <c r="G51" i="62"/>
  <c r="P50" i="62"/>
  <c r="G50" i="62"/>
  <c r="P49" i="62"/>
  <c r="P46" i="62"/>
  <c r="G49" i="62"/>
  <c r="P48" i="62"/>
  <c r="G48" i="62"/>
  <c r="G20" i="62"/>
  <c r="P47" i="62"/>
  <c r="G47" i="62"/>
  <c r="O46" i="62"/>
  <c r="G45" i="62"/>
  <c r="P43" i="62"/>
  <c r="G43" i="62"/>
  <c r="P42" i="62"/>
  <c r="G42" i="62"/>
  <c r="P41" i="62"/>
  <c r="G41" i="62"/>
  <c r="P40" i="62"/>
  <c r="G40" i="62"/>
  <c r="P39" i="62"/>
  <c r="G39" i="62"/>
  <c r="P38" i="62"/>
  <c r="G38" i="62"/>
  <c r="P37" i="62"/>
  <c r="G37" i="62"/>
  <c r="P36" i="62"/>
  <c r="G36" i="62"/>
  <c r="P35" i="62"/>
  <c r="G35" i="62"/>
  <c r="P34" i="62"/>
  <c r="G34" i="62"/>
  <c r="P33" i="62"/>
  <c r="G33" i="62"/>
  <c r="P32" i="62"/>
  <c r="G32" i="62"/>
  <c r="P31" i="62"/>
  <c r="G31" i="62"/>
  <c r="P30" i="62"/>
  <c r="G30" i="62"/>
  <c r="P29" i="62"/>
  <c r="P15" i="62"/>
  <c r="G29" i="62"/>
  <c r="P28" i="62"/>
  <c r="G28" i="62"/>
  <c r="P27" i="62"/>
  <c r="G27" i="62"/>
  <c r="P26" i="62"/>
  <c r="G26" i="62"/>
  <c r="P25" i="62"/>
  <c r="G25" i="62"/>
  <c r="P24" i="62"/>
  <c r="G24" i="62"/>
  <c r="P23" i="62"/>
  <c r="P20" i="62"/>
  <c r="G23" i="62"/>
  <c r="G22" i="62"/>
  <c r="G18" i="62"/>
  <c r="G11" i="62"/>
  <c r="O10" i="62"/>
  <c r="O9" i="62"/>
  <c r="R480" i="57"/>
  <c r="R362" i="57"/>
  <c r="R368" i="57"/>
  <c r="R242" i="57"/>
  <c r="R248" i="57"/>
  <c r="R753" i="57"/>
  <c r="R597" i="57"/>
  <c r="R600" i="57"/>
  <c r="R604" i="57"/>
  <c r="R607" i="57"/>
  <c r="R611" i="57"/>
  <c r="R612" i="57"/>
  <c r="F347" i="60"/>
  <c r="G347" i="60"/>
  <c r="H377" i="60"/>
  <c r="R378" i="60"/>
  <c r="R380" i="60"/>
  <c r="F350" i="60"/>
  <c r="F305" i="60"/>
  <c r="G305" i="60"/>
  <c r="H335" i="60"/>
  <c r="R336" i="60"/>
  <c r="R338" i="60"/>
  <c r="F263" i="60"/>
  <c r="G263" i="60"/>
  <c r="H293" i="60"/>
  <c r="F8" i="60"/>
  <c r="G8" i="60"/>
  <c r="H38" i="60"/>
  <c r="I38" i="60"/>
  <c r="J38" i="60"/>
  <c r="F417" i="59"/>
  <c r="G417" i="59"/>
  <c r="R449" i="59"/>
  <c r="F379" i="59"/>
  <c r="F375" i="59"/>
  <c r="G375" i="59"/>
  <c r="R406" i="59"/>
  <c r="R408" i="59"/>
  <c r="R388" i="59"/>
  <c r="R389" i="59"/>
  <c r="R390" i="59"/>
  <c r="R392" i="59"/>
  <c r="R394" i="59"/>
  <c r="R397" i="59"/>
  <c r="R398" i="59"/>
  <c r="F378" i="59"/>
  <c r="F374" i="59"/>
  <c r="G374" i="59"/>
  <c r="F337" i="59"/>
  <c r="F333" i="59"/>
  <c r="G333" i="59"/>
  <c r="F336" i="59"/>
  <c r="F291" i="59"/>
  <c r="G291" i="59"/>
  <c r="F252" i="59"/>
  <c r="F249" i="59"/>
  <c r="G249" i="59"/>
  <c r="F251" i="59"/>
  <c r="F209" i="59"/>
  <c r="F206" i="59"/>
  <c r="G206" i="59"/>
  <c r="R235" i="59"/>
  <c r="F208" i="59"/>
  <c r="G107" i="59"/>
  <c r="H670" i="7"/>
  <c r="E185" i="59"/>
  <c r="G108" i="59"/>
  <c r="G109" i="59"/>
  <c r="G110" i="59"/>
  <c r="R72" i="59"/>
  <c r="R73" i="59"/>
  <c r="R80" i="59"/>
  <c r="R63" i="59"/>
  <c r="R64" i="59"/>
  <c r="R66" i="59"/>
  <c r="R68" i="59"/>
  <c r="R53" i="59"/>
  <c r="R55" i="59"/>
  <c r="R56" i="59"/>
  <c r="R59" i="59"/>
  <c r="R46" i="59"/>
  <c r="R48" i="59"/>
  <c r="R36" i="59"/>
  <c r="R40" i="59"/>
  <c r="G11" i="59"/>
  <c r="H590" i="7"/>
  <c r="E81" i="59"/>
  <c r="H593" i="7"/>
  <c r="E84" i="59"/>
  <c r="G12" i="59"/>
  <c r="G13" i="59"/>
  <c r="F724" i="57"/>
  <c r="F712" i="57"/>
  <c r="G712" i="57"/>
  <c r="F725" i="57"/>
  <c r="F713" i="57"/>
  <c r="G713" i="57"/>
  <c r="F726" i="57"/>
  <c r="F714" i="57"/>
  <c r="G714" i="57"/>
  <c r="F727" i="57"/>
  <c r="F715" i="57"/>
  <c r="G715" i="57"/>
  <c r="F728" i="57"/>
  <c r="F716" i="57"/>
  <c r="G716" i="57"/>
  <c r="R748" i="57"/>
  <c r="R756" i="57"/>
  <c r="F719" i="57"/>
  <c r="G719" i="57"/>
  <c r="G639" i="57"/>
  <c r="F650" i="57"/>
  <c r="G640" i="57"/>
  <c r="F651" i="57"/>
  <c r="F640" i="57"/>
  <c r="G641" i="57"/>
  <c r="F652" i="57"/>
  <c r="G642" i="57"/>
  <c r="F653" i="57"/>
  <c r="F642" i="57"/>
  <c r="G643" i="57"/>
  <c r="F654" i="57"/>
  <c r="F643" i="57"/>
  <c r="F639" i="57"/>
  <c r="F641" i="57"/>
  <c r="F645" i="57"/>
  <c r="F646" i="57"/>
  <c r="F647" i="57"/>
  <c r="F648" i="57"/>
  <c r="F649" i="57"/>
  <c r="F576" i="57"/>
  <c r="F564" i="57"/>
  <c r="G576" i="57"/>
  <c r="G564" i="57"/>
  <c r="F577" i="57"/>
  <c r="F565" i="57"/>
  <c r="G577" i="57"/>
  <c r="G565" i="57"/>
  <c r="F578" i="57"/>
  <c r="F566" i="57"/>
  <c r="G578" i="57"/>
  <c r="G566" i="57"/>
  <c r="F579" i="57"/>
  <c r="F567" i="57"/>
  <c r="G579" i="57"/>
  <c r="G567" i="57"/>
  <c r="F580" i="57"/>
  <c r="F568" i="57"/>
  <c r="G580" i="57"/>
  <c r="G568" i="57"/>
  <c r="H402" i="7"/>
  <c r="E597" i="57"/>
  <c r="H405" i="7"/>
  <c r="E600" i="57"/>
  <c r="H416" i="7"/>
  <c r="E611" i="57"/>
  <c r="H417" i="7"/>
  <c r="E612" i="57"/>
  <c r="G108" i="57"/>
  <c r="G109" i="57"/>
  <c r="G110" i="57"/>
  <c r="G111" i="57"/>
  <c r="R164" i="57"/>
  <c r="R165" i="57"/>
  <c r="R167" i="57"/>
  <c r="R171" i="57"/>
  <c r="R172" i="57"/>
  <c r="R154" i="57"/>
  <c r="R156" i="57"/>
  <c r="R157" i="57"/>
  <c r="R160" i="57"/>
  <c r="R148" i="57"/>
  <c r="R139" i="57"/>
  <c r="R64" i="57"/>
  <c r="R56" i="57"/>
  <c r="R67" i="57"/>
  <c r="E39" i="57"/>
  <c r="E72" i="57"/>
  <c r="N35" i="37"/>
  <c r="P35" i="37"/>
  <c r="Q50" i="35"/>
  <c r="S50" i="35"/>
  <c r="T50" i="35"/>
  <c r="Q14" i="35"/>
  <c r="S14" i="35"/>
  <c r="P31" i="18"/>
  <c r="N31" i="18"/>
  <c r="R149" i="31"/>
  <c r="Q149" i="31"/>
  <c r="P149" i="31"/>
  <c r="P96" i="31"/>
  <c r="R429" i="59"/>
  <c r="R431" i="59"/>
  <c r="R433" i="59"/>
  <c r="R435" i="59"/>
  <c r="R438" i="59"/>
  <c r="R439" i="59"/>
  <c r="R303" i="59"/>
  <c r="R305" i="59"/>
  <c r="R307" i="59"/>
  <c r="R309" i="59"/>
  <c r="R312" i="59"/>
  <c r="R313" i="59"/>
  <c r="O296" i="59"/>
  <c r="R260" i="59"/>
  <c r="R261" i="59"/>
  <c r="R262" i="59"/>
  <c r="R264" i="59"/>
  <c r="R269" i="59"/>
  <c r="R270" i="59"/>
  <c r="O253" i="59"/>
  <c r="R217" i="59"/>
  <c r="R219" i="59"/>
  <c r="R221" i="59"/>
  <c r="R223" i="59"/>
  <c r="R226" i="59"/>
  <c r="R227" i="59"/>
  <c r="O210" i="59"/>
  <c r="R154" i="59"/>
  <c r="R156" i="59"/>
  <c r="R157" i="59"/>
  <c r="R160" i="59"/>
  <c r="R165" i="59"/>
  <c r="R167" i="59"/>
  <c r="R169" i="59"/>
  <c r="R173" i="59"/>
  <c r="R174" i="59"/>
  <c r="H639" i="7"/>
  <c r="E154" i="59"/>
  <c r="H642" i="7"/>
  <c r="E157" i="59"/>
  <c r="H645" i="7"/>
  <c r="E160" i="59"/>
  <c r="H650" i="7"/>
  <c r="E165" i="59"/>
  <c r="H654" i="7"/>
  <c r="E169" i="59"/>
  <c r="H658" i="7"/>
  <c r="E173" i="59"/>
  <c r="H659" i="7"/>
  <c r="E174" i="59"/>
  <c r="G604" i="7"/>
  <c r="R123" i="59"/>
  <c r="G162" i="7"/>
  <c r="R232" i="57"/>
  <c r="G1046" i="7"/>
  <c r="R357" i="60"/>
  <c r="R359" i="60"/>
  <c r="R361" i="60"/>
  <c r="R364" i="60"/>
  <c r="R366" i="60"/>
  <c r="R371" i="60"/>
  <c r="R372" i="60"/>
  <c r="R377" i="60"/>
  <c r="R379" i="60"/>
  <c r="H1048" i="7"/>
  <c r="E359" i="60"/>
  <c r="H1053" i="7"/>
  <c r="E364" i="60"/>
  <c r="H1060" i="7"/>
  <c r="E371" i="60"/>
  <c r="H1061" i="7"/>
  <c r="E372" i="60"/>
  <c r="E350" i="31"/>
  <c r="F350" i="31"/>
  <c r="E351" i="31"/>
  <c r="F351" i="31"/>
  <c r="E352" i="31"/>
  <c r="F352" i="31"/>
  <c r="E353" i="31"/>
  <c r="F353" i="31"/>
  <c r="E354" i="31"/>
  <c r="F354" i="31"/>
  <c r="E355" i="31"/>
  <c r="F355" i="31"/>
  <c r="E356" i="31"/>
  <c r="F356" i="31"/>
  <c r="E358" i="31"/>
  <c r="F358" i="31"/>
  <c r="H358" i="31"/>
  <c r="E359" i="31"/>
  <c r="F359" i="31"/>
  <c r="E360" i="31"/>
  <c r="F360" i="31"/>
  <c r="H360" i="31"/>
  <c r="D353" i="18"/>
  <c r="J353" i="18"/>
  <c r="D354" i="18"/>
  <c r="J354" i="18"/>
  <c r="D355" i="18"/>
  <c r="J355" i="18"/>
  <c r="D356" i="18"/>
  <c r="J356" i="18"/>
  <c r="K356" i="18"/>
  <c r="D357" i="18"/>
  <c r="J357" i="18"/>
  <c r="D358" i="18"/>
  <c r="J358" i="18"/>
  <c r="D359" i="18"/>
  <c r="J359" i="18"/>
  <c r="D360" i="18"/>
  <c r="J360" i="18"/>
  <c r="D361" i="18"/>
  <c r="J361" i="18"/>
  <c r="D362" i="18"/>
  <c r="J362" i="18"/>
  <c r="D363" i="18"/>
  <c r="J363" i="18"/>
  <c r="D364" i="18"/>
  <c r="J364" i="18"/>
  <c r="K364" i="18"/>
  <c r="D365" i="18"/>
  <c r="J365" i="18"/>
  <c r="D366" i="18"/>
  <c r="J366" i="18"/>
  <c r="D367" i="18"/>
  <c r="J367" i="18"/>
  <c r="K367" i="18"/>
  <c r="D368" i="18"/>
  <c r="J368" i="18"/>
  <c r="E357" i="31"/>
  <c r="F357" i="31"/>
  <c r="L357" i="31"/>
  <c r="M357" i="31"/>
  <c r="G346" i="60"/>
  <c r="F346" i="60"/>
  <c r="G1013" i="7"/>
  <c r="R315" i="60"/>
  <c r="R317" i="60"/>
  <c r="R319" i="60"/>
  <c r="R322" i="60"/>
  <c r="R324" i="60"/>
  <c r="R329" i="60"/>
  <c r="R330" i="60"/>
  <c r="R335" i="60"/>
  <c r="R337" i="60"/>
  <c r="H1015" i="7"/>
  <c r="E317" i="60"/>
  <c r="H1020" i="7"/>
  <c r="E322" i="60"/>
  <c r="H1027" i="7"/>
  <c r="E329" i="60"/>
  <c r="H1028" i="7"/>
  <c r="E330" i="60"/>
  <c r="G304" i="60"/>
  <c r="F304" i="60"/>
  <c r="G979" i="7"/>
  <c r="R273" i="60"/>
  <c r="R275" i="60"/>
  <c r="R277" i="60"/>
  <c r="R280" i="60"/>
  <c r="R282" i="60"/>
  <c r="R287" i="60"/>
  <c r="R288" i="60"/>
  <c r="H981" i="7"/>
  <c r="E275" i="60"/>
  <c r="H986" i="7"/>
  <c r="E280" i="60"/>
  <c r="H993" i="7"/>
  <c r="E287" i="60"/>
  <c r="H994" i="7"/>
  <c r="E288" i="60"/>
  <c r="F262" i="60"/>
  <c r="G262" i="60"/>
  <c r="R293" i="60"/>
  <c r="R295" i="60"/>
  <c r="E291" i="31"/>
  <c r="F291" i="31"/>
  <c r="J291" i="31"/>
  <c r="H291" i="31"/>
  <c r="E292" i="31"/>
  <c r="F292" i="31"/>
  <c r="E293" i="31"/>
  <c r="F293" i="31"/>
  <c r="E294" i="31"/>
  <c r="F294" i="31"/>
  <c r="J294" i="31"/>
  <c r="H294" i="31"/>
  <c r="M294" i="31"/>
  <c r="E295" i="31"/>
  <c r="F295" i="31"/>
  <c r="E296" i="31"/>
  <c r="F296" i="31"/>
  <c r="E297" i="31"/>
  <c r="F297" i="31"/>
  <c r="E298" i="31"/>
  <c r="F298" i="31"/>
  <c r="H298" i="31"/>
  <c r="E299" i="31"/>
  <c r="F299" i="31"/>
  <c r="E300" i="31"/>
  <c r="F300" i="31"/>
  <c r="E301" i="31"/>
  <c r="F301" i="31"/>
  <c r="E302" i="31"/>
  <c r="F302" i="31"/>
  <c r="E303" i="31"/>
  <c r="F303" i="31"/>
  <c r="H303" i="31"/>
  <c r="E304" i="31"/>
  <c r="F304" i="31"/>
  <c r="E305" i="31"/>
  <c r="F305" i="31"/>
  <c r="H305" i="31"/>
  <c r="E306" i="31"/>
  <c r="F306" i="31"/>
  <c r="G945" i="7"/>
  <c r="D293" i="18"/>
  <c r="D294" i="18"/>
  <c r="F294" i="18"/>
  <c r="H294" i="18"/>
  <c r="K294" i="18"/>
  <c r="D301" i="18"/>
  <c r="F301" i="18"/>
  <c r="K301" i="18"/>
  <c r="D302" i="18"/>
  <c r="D303" i="18"/>
  <c r="F303" i="18"/>
  <c r="D305" i="18"/>
  <c r="F305" i="18"/>
  <c r="D306" i="18"/>
  <c r="F306" i="18"/>
  <c r="D307" i="18"/>
  <c r="F307" i="18"/>
  <c r="D295" i="18"/>
  <c r="H295" i="18"/>
  <c r="K295" i="18"/>
  <c r="D296" i="18"/>
  <c r="H296" i="18"/>
  <c r="K296" i="18"/>
  <c r="D297" i="18"/>
  <c r="H297" i="18"/>
  <c r="K297" i="18"/>
  <c r="D298" i="18"/>
  <c r="H298" i="18"/>
  <c r="K298" i="18"/>
  <c r="D299" i="18"/>
  <c r="H299" i="18"/>
  <c r="K299" i="18"/>
  <c r="D300" i="18"/>
  <c r="H300" i="18"/>
  <c r="K300" i="18"/>
  <c r="H303" i="18"/>
  <c r="D304" i="18"/>
  <c r="H304" i="18"/>
  <c r="K304" i="18"/>
  <c r="H305" i="18"/>
  <c r="H307" i="18"/>
  <c r="D308" i="18"/>
  <c r="H308" i="18"/>
  <c r="D309" i="18"/>
  <c r="H309" i="18"/>
  <c r="G911" i="7"/>
  <c r="H913" i="7"/>
  <c r="H918" i="7"/>
  <c r="H925" i="7"/>
  <c r="H926" i="7"/>
  <c r="G877" i="7"/>
  <c r="R20" i="60"/>
  <c r="R22" i="60"/>
  <c r="R25" i="60"/>
  <c r="R27" i="60"/>
  <c r="R32" i="60"/>
  <c r="R33" i="60"/>
  <c r="F7" i="60"/>
  <c r="G7" i="60"/>
  <c r="H879" i="7"/>
  <c r="E63" i="60"/>
  <c r="E20" i="60"/>
  <c r="H884" i="7"/>
  <c r="E68" i="60"/>
  <c r="H891" i="7"/>
  <c r="H892" i="7"/>
  <c r="R38" i="60"/>
  <c r="R40" i="60"/>
  <c r="O13" i="60"/>
  <c r="R446" i="59"/>
  <c r="R448" i="59"/>
  <c r="D264" i="18"/>
  <c r="F264" i="18"/>
  <c r="D265" i="18"/>
  <c r="D272" i="18"/>
  <c r="F272" i="18"/>
  <c r="D273" i="18"/>
  <c r="F273" i="18"/>
  <c r="K273" i="18"/>
  <c r="D276" i="18"/>
  <c r="F276" i="18"/>
  <c r="D277" i="18"/>
  <c r="F277" i="18"/>
  <c r="D278" i="18"/>
  <c r="F278" i="18"/>
  <c r="E233" i="31"/>
  <c r="E262" i="31"/>
  <c r="F262" i="31"/>
  <c r="E234" i="31"/>
  <c r="E263" i="31"/>
  <c r="F263" i="31"/>
  <c r="H263" i="31"/>
  <c r="E235" i="31"/>
  <c r="E264" i="31"/>
  <c r="F264" i="31"/>
  <c r="E236" i="31"/>
  <c r="E265" i="31"/>
  <c r="F265" i="31"/>
  <c r="L265" i="31"/>
  <c r="E237" i="31"/>
  <c r="E266" i="31"/>
  <c r="F266" i="31"/>
  <c r="E238" i="31"/>
  <c r="E267" i="31"/>
  <c r="F267" i="31"/>
  <c r="E240" i="31"/>
  <c r="E269" i="31"/>
  <c r="F269" i="31"/>
  <c r="E243" i="31"/>
  <c r="E244" i="31"/>
  <c r="E273" i="31"/>
  <c r="F273" i="31"/>
  <c r="H273" i="31"/>
  <c r="E246" i="31"/>
  <c r="E275" i="31"/>
  <c r="F275" i="31"/>
  <c r="E247" i="31"/>
  <c r="E276" i="31"/>
  <c r="F276" i="31"/>
  <c r="E248" i="31"/>
  <c r="E277" i="31"/>
  <c r="F277" i="31"/>
  <c r="E239" i="31"/>
  <c r="E268" i="31"/>
  <c r="F268" i="31"/>
  <c r="L268" i="31"/>
  <c r="M268" i="31"/>
  <c r="E241" i="31"/>
  <c r="E270" i="31"/>
  <c r="F270" i="31"/>
  <c r="L270" i="31"/>
  <c r="M270" i="31"/>
  <c r="E242" i="31"/>
  <c r="E271" i="31"/>
  <c r="F271" i="31"/>
  <c r="L271" i="31"/>
  <c r="M271" i="31"/>
  <c r="E245" i="31"/>
  <c r="E274" i="31"/>
  <c r="F274" i="31"/>
  <c r="L274" i="31"/>
  <c r="M274" i="31"/>
  <c r="D266" i="18"/>
  <c r="J266" i="18"/>
  <c r="D267" i="18"/>
  <c r="J267" i="18"/>
  <c r="D268" i="18"/>
  <c r="J268" i="18"/>
  <c r="D269" i="18"/>
  <c r="J269" i="18"/>
  <c r="D270" i="18"/>
  <c r="J270" i="18"/>
  <c r="K270" i="18"/>
  <c r="D271" i="18"/>
  <c r="J271" i="18"/>
  <c r="J273" i="18"/>
  <c r="D274" i="18"/>
  <c r="J274" i="18"/>
  <c r="K274" i="18"/>
  <c r="D275" i="18"/>
  <c r="J275" i="18"/>
  <c r="J277" i="18"/>
  <c r="D279" i="18"/>
  <c r="J279" i="18"/>
  <c r="K279" i="18"/>
  <c r="D280" i="18"/>
  <c r="J280" i="18"/>
  <c r="K280" i="18"/>
  <c r="H855" i="7"/>
  <c r="E438" i="59"/>
  <c r="H856" i="7"/>
  <c r="E439" i="59"/>
  <c r="H846" i="7"/>
  <c r="E429" i="59"/>
  <c r="H850" i="7"/>
  <c r="E433" i="59"/>
  <c r="G416" i="59"/>
  <c r="F416" i="59"/>
  <c r="R405" i="59"/>
  <c r="R407" i="59"/>
  <c r="H814" i="7"/>
  <c r="E388" i="59"/>
  <c r="H818" i="7"/>
  <c r="E392" i="59"/>
  <c r="H823" i="7"/>
  <c r="E397" i="59"/>
  <c r="H824" i="7"/>
  <c r="E398" i="59"/>
  <c r="E134" i="31"/>
  <c r="F134" i="31"/>
  <c r="L134" i="31"/>
  <c r="E135" i="31"/>
  <c r="F135" i="31"/>
  <c r="E136" i="31"/>
  <c r="F136" i="31"/>
  <c r="E137" i="31"/>
  <c r="F137" i="31"/>
  <c r="H137" i="31"/>
  <c r="E141" i="31"/>
  <c r="F141" i="31"/>
  <c r="E142" i="31"/>
  <c r="F142" i="31"/>
  <c r="H142" i="31"/>
  <c r="E144" i="31"/>
  <c r="F144" i="31"/>
  <c r="E145" i="31"/>
  <c r="F145" i="31"/>
  <c r="H145" i="31"/>
  <c r="E146" i="31"/>
  <c r="F146" i="31"/>
  <c r="D136" i="18"/>
  <c r="F136" i="18"/>
  <c r="D137" i="18"/>
  <c r="F137" i="18"/>
  <c r="D138" i="18"/>
  <c r="F138" i="18"/>
  <c r="D139" i="18"/>
  <c r="F139" i="18"/>
  <c r="D140" i="18"/>
  <c r="F140" i="18"/>
  <c r="D141" i="18"/>
  <c r="F141" i="18"/>
  <c r="D142" i="18"/>
  <c r="F142" i="18"/>
  <c r="D143" i="18"/>
  <c r="F143" i="18"/>
  <c r="D144" i="18"/>
  <c r="F144" i="18"/>
  <c r="D145" i="18"/>
  <c r="F145" i="18"/>
  <c r="D146" i="18"/>
  <c r="D147" i="18"/>
  <c r="F147" i="18"/>
  <c r="D148" i="18"/>
  <c r="F148" i="18"/>
  <c r="D149" i="18"/>
  <c r="F149" i="18"/>
  <c r="D150" i="18"/>
  <c r="F150" i="18"/>
  <c r="D151" i="18"/>
  <c r="F151" i="18"/>
  <c r="H338" i="7"/>
  <c r="E506" i="57"/>
  <c r="H341" i="7"/>
  <c r="E509" i="57"/>
  <c r="H347" i="7"/>
  <c r="E515" i="57"/>
  <c r="H350" i="7"/>
  <c r="E518" i="57"/>
  <c r="H353" i="7"/>
  <c r="E521" i="57"/>
  <c r="H354" i="7"/>
  <c r="E522" i="57"/>
  <c r="H357" i="7"/>
  <c r="E525" i="57"/>
  <c r="H362" i="7"/>
  <c r="E530" i="57"/>
  <c r="H368" i="7"/>
  <c r="E536" i="57"/>
  <c r="H369" i="7"/>
  <c r="E537" i="57"/>
  <c r="H375" i="7"/>
  <c r="E543" i="57"/>
  <c r="E81" i="31"/>
  <c r="F81" i="31"/>
  <c r="J81" i="31"/>
  <c r="E82" i="31"/>
  <c r="F82" i="31"/>
  <c r="E83" i="31"/>
  <c r="F83" i="31"/>
  <c r="J83" i="31"/>
  <c r="E84" i="31"/>
  <c r="F84" i="31"/>
  <c r="E85" i="31"/>
  <c r="F85" i="31"/>
  <c r="J85" i="31"/>
  <c r="E86" i="31"/>
  <c r="E87" i="31"/>
  <c r="F87" i="31"/>
  <c r="J87" i="31"/>
  <c r="E88" i="31"/>
  <c r="F88" i="31"/>
  <c r="E89" i="31"/>
  <c r="F89" i="31"/>
  <c r="E90" i="31"/>
  <c r="F90" i="31"/>
  <c r="E91" i="31"/>
  <c r="F91" i="31"/>
  <c r="E92" i="31"/>
  <c r="E93" i="31"/>
  <c r="F93" i="31"/>
  <c r="J93" i="31"/>
  <c r="D77" i="18"/>
  <c r="H77" i="18"/>
  <c r="D78" i="18"/>
  <c r="H78" i="18"/>
  <c r="D79" i="18"/>
  <c r="H79" i="18"/>
  <c r="D80" i="18"/>
  <c r="H80" i="18"/>
  <c r="D81" i="18"/>
  <c r="H81" i="18"/>
  <c r="D82" i="18"/>
  <c r="H82" i="18"/>
  <c r="D83" i="18"/>
  <c r="H83" i="18"/>
  <c r="D84" i="18"/>
  <c r="H84" i="18"/>
  <c r="K84" i="18"/>
  <c r="D86" i="18"/>
  <c r="H86" i="18"/>
  <c r="K86" i="18"/>
  <c r="D87" i="18"/>
  <c r="H87" i="18"/>
  <c r="D88" i="18"/>
  <c r="H88" i="18"/>
  <c r="D89" i="18"/>
  <c r="H89" i="18"/>
  <c r="D90" i="18"/>
  <c r="H90" i="18"/>
  <c r="K90" i="18"/>
  <c r="D91" i="18"/>
  <c r="H91" i="18"/>
  <c r="D92" i="18"/>
  <c r="H92" i="18"/>
  <c r="H262" i="7"/>
  <c r="E389" i="57"/>
  <c r="H265" i="7"/>
  <c r="E392" i="57"/>
  <c r="H271" i="7"/>
  <c r="E398" i="57"/>
  <c r="H274" i="7"/>
  <c r="E401" i="57"/>
  <c r="H277" i="7"/>
  <c r="E404" i="57"/>
  <c r="H278" i="7"/>
  <c r="E405" i="57"/>
  <c r="H281" i="7"/>
  <c r="E408" i="57"/>
  <c r="H286" i="7"/>
  <c r="E413" i="57"/>
  <c r="H292" i="7"/>
  <c r="E419" i="57"/>
  <c r="H293" i="7"/>
  <c r="E420" i="57"/>
  <c r="H299" i="7"/>
  <c r="E426" i="57"/>
  <c r="E44" i="31"/>
  <c r="F44" i="31"/>
  <c r="L44" i="31"/>
  <c r="E45" i="31"/>
  <c r="F45" i="31"/>
  <c r="E46" i="31"/>
  <c r="F46" i="31"/>
  <c r="L46" i="31"/>
  <c r="E47" i="31"/>
  <c r="F47" i="31"/>
  <c r="H47" i="31"/>
  <c r="E48" i="31"/>
  <c r="F48" i="31"/>
  <c r="L48" i="31"/>
  <c r="E49" i="31"/>
  <c r="F49" i="31"/>
  <c r="E50" i="31"/>
  <c r="F50" i="31"/>
  <c r="L50" i="31"/>
  <c r="E51" i="31"/>
  <c r="F51" i="31"/>
  <c r="L51" i="31"/>
  <c r="E52" i="31"/>
  <c r="F52" i="31"/>
  <c r="L52" i="31"/>
  <c r="E53" i="31"/>
  <c r="F53" i="31"/>
  <c r="E54" i="31"/>
  <c r="F54" i="31"/>
  <c r="L54" i="31"/>
  <c r="E55" i="31"/>
  <c r="F55" i="31"/>
  <c r="E56" i="31"/>
  <c r="F56" i="31"/>
  <c r="E57" i="31"/>
  <c r="F57" i="31"/>
  <c r="E58" i="31"/>
  <c r="F58" i="31"/>
  <c r="L58" i="31"/>
  <c r="E59" i="31"/>
  <c r="F59" i="31"/>
  <c r="D43" i="18"/>
  <c r="J43" i="18"/>
  <c r="H43" i="18"/>
  <c r="D44" i="18"/>
  <c r="J44" i="18"/>
  <c r="D45" i="18"/>
  <c r="D46" i="18"/>
  <c r="D47" i="18"/>
  <c r="D48" i="18"/>
  <c r="J48" i="18"/>
  <c r="D52" i="18"/>
  <c r="D53" i="18"/>
  <c r="H53" i="18"/>
  <c r="D54" i="18"/>
  <c r="D55" i="18"/>
  <c r="J55" i="18"/>
  <c r="D56" i="18"/>
  <c r="D57" i="18"/>
  <c r="D58" i="18"/>
  <c r="D59" i="18"/>
  <c r="J59" i="18"/>
  <c r="D61" i="18"/>
  <c r="J61" i="18"/>
  <c r="K61" i="18"/>
  <c r="D62" i="18"/>
  <c r="J62" i="18"/>
  <c r="E154" i="57"/>
  <c r="E157" i="57"/>
  <c r="E160" i="57"/>
  <c r="E165" i="57"/>
  <c r="E171" i="57"/>
  <c r="E172" i="57"/>
  <c r="H44" i="18"/>
  <c r="H48" i="18"/>
  <c r="D49" i="18"/>
  <c r="H49" i="18"/>
  <c r="D50" i="18"/>
  <c r="H50" i="18"/>
  <c r="D51" i="18"/>
  <c r="H55" i="18"/>
  <c r="H59" i="18"/>
  <c r="D8" i="18"/>
  <c r="J8" i="18"/>
  <c r="D9" i="18"/>
  <c r="H9" i="18"/>
  <c r="J9" i="18"/>
  <c r="D10" i="18"/>
  <c r="J10" i="18"/>
  <c r="D11" i="18"/>
  <c r="J11" i="18"/>
  <c r="D12" i="18"/>
  <c r="J12" i="18"/>
  <c r="D13" i="18"/>
  <c r="J13" i="18"/>
  <c r="D17" i="18"/>
  <c r="J17" i="18"/>
  <c r="D18" i="18"/>
  <c r="J18" i="18"/>
  <c r="D19" i="18"/>
  <c r="J19" i="18"/>
  <c r="D20" i="18"/>
  <c r="H20" i="18"/>
  <c r="J20" i="18"/>
  <c r="D21" i="18"/>
  <c r="D22" i="18"/>
  <c r="H22" i="18"/>
  <c r="D23" i="18"/>
  <c r="J23" i="18"/>
  <c r="D24" i="18"/>
  <c r="J24" i="18"/>
  <c r="D26" i="18"/>
  <c r="J26" i="18"/>
  <c r="K26" i="18"/>
  <c r="D27" i="18"/>
  <c r="J27" i="18"/>
  <c r="H13" i="18"/>
  <c r="D14" i="18"/>
  <c r="H14" i="18"/>
  <c r="D15" i="18"/>
  <c r="H15" i="18"/>
  <c r="H18" i="18"/>
  <c r="R345" i="59"/>
  <c r="R347" i="59"/>
  <c r="R349" i="59"/>
  <c r="R351" i="59"/>
  <c r="R354" i="59"/>
  <c r="R355" i="59"/>
  <c r="F332" i="59"/>
  <c r="G332" i="59"/>
  <c r="H780" i="7"/>
  <c r="E345" i="59"/>
  <c r="H784" i="7"/>
  <c r="E349" i="59"/>
  <c r="E354" i="59"/>
  <c r="E355" i="59"/>
  <c r="E160" i="31"/>
  <c r="F160" i="31"/>
  <c r="L160" i="31"/>
  <c r="E161" i="31"/>
  <c r="F161" i="31"/>
  <c r="E162" i="31"/>
  <c r="F162" i="31"/>
  <c r="E163" i="31"/>
  <c r="F163" i="31"/>
  <c r="E164" i="31"/>
  <c r="F164" i="31"/>
  <c r="H164" i="31"/>
  <c r="E165" i="31"/>
  <c r="F165" i="31"/>
  <c r="E166" i="31"/>
  <c r="F166" i="31"/>
  <c r="J166" i="31"/>
  <c r="E167" i="31"/>
  <c r="F167" i="31"/>
  <c r="E168" i="31"/>
  <c r="F168" i="31"/>
  <c r="E169" i="31"/>
  <c r="F169" i="31"/>
  <c r="E170" i="31"/>
  <c r="F170" i="31"/>
  <c r="E171" i="31"/>
  <c r="F171" i="31"/>
  <c r="E173" i="31"/>
  <c r="F173" i="31"/>
  <c r="E174" i="31"/>
  <c r="F174" i="31"/>
  <c r="L174" i="31"/>
  <c r="E175" i="31"/>
  <c r="F175" i="31"/>
  <c r="L175" i="31"/>
  <c r="D166" i="18"/>
  <c r="D167" i="18"/>
  <c r="J167" i="18"/>
  <c r="D168" i="18"/>
  <c r="D169" i="18"/>
  <c r="J169" i="18"/>
  <c r="D170" i="18"/>
  <c r="D171" i="18"/>
  <c r="J171" i="18"/>
  <c r="D172" i="18"/>
  <c r="D173" i="18"/>
  <c r="J173" i="18"/>
  <c r="D174" i="18"/>
  <c r="D175" i="18"/>
  <c r="D176" i="18"/>
  <c r="H176" i="18"/>
  <c r="J176" i="18"/>
  <c r="D177" i="18"/>
  <c r="J177" i="18"/>
  <c r="D178" i="18"/>
  <c r="J178" i="18"/>
  <c r="K178" i="18"/>
  <c r="D179" i="18"/>
  <c r="J179" i="18"/>
  <c r="D180" i="18"/>
  <c r="J180" i="18"/>
  <c r="D181" i="18"/>
  <c r="J181" i="18"/>
  <c r="D182" i="18"/>
  <c r="J182" i="18"/>
  <c r="D183" i="18"/>
  <c r="J183" i="18"/>
  <c r="D184" i="18"/>
  <c r="H184" i="18"/>
  <c r="J184" i="18"/>
  <c r="D185" i="18"/>
  <c r="J185" i="18"/>
  <c r="H557" i="7"/>
  <c r="E48" i="59"/>
  <c r="H562" i="7"/>
  <c r="E53" i="59"/>
  <c r="H565" i="7"/>
  <c r="E56" i="59"/>
  <c r="H568" i="7"/>
  <c r="E59" i="59"/>
  <c r="H573" i="7"/>
  <c r="E64" i="59"/>
  <c r="H577" i="7"/>
  <c r="E68" i="59"/>
  <c r="H581" i="7"/>
  <c r="E72" i="59"/>
  <c r="H582" i="7"/>
  <c r="E73" i="59"/>
  <c r="J160" i="31"/>
  <c r="J162" i="31"/>
  <c r="E172" i="31"/>
  <c r="F172" i="31"/>
  <c r="H166" i="18"/>
  <c r="H178" i="18"/>
  <c r="H180" i="18"/>
  <c r="H182" i="18"/>
  <c r="D186" i="18"/>
  <c r="H186" i="18"/>
  <c r="E196" i="31"/>
  <c r="F196" i="31"/>
  <c r="E197" i="31"/>
  <c r="F197" i="31"/>
  <c r="E198" i="31"/>
  <c r="F198" i="31"/>
  <c r="E199" i="31"/>
  <c r="F199" i="31"/>
  <c r="E200" i="31"/>
  <c r="F200" i="31"/>
  <c r="E201" i="31"/>
  <c r="F201" i="31"/>
  <c r="E202" i="31"/>
  <c r="F202" i="31"/>
  <c r="J202" i="31"/>
  <c r="E203" i="31"/>
  <c r="F203" i="31"/>
  <c r="E204" i="31"/>
  <c r="F204" i="31"/>
  <c r="E205" i="31"/>
  <c r="F205" i="31"/>
  <c r="E206" i="31"/>
  <c r="F206" i="31"/>
  <c r="E207" i="31"/>
  <c r="F207" i="31"/>
  <c r="E208" i="31"/>
  <c r="F208" i="31"/>
  <c r="E209" i="31"/>
  <c r="F209" i="31"/>
  <c r="E210" i="31"/>
  <c r="F210" i="31"/>
  <c r="E211" i="31"/>
  <c r="F211" i="31"/>
  <c r="D200" i="18"/>
  <c r="D201" i="18"/>
  <c r="H201" i="18"/>
  <c r="D202" i="18"/>
  <c r="H202" i="18"/>
  <c r="D203" i="18"/>
  <c r="H203" i="18"/>
  <c r="D204" i="18"/>
  <c r="H204" i="18"/>
  <c r="D205" i="18"/>
  <c r="H205" i="18"/>
  <c r="D206" i="18"/>
  <c r="D207" i="18"/>
  <c r="H207" i="18"/>
  <c r="D208" i="18"/>
  <c r="D209" i="18"/>
  <c r="H209" i="18"/>
  <c r="D210" i="18"/>
  <c r="D211" i="18"/>
  <c r="H211" i="18"/>
  <c r="K211" i="18"/>
  <c r="D212" i="18"/>
  <c r="D213" i="18"/>
  <c r="H213" i="18"/>
  <c r="D214" i="18"/>
  <c r="H214" i="18"/>
  <c r="D216" i="18"/>
  <c r="H216" i="18"/>
  <c r="D217" i="18"/>
  <c r="H217" i="18"/>
  <c r="D219" i="18"/>
  <c r="H219" i="18"/>
  <c r="D220" i="18"/>
  <c r="H220" i="18"/>
  <c r="K220" i="18"/>
  <c r="H202" i="31"/>
  <c r="M202" i="31"/>
  <c r="L202" i="31"/>
  <c r="R362" i="59"/>
  <c r="R364" i="59"/>
  <c r="F233" i="31"/>
  <c r="H233" i="31"/>
  <c r="F234" i="31"/>
  <c r="H234" i="31"/>
  <c r="F235" i="31"/>
  <c r="H235" i="31"/>
  <c r="F236" i="31"/>
  <c r="H236" i="31"/>
  <c r="F237" i="31"/>
  <c r="H237" i="31"/>
  <c r="F238" i="31"/>
  <c r="H238" i="31"/>
  <c r="M238" i="31"/>
  <c r="F240" i="31"/>
  <c r="H240" i="31"/>
  <c r="F244" i="31"/>
  <c r="H244" i="31"/>
  <c r="F246" i="31"/>
  <c r="F247" i="31"/>
  <c r="H247" i="31"/>
  <c r="F248" i="31"/>
  <c r="J248" i="31"/>
  <c r="H248" i="31"/>
  <c r="M248" i="31"/>
  <c r="J234" i="31"/>
  <c r="J236" i="31"/>
  <c r="J238" i="31"/>
  <c r="F239" i="31"/>
  <c r="J239" i="31"/>
  <c r="M239" i="31"/>
  <c r="F241" i="31"/>
  <c r="J241" i="31"/>
  <c r="M241" i="31"/>
  <c r="F242" i="31"/>
  <c r="J242" i="31"/>
  <c r="F245" i="31"/>
  <c r="J245" i="31"/>
  <c r="M245" i="31"/>
  <c r="R320" i="59"/>
  <c r="H749" i="7"/>
  <c r="E303" i="59"/>
  <c r="H753" i="7"/>
  <c r="E307" i="59"/>
  <c r="H758" i="7"/>
  <c r="E312" i="59"/>
  <c r="H759" i="7"/>
  <c r="E313" i="59"/>
  <c r="D234" i="18"/>
  <c r="F234" i="18"/>
  <c r="D243" i="18"/>
  <c r="D246" i="18"/>
  <c r="F246" i="18"/>
  <c r="D247" i="18"/>
  <c r="D235" i="18"/>
  <c r="H235" i="18"/>
  <c r="K235" i="18"/>
  <c r="D236" i="18"/>
  <c r="H236" i="18"/>
  <c r="K236" i="18"/>
  <c r="D237" i="18"/>
  <c r="H237" i="18"/>
  <c r="D238" i="18"/>
  <c r="H238" i="18"/>
  <c r="D239" i="18"/>
  <c r="H239" i="18"/>
  <c r="K239" i="18"/>
  <c r="D240" i="18"/>
  <c r="H240" i="18"/>
  <c r="K240" i="18"/>
  <c r="D241" i="18"/>
  <c r="H241" i="18"/>
  <c r="K241" i="18"/>
  <c r="D242" i="18"/>
  <c r="H242" i="18"/>
  <c r="K242" i="18"/>
  <c r="D244" i="18"/>
  <c r="H244" i="18"/>
  <c r="K244" i="18"/>
  <c r="D245" i="18"/>
  <c r="H245" i="18"/>
  <c r="D248" i="18"/>
  <c r="H248" i="18"/>
  <c r="K248" i="18"/>
  <c r="D249" i="18"/>
  <c r="H249" i="18"/>
  <c r="K249" i="18"/>
  <c r="D250" i="18"/>
  <c r="H250" i="18"/>
  <c r="K250" i="18"/>
  <c r="G290" i="59"/>
  <c r="F290" i="59"/>
  <c r="R277" i="59"/>
  <c r="H718" i="7"/>
  <c r="E260" i="59"/>
  <c r="H722" i="7"/>
  <c r="E264" i="59"/>
  <c r="H727" i="7"/>
  <c r="E269" i="59"/>
  <c r="H728" i="7"/>
  <c r="E270" i="59"/>
  <c r="G248" i="59"/>
  <c r="F248" i="59"/>
  <c r="R234" i="59"/>
  <c r="H686" i="7"/>
  <c r="E217" i="59"/>
  <c r="H690" i="7"/>
  <c r="E221" i="59"/>
  <c r="H695" i="7"/>
  <c r="E226" i="59"/>
  <c r="H696" i="7"/>
  <c r="E227" i="59"/>
  <c r="F205" i="59"/>
  <c r="G205" i="59"/>
  <c r="G619" i="7"/>
  <c r="R133" i="59"/>
  <c r="G617" i="7"/>
  <c r="R132" i="59"/>
  <c r="G615" i="7"/>
  <c r="R131" i="59"/>
  <c r="G613" i="7"/>
  <c r="R130" i="59"/>
  <c r="R137" i="59"/>
  <c r="R141" i="59"/>
  <c r="G106" i="59"/>
  <c r="G105" i="59"/>
  <c r="G104" i="59"/>
  <c r="G103" i="59"/>
  <c r="H624" i="7"/>
  <c r="E137" i="59"/>
  <c r="H628" i="7"/>
  <c r="E141" i="59"/>
  <c r="F167" i="18"/>
  <c r="F168" i="18"/>
  <c r="F169" i="18"/>
  <c r="F171" i="18"/>
  <c r="F172" i="18"/>
  <c r="F173" i="18"/>
  <c r="F176" i="18"/>
  <c r="F177" i="18"/>
  <c r="F178" i="18"/>
  <c r="F179" i="18"/>
  <c r="F180" i="18"/>
  <c r="F181" i="18"/>
  <c r="F182" i="18"/>
  <c r="F183" i="18"/>
  <c r="F184" i="18"/>
  <c r="F185" i="18"/>
  <c r="F186" i="18"/>
  <c r="K186" i="18"/>
  <c r="H160" i="31"/>
  <c r="H168" i="31"/>
  <c r="H175" i="31"/>
  <c r="G528" i="7"/>
  <c r="R22" i="59"/>
  <c r="G542" i="7"/>
  <c r="R32" i="59"/>
  <c r="G540" i="7"/>
  <c r="R31" i="59"/>
  <c r="G538" i="7"/>
  <c r="R30" i="59"/>
  <c r="G10" i="59"/>
  <c r="G9" i="59"/>
  <c r="G8" i="59"/>
  <c r="H551" i="7"/>
  <c r="E40" i="59"/>
  <c r="R678" i="57"/>
  <c r="R679" i="57"/>
  <c r="R681" i="57"/>
  <c r="R685" i="57"/>
  <c r="R686" i="57"/>
  <c r="G442" i="7"/>
  <c r="R664" i="57"/>
  <c r="G443" i="7"/>
  <c r="R665" i="57"/>
  <c r="G444" i="7"/>
  <c r="R666" i="57"/>
  <c r="R668" i="57"/>
  <c r="R671" i="57"/>
  <c r="R672" i="57"/>
  <c r="R673" i="57"/>
  <c r="R674" i="57"/>
  <c r="G439" i="7"/>
  <c r="R661" i="57"/>
  <c r="G440" i="7"/>
  <c r="R662" i="57"/>
  <c r="G441" i="7"/>
  <c r="R663" i="57"/>
  <c r="H463" i="7"/>
  <c r="E685" i="57"/>
  <c r="H464" i="7"/>
  <c r="E686" i="57"/>
  <c r="H446" i="7"/>
  <c r="E668" i="57"/>
  <c r="H449" i="7"/>
  <c r="E671" i="57"/>
  <c r="H452" i="7"/>
  <c r="E674" i="57"/>
  <c r="H457" i="7"/>
  <c r="E679" i="57"/>
  <c r="H438" i="7"/>
  <c r="E660" i="57"/>
  <c r="R605" i="57"/>
  <c r="R599" i="57"/>
  <c r="G393" i="7"/>
  <c r="R588" i="57"/>
  <c r="G394" i="7"/>
  <c r="R589" i="57"/>
  <c r="G395" i="7"/>
  <c r="R590" i="57"/>
  <c r="G396" i="7"/>
  <c r="R591" i="57"/>
  <c r="G397" i="7"/>
  <c r="R592" i="57"/>
  <c r="R586" i="57"/>
  <c r="G392" i="7"/>
  <c r="R587" i="57"/>
  <c r="H410" i="7"/>
  <c r="E605" i="57"/>
  <c r="H391" i="7"/>
  <c r="G322" i="7"/>
  <c r="R474" i="57"/>
  <c r="G320" i="7"/>
  <c r="R473" i="57"/>
  <c r="G314" i="7"/>
  <c r="R470" i="57"/>
  <c r="G318" i="7"/>
  <c r="R472" i="57"/>
  <c r="G316" i="7"/>
  <c r="R471" i="57"/>
  <c r="F77" i="18"/>
  <c r="F78" i="18"/>
  <c r="F79" i="18"/>
  <c r="F80" i="18"/>
  <c r="K80" i="18"/>
  <c r="F81" i="18"/>
  <c r="D85" i="18"/>
  <c r="F85" i="18"/>
  <c r="K85" i="18"/>
  <c r="F86" i="18"/>
  <c r="F89" i="18"/>
  <c r="D93" i="18"/>
  <c r="F93" i="18"/>
  <c r="K93" i="18"/>
  <c r="H81" i="31"/>
  <c r="H83" i="31"/>
  <c r="M83" i="31"/>
  <c r="H85" i="31"/>
  <c r="M85" i="31"/>
  <c r="H87" i="31"/>
  <c r="M87" i="31"/>
  <c r="H93" i="31"/>
  <c r="M93" i="31"/>
  <c r="H329" i="7"/>
  <c r="E480" i="57"/>
  <c r="G246" i="7"/>
  <c r="R356" i="57"/>
  <c r="G244" i="7"/>
  <c r="R355" i="57"/>
  <c r="G242" i="7"/>
  <c r="R354" i="57"/>
  <c r="G240" i="7"/>
  <c r="R353" i="57"/>
  <c r="G238" i="7"/>
  <c r="R352" i="57"/>
  <c r="H253" i="7"/>
  <c r="E362" i="57"/>
  <c r="E242" i="57"/>
  <c r="G486" i="7"/>
  <c r="R736" i="57"/>
  <c r="G491" i="7"/>
  <c r="R741" i="57"/>
  <c r="G490" i="7"/>
  <c r="R740" i="57"/>
  <c r="G489" i="7"/>
  <c r="R739" i="57"/>
  <c r="G488" i="7"/>
  <c r="R738" i="57"/>
  <c r="G487" i="7"/>
  <c r="R737" i="57"/>
  <c r="F723" i="57"/>
  <c r="F711" i="57"/>
  <c r="G723" i="57"/>
  <c r="G711" i="57"/>
  <c r="L137" i="31"/>
  <c r="M137" i="31"/>
  <c r="E138" i="31"/>
  <c r="F138" i="31"/>
  <c r="L138" i="31"/>
  <c r="M138" i="31"/>
  <c r="E139" i="31"/>
  <c r="F139" i="31"/>
  <c r="L139" i="31"/>
  <c r="M139" i="31"/>
  <c r="E140" i="31"/>
  <c r="F140" i="31"/>
  <c r="L140" i="31"/>
  <c r="M140" i="31"/>
  <c r="L142" i="31"/>
  <c r="E143" i="31"/>
  <c r="F143" i="31"/>
  <c r="L143" i="31"/>
  <c r="M143" i="31"/>
  <c r="L145" i="31"/>
  <c r="J136" i="18"/>
  <c r="J137" i="18"/>
  <c r="J138" i="18"/>
  <c r="K138" i="18"/>
  <c r="J139" i="18"/>
  <c r="J140" i="18"/>
  <c r="J141" i="18"/>
  <c r="K141" i="18"/>
  <c r="J142" i="18"/>
  <c r="J143" i="18"/>
  <c r="J144" i="18"/>
  <c r="K144" i="18"/>
  <c r="J145" i="18"/>
  <c r="J147" i="18"/>
  <c r="J148" i="18"/>
  <c r="K148" i="18"/>
  <c r="J149" i="18"/>
  <c r="J150" i="18"/>
  <c r="J151" i="18"/>
  <c r="F722" i="57"/>
  <c r="F710" i="57"/>
  <c r="G722" i="57"/>
  <c r="G710" i="57"/>
  <c r="F721" i="57"/>
  <c r="F709" i="57"/>
  <c r="G721" i="57"/>
  <c r="G709" i="57"/>
  <c r="F720" i="57"/>
  <c r="F708" i="57"/>
  <c r="G720" i="57"/>
  <c r="G708" i="57"/>
  <c r="F707" i="57"/>
  <c r="G707" i="57"/>
  <c r="R735" i="57"/>
  <c r="R743" i="57"/>
  <c r="R746" i="57"/>
  <c r="P746" i="57"/>
  <c r="O746" i="57"/>
  <c r="R749" i="57"/>
  <c r="R754" i="57"/>
  <c r="R760" i="57"/>
  <c r="R761" i="57"/>
  <c r="H485" i="7"/>
  <c r="E735" i="57"/>
  <c r="H493" i="7"/>
  <c r="E743" i="57"/>
  <c r="H496" i="7"/>
  <c r="E746" i="57"/>
  <c r="H499" i="7"/>
  <c r="E749" i="57"/>
  <c r="H504" i="7"/>
  <c r="E754" i="57"/>
  <c r="H510" i="7"/>
  <c r="E760" i="57"/>
  <c r="H511" i="7"/>
  <c r="E761" i="57"/>
  <c r="F638" i="57"/>
  <c r="G649" i="57"/>
  <c r="G638" i="57"/>
  <c r="F637" i="57"/>
  <c r="G648" i="57"/>
  <c r="G637" i="57"/>
  <c r="F636" i="57"/>
  <c r="G647" i="57"/>
  <c r="G636" i="57"/>
  <c r="F635" i="57"/>
  <c r="G646" i="57"/>
  <c r="G635" i="57"/>
  <c r="F634" i="57"/>
  <c r="G645" i="57"/>
  <c r="G634" i="57"/>
  <c r="F563" i="57"/>
  <c r="G575" i="57"/>
  <c r="G563" i="57"/>
  <c r="F562" i="57"/>
  <c r="G574" i="57"/>
  <c r="G562" i="57"/>
  <c r="F561" i="57"/>
  <c r="G573" i="57"/>
  <c r="G561" i="57"/>
  <c r="F560" i="57"/>
  <c r="G572" i="57"/>
  <c r="G560" i="57"/>
  <c r="F559" i="57"/>
  <c r="G571" i="57"/>
  <c r="G559" i="57"/>
  <c r="E8" i="31"/>
  <c r="F8" i="31"/>
  <c r="E9" i="31"/>
  <c r="F9" i="31"/>
  <c r="E10" i="31"/>
  <c r="F10" i="31"/>
  <c r="H10" i="31"/>
  <c r="E11" i="31"/>
  <c r="F11" i="31"/>
  <c r="E12" i="31"/>
  <c r="F12" i="31"/>
  <c r="J12" i="31"/>
  <c r="E13" i="31"/>
  <c r="F13" i="31"/>
  <c r="E14" i="31"/>
  <c r="F14" i="31"/>
  <c r="E15" i="31"/>
  <c r="F15" i="31"/>
  <c r="E16" i="31"/>
  <c r="F16" i="31"/>
  <c r="J16" i="31"/>
  <c r="E17" i="31"/>
  <c r="F17" i="31"/>
  <c r="E18" i="31"/>
  <c r="F18" i="31"/>
  <c r="E19" i="31"/>
  <c r="F19" i="31"/>
  <c r="E20" i="31"/>
  <c r="F20" i="31"/>
  <c r="E21" i="31"/>
  <c r="F21" i="31"/>
  <c r="E22" i="31"/>
  <c r="F22" i="31"/>
  <c r="E23" i="31"/>
  <c r="F23" i="31"/>
  <c r="H23" i="31"/>
  <c r="E60" i="57"/>
  <c r="E65" i="57"/>
  <c r="E71" i="57"/>
  <c r="E54" i="57"/>
  <c r="E57" i="57"/>
  <c r="E139" i="57"/>
  <c r="G164" i="7"/>
  <c r="R233" i="57"/>
  <c r="G166" i="7"/>
  <c r="R234" i="57"/>
  <c r="G168" i="7"/>
  <c r="R235" i="57"/>
  <c r="Q235" i="57"/>
  <c r="G170" i="7"/>
  <c r="R236" i="57"/>
  <c r="G84" i="7"/>
  <c r="G92" i="7"/>
  <c r="G94" i="7"/>
  <c r="G96" i="7"/>
  <c r="G98" i="7"/>
  <c r="G82" i="7"/>
  <c r="G107" i="57"/>
  <c r="H44" i="31"/>
  <c r="H46" i="31"/>
  <c r="H48" i="31"/>
  <c r="H50" i="31"/>
  <c r="H52" i="31"/>
  <c r="H54" i="31"/>
  <c r="H58" i="31"/>
  <c r="F43" i="18"/>
  <c r="K43" i="18"/>
  <c r="F44" i="18"/>
  <c r="K44" i="18"/>
  <c r="F45" i="18"/>
  <c r="F46" i="18"/>
  <c r="F47" i="18"/>
  <c r="F54" i="18"/>
  <c r="F55" i="18"/>
  <c r="F56" i="18"/>
  <c r="F57" i="18"/>
  <c r="D60" i="18"/>
  <c r="F60" i="18"/>
  <c r="D63" i="18"/>
  <c r="F63" i="18"/>
  <c r="K63" i="18"/>
  <c r="G106" i="57"/>
  <c r="G95" i="7"/>
  <c r="H95" i="7"/>
  <c r="F131" i="57"/>
  <c r="G105" i="57"/>
  <c r="G104" i="57"/>
  <c r="G18" i="7"/>
  <c r="R31" i="57"/>
  <c r="G22" i="7"/>
  <c r="R33" i="57"/>
  <c r="G20" i="7"/>
  <c r="R32" i="57"/>
  <c r="F8" i="18"/>
  <c r="F9" i="18"/>
  <c r="F10" i="18"/>
  <c r="F11" i="18"/>
  <c r="D16" i="18"/>
  <c r="F16" i="18"/>
  <c r="K16" i="18"/>
  <c r="F17" i="18"/>
  <c r="F19" i="18"/>
  <c r="F20" i="18"/>
  <c r="F22" i="18"/>
  <c r="D25" i="18"/>
  <c r="F25" i="18"/>
  <c r="K25" i="18"/>
  <c r="F27" i="18"/>
  <c r="D28" i="18"/>
  <c r="F28" i="18"/>
  <c r="R71" i="57"/>
  <c r="R65" i="57"/>
  <c r="R60" i="57"/>
  <c r="R57" i="57"/>
  <c r="R54" i="57"/>
  <c r="J23" i="31"/>
  <c r="H1066" i="7"/>
  <c r="H1068" i="7"/>
  <c r="H1033" i="7"/>
  <c r="H1035" i="7"/>
  <c r="H999" i="7"/>
  <c r="H1001" i="7"/>
  <c r="H965" i="7"/>
  <c r="H967" i="7"/>
  <c r="H931" i="7"/>
  <c r="H933" i="7"/>
  <c r="H897" i="7"/>
  <c r="H899" i="7"/>
  <c r="H863" i="7"/>
  <c r="H865" i="7"/>
  <c r="H831" i="7"/>
  <c r="H833" i="7"/>
  <c r="H797" i="7"/>
  <c r="H799" i="7"/>
  <c r="H766" i="7"/>
  <c r="H735" i="7"/>
  <c r="H703" i="7"/>
  <c r="H633" i="7"/>
  <c r="H634" i="7"/>
  <c r="H666" i="7"/>
  <c r="H667" i="7"/>
  <c r="H621" i="7"/>
  <c r="H608" i="7"/>
  <c r="H544" i="7"/>
  <c r="H547" i="7"/>
  <c r="H556" i="7"/>
  <c r="H589" i="7"/>
  <c r="H533" i="7"/>
  <c r="H518" i="7"/>
  <c r="H520" i="7"/>
  <c r="E491" i="7"/>
  <c r="E490" i="7"/>
  <c r="E489" i="7"/>
  <c r="E488" i="7"/>
  <c r="H471" i="7"/>
  <c r="H473" i="7"/>
  <c r="E444" i="7"/>
  <c r="E443" i="7"/>
  <c r="E442" i="7"/>
  <c r="E441" i="7"/>
  <c r="H424" i="7"/>
  <c r="H426" i="7"/>
  <c r="H378" i="7"/>
  <c r="H335" i="7"/>
  <c r="H336" i="7"/>
  <c r="H324" i="7"/>
  <c r="H259" i="7"/>
  <c r="E384" i="57"/>
  <c r="H260" i="7"/>
  <c r="E387" i="57"/>
  <c r="H302" i="7"/>
  <c r="H248" i="7"/>
  <c r="H226" i="7"/>
  <c r="H183" i="7"/>
  <c r="H184" i="7"/>
  <c r="H172" i="7"/>
  <c r="J3" i="3"/>
  <c r="P417" i="59"/>
  <c r="D83" i="37"/>
  <c r="F115" i="35"/>
  <c r="E7" i="35"/>
  <c r="E25" i="35"/>
  <c r="E44" i="35"/>
  <c r="E78" i="35"/>
  <c r="E95" i="35"/>
  <c r="F116" i="35"/>
  <c r="E8" i="35"/>
  <c r="E26" i="35"/>
  <c r="F119" i="35"/>
  <c r="E11" i="35"/>
  <c r="E29" i="35"/>
  <c r="F120" i="35"/>
  <c r="E12" i="35"/>
  <c r="E30" i="35"/>
  <c r="E49" i="35"/>
  <c r="F122" i="35"/>
  <c r="E13" i="35"/>
  <c r="E101" i="35"/>
  <c r="E122" i="35"/>
  <c r="G122" i="35"/>
  <c r="M122" i="35"/>
  <c r="N122" i="35"/>
  <c r="F117" i="35"/>
  <c r="E9" i="35"/>
  <c r="E27" i="35"/>
  <c r="E46" i="35"/>
  <c r="F118" i="35"/>
  <c r="G118" i="35"/>
  <c r="K118" i="35"/>
  <c r="N118" i="35"/>
  <c r="F121" i="35"/>
  <c r="G121" i="35"/>
  <c r="K121" i="35"/>
  <c r="N121" i="35"/>
  <c r="J209" i="18"/>
  <c r="D71" i="37"/>
  <c r="F95" i="35"/>
  <c r="F96" i="35"/>
  <c r="F99" i="35"/>
  <c r="F100" i="35"/>
  <c r="F101" i="35"/>
  <c r="F97" i="35"/>
  <c r="F98" i="35"/>
  <c r="G98" i="35"/>
  <c r="D107" i="37"/>
  <c r="J107" i="37"/>
  <c r="F153" i="35"/>
  <c r="F154" i="35"/>
  <c r="F155" i="35"/>
  <c r="F156" i="35"/>
  <c r="F157" i="35"/>
  <c r="F158" i="35"/>
  <c r="K266" i="18"/>
  <c r="K267" i="18"/>
  <c r="K268" i="18"/>
  <c r="K269" i="18"/>
  <c r="K271" i="18"/>
  <c r="K275" i="18"/>
  <c r="D95" i="37"/>
  <c r="H95" i="37"/>
  <c r="F136" i="35"/>
  <c r="F137" i="35"/>
  <c r="F138" i="35"/>
  <c r="F139" i="35"/>
  <c r="F140" i="35"/>
  <c r="F141" i="35"/>
  <c r="K245" i="18"/>
  <c r="R11" i="36"/>
  <c r="R13" i="36"/>
  <c r="R16" i="36"/>
  <c r="E320" i="31"/>
  <c r="E321" i="31"/>
  <c r="E322" i="31"/>
  <c r="E323" i="31"/>
  <c r="E324" i="31"/>
  <c r="E325" i="31"/>
  <c r="E378" i="31"/>
  <c r="F378" i="31"/>
  <c r="H378" i="31"/>
  <c r="E326" i="31"/>
  <c r="E379" i="31"/>
  <c r="F379" i="31"/>
  <c r="H379" i="31"/>
  <c r="E327" i="31"/>
  <c r="E328" i="31"/>
  <c r="E329" i="31"/>
  <c r="E382" i="31"/>
  <c r="F382" i="31"/>
  <c r="H382" i="31"/>
  <c r="E330" i="31"/>
  <c r="E331" i="31"/>
  <c r="E332" i="31"/>
  <c r="E333" i="31"/>
  <c r="E386" i="31"/>
  <c r="F386" i="31"/>
  <c r="H386" i="31"/>
  <c r="E334" i="31"/>
  <c r="E387" i="31"/>
  <c r="F387" i="31"/>
  <c r="H387" i="31"/>
  <c r="E335" i="31"/>
  <c r="D381" i="18"/>
  <c r="F381" i="18"/>
  <c r="D382" i="18"/>
  <c r="F382" i="18"/>
  <c r="D383" i="18"/>
  <c r="F383" i="18"/>
  <c r="D384" i="18"/>
  <c r="F384" i="18"/>
  <c r="D385" i="18"/>
  <c r="F385" i="18"/>
  <c r="D386" i="18"/>
  <c r="F386" i="18"/>
  <c r="F222" i="35"/>
  <c r="G222" i="35"/>
  <c r="I222" i="35"/>
  <c r="F223" i="35"/>
  <c r="G223" i="35"/>
  <c r="I223" i="35"/>
  <c r="F224" i="35"/>
  <c r="G224" i="35"/>
  <c r="I224" i="35"/>
  <c r="F225" i="35"/>
  <c r="G225" i="35"/>
  <c r="I225" i="35"/>
  <c r="D148" i="37"/>
  <c r="F148" i="37"/>
  <c r="F149" i="37"/>
  <c r="F19" i="47"/>
  <c r="F15" i="49"/>
  <c r="F51" i="47"/>
  <c r="R18" i="34"/>
  <c r="F22" i="49"/>
  <c r="F21" i="49"/>
  <c r="F20" i="49"/>
  <c r="F9" i="49"/>
  <c r="F6" i="34"/>
  <c r="R6" i="34"/>
  <c r="F7" i="34"/>
  <c r="R7" i="34"/>
  <c r="F8" i="34"/>
  <c r="R8" i="34"/>
  <c r="F9" i="34"/>
  <c r="R9" i="34"/>
  <c r="F10" i="34"/>
  <c r="R10" i="34"/>
  <c r="F11" i="34"/>
  <c r="R11" i="34"/>
  <c r="F12" i="34"/>
  <c r="R12" i="34"/>
  <c r="F13" i="34"/>
  <c r="R13" i="34"/>
  <c r="F14" i="34"/>
  <c r="F15" i="34"/>
  <c r="R15" i="34"/>
  <c r="F16" i="34"/>
  <c r="R16" i="34"/>
  <c r="F17" i="34"/>
  <c r="R17" i="34"/>
  <c r="F18" i="34"/>
  <c r="F19" i="34"/>
  <c r="R19" i="34"/>
  <c r="F20" i="34"/>
  <c r="R20" i="34"/>
  <c r="F21" i="34"/>
  <c r="R21" i="34"/>
  <c r="F22" i="34"/>
  <c r="R22" i="34"/>
  <c r="F23" i="34"/>
  <c r="F24" i="34"/>
  <c r="F25" i="34"/>
  <c r="F8" i="37"/>
  <c r="D22" i="37"/>
  <c r="F22" i="37"/>
  <c r="D34" i="37"/>
  <c r="D46" i="37"/>
  <c r="F46" i="37"/>
  <c r="F47" i="37"/>
  <c r="D59" i="37"/>
  <c r="J59" i="37"/>
  <c r="D119" i="37"/>
  <c r="F119" i="37"/>
  <c r="D132" i="37"/>
  <c r="D141" i="37"/>
  <c r="J141" i="37"/>
  <c r="J142" i="37"/>
  <c r="F7" i="35"/>
  <c r="G7" i="35"/>
  <c r="F8" i="35"/>
  <c r="G8" i="35"/>
  <c r="K8" i="35"/>
  <c r="F9" i="35"/>
  <c r="G9" i="35"/>
  <c r="F10" i="35"/>
  <c r="G10" i="35"/>
  <c r="K10" i="35"/>
  <c r="N10" i="35"/>
  <c r="F11" i="35"/>
  <c r="G11" i="35"/>
  <c r="I11" i="35"/>
  <c r="F12" i="35"/>
  <c r="G12" i="35"/>
  <c r="F13" i="35"/>
  <c r="F25" i="35"/>
  <c r="G25" i="35"/>
  <c r="F26" i="35"/>
  <c r="G26" i="35"/>
  <c r="M26" i="35"/>
  <c r="F27" i="35"/>
  <c r="F28" i="35"/>
  <c r="G28" i="35"/>
  <c r="K28" i="35"/>
  <c r="N28" i="35"/>
  <c r="F29" i="35"/>
  <c r="F30" i="35"/>
  <c r="G30" i="35"/>
  <c r="F31" i="35"/>
  <c r="F44" i="35"/>
  <c r="F45" i="35"/>
  <c r="F46" i="35"/>
  <c r="F47" i="35"/>
  <c r="G47" i="35"/>
  <c r="K47" i="35"/>
  <c r="N47" i="35"/>
  <c r="F48" i="35"/>
  <c r="F49" i="35"/>
  <c r="F61" i="35"/>
  <c r="F62" i="35"/>
  <c r="F63" i="35"/>
  <c r="E64" i="35"/>
  <c r="F64" i="35"/>
  <c r="F65" i="35"/>
  <c r="F66" i="35"/>
  <c r="G66" i="35"/>
  <c r="K66" i="35"/>
  <c r="N66" i="35"/>
  <c r="F78" i="35"/>
  <c r="F79" i="35"/>
  <c r="F80" i="35"/>
  <c r="F81" i="35"/>
  <c r="G81" i="35"/>
  <c r="M81" i="35"/>
  <c r="N81" i="35"/>
  <c r="F82" i="35"/>
  <c r="F83" i="35"/>
  <c r="E118" i="35"/>
  <c r="F170" i="35"/>
  <c r="F171" i="35"/>
  <c r="F172" i="35"/>
  <c r="F173" i="35"/>
  <c r="F174" i="35"/>
  <c r="F175" i="35"/>
  <c r="F188" i="35"/>
  <c r="F189" i="35"/>
  <c r="F190" i="35"/>
  <c r="F191" i="35"/>
  <c r="F192" i="35"/>
  <c r="F193" i="35"/>
  <c r="F206" i="35"/>
  <c r="F207" i="35"/>
  <c r="F208" i="35"/>
  <c r="F209" i="35"/>
  <c r="F210" i="35"/>
  <c r="F211" i="35"/>
  <c r="K14" i="18"/>
  <c r="K15" i="18"/>
  <c r="K50" i="18"/>
  <c r="K62" i="18"/>
  <c r="K82" i="18"/>
  <c r="K83" i="18"/>
  <c r="K87" i="18"/>
  <c r="K88" i="18"/>
  <c r="K91" i="18"/>
  <c r="D121" i="18"/>
  <c r="H121" i="18"/>
  <c r="K121" i="18"/>
  <c r="J211" i="18"/>
  <c r="D215" i="18"/>
  <c r="J215" i="18"/>
  <c r="K215" i="18"/>
  <c r="D218" i="18"/>
  <c r="J218" i="18"/>
  <c r="K218" i="18"/>
  <c r="K308" i="18"/>
  <c r="K309" i="18"/>
  <c r="D323" i="18"/>
  <c r="D324" i="18"/>
  <c r="F324" i="18"/>
  <c r="D325" i="18"/>
  <c r="D326" i="18"/>
  <c r="D327" i="18"/>
  <c r="H327" i="18"/>
  <c r="K327" i="18"/>
  <c r="D328" i="18"/>
  <c r="H328" i="18"/>
  <c r="K328" i="18"/>
  <c r="D329" i="18"/>
  <c r="H329" i="18"/>
  <c r="K329" i="18"/>
  <c r="D330" i="18"/>
  <c r="H330" i="18"/>
  <c r="K330" i="18"/>
  <c r="D331" i="18"/>
  <c r="D332" i="18"/>
  <c r="H332" i="18"/>
  <c r="D333" i="18"/>
  <c r="H333" i="18"/>
  <c r="K333" i="18"/>
  <c r="D334" i="18"/>
  <c r="F334" i="18"/>
  <c r="D335" i="18"/>
  <c r="F335" i="18"/>
  <c r="K335" i="18"/>
  <c r="H335" i="18"/>
  <c r="D336" i="18"/>
  <c r="H336" i="18"/>
  <c r="D337" i="18"/>
  <c r="D338" i="18"/>
  <c r="F338" i="18"/>
  <c r="K338" i="18"/>
  <c r="D339" i="18"/>
  <c r="H339" i="18"/>
  <c r="K339" i="18"/>
  <c r="K354" i="18"/>
  <c r="K355" i="18"/>
  <c r="K357" i="18"/>
  <c r="K358" i="18"/>
  <c r="K359" i="18"/>
  <c r="K360" i="18"/>
  <c r="K361" i="18"/>
  <c r="K362" i="18"/>
  <c r="K363" i="18"/>
  <c r="K365" i="18"/>
  <c r="K366" i="18"/>
  <c r="K368" i="18"/>
  <c r="E111" i="31"/>
  <c r="F111" i="31"/>
  <c r="E114" i="31"/>
  <c r="F114" i="31"/>
  <c r="H114" i="31"/>
  <c r="L249" i="31"/>
  <c r="L250" i="31"/>
  <c r="F8" i="36"/>
  <c r="F9" i="36"/>
  <c r="F21" i="36"/>
  <c r="R14" i="36"/>
  <c r="R17" i="36"/>
  <c r="P6" i="39"/>
  <c r="G6" i="39"/>
  <c r="E9" i="39"/>
  <c r="K9" i="39"/>
  <c r="E15" i="39"/>
  <c r="E18" i="39"/>
  <c r="E39" i="39"/>
  <c r="E41" i="39"/>
  <c r="E34" i="39"/>
  <c r="I34" i="39"/>
  <c r="G32" i="39"/>
  <c r="F33" i="39"/>
  <c r="F34" i="39"/>
  <c r="F36" i="39"/>
  <c r="F37" i="39"/>
  <c r="F39" i="39"/>
  <c r="F40" i="39"/>
  <c r="F42" i="39"/>
  <c r="F43" i="39"/>
  <c r="F45" i="39"/>
  <c r="F46" i="39"/>
  <c r="P6" i="40"/>
  <c r="G6" i="40"/>
  <c r="H18" i="40"/>
  <c r="J21" i="40"/>
  <c r="E15" i="40"/>
  <c r="E18" i="40"/>
  <c r="E42" i="40"/>
  <c r="H39" i="40"/>
  <c r="E40" i="40"/>
  <c r="G32" i="40"/>
  <c r="F33" i="40"/>
  <c r="F34" i="40"/>
  <c r="F36" i="40"/>
  <c r="F37" i="40"/>
  <c r="F39" i="40"/>
  <c r="F40" i="40"/>
  <c r="F42" i="40"/>
  <c r="F43" i="40"/>
  <c r="F45" i="40"/>
  <c r="F46" i="40"/>
  <c r="F4" i="47"/>
  <c r="F5" i="47"/>
  <c r="F6" i="47"/>
  <c r="F7" i="47"/>
  <c r="F8" i="47"/>
  <c r="F9" i="47"/>
  <c r="F10" i="47"/>
  <c r="F11" i="47"/>
  <c r="F12" i="47"/>
  <c r="F13" i="47"/>
  <c r="F14" i="47"/>
  <c r="F15" i="47"/>
  <c r="F16" i="47"/>
  <c r="F17" i="47"/>
  <c r="F18" i="47"/>
  <c r="F20" i="47"/>
  <c r="F21" i="47"/>
  <c r="F22" i="47"/>
  <c r="F23" i="47"/>
  <c r="F24" i="47"/>
  <c r="F25" i="47"/>
  <c r="F26" i="47"/>
  <c r="F27" i="47"/>
  <c r="F28" i="47"/>
  <c r="F29" i="47"/>
  <c r="F30" i="47"/>
  <c r="F31" i="47"/>
  <c r="F32" i="47"/>
  <c r="F33" i="47"/>
  <c r="F34" i="47"/>
  <c r="F35" i="47"/>
  <c r="F36" i="47"/>
  <c r="F37" i="47"/>
  <c r="F38" i="47"/>
  <c r="F39" i="47"/>
  <c r="F40" i="47"/>
  <c r="F41" i="47"/>
  <c r="F42" i="47"/>
  <c r="F43" i="47"/>
  <c r="F44" i="47"/>
  <c r="F45" i="47"/>
  <c r="F46" i="47"/>
  <c r="F47" i="47"/>
  <c r="F48" i="47"/>
  <c r="F49" i="47"/>
  <c r="F50" i="47"/>
  <c r="F52" i="47"/>
  <c r="F53" i="47"/>
  <c r="F54" i="47"/>
  <c r="F55" i="47"/>
  <c r="F56" i="47"/>
  <c r="F57" i="47"/>
  <c r="F58" i="47"/>
  <c r="F59" i="47"/>
  <c r="F60" i="47"/>
  <c r="F61" i="47"/>
  <c r="F62" i="47"/>
  <c r="F63" i="47"/>
  <c r="F64" i="47"/>
  <c r="F65" i="47"/>
  <c r="F66" i="47"/>
  <c r="F67" i="47"/>
  <c r="F68" i="47"/>
  <c r="F69" i="47"/>
  <c r="F70" i="47"/>
  <c r="F71" i="47"/>
  <c r="F72" i="47"/>
  <c r="F73" i="47"/>
  <c r="F74" i="47"/>
  <c r="F75" i="47"/>
  <c r="F76" i="47"/>
  <c r="F77" i="47"/>
  <c r="F78" i="47"/>
  <c r="F5" i="49"/>
  <c r="F6" i="49"/>
  <c r="F7" i="49"/>
  <c r="F8" i="49"/>
  <c r="F10" i="49"/>
  <c r="F11" i="49"/>
  <c r="F12" i="49"/>
  <c r="F13" i="49"/>
  <c r="F14" i="49"/>
  <c r="F16" i="49"/>
  <c r="F17" i="49"/>
  <c r="F18" i="49"/>
  <c r="F19" i="49"/>
  <c r="E42" i="3"/>
  <c r="D49" i="3"/>
  <c r="G51" i="3"/>
  <c r="E53" i="3"/>
  <c r="Q5" i="40"/>
  <c r="Q22" i="40"/>
  <c r="Q13" i="40"/>
  <c r="P5" i="40"/>
  <c r="Q6" i="40"/>
  <c r="H33" i="40"/>
  <c r="K36" i="40"/>
  <c r="K42" i="40"/>
  <c r="E37" i="40"/>
  <c r="I40" i="39"/>
  <c r="I41" i="39"/>
  <c r="I46" i="39"/>
  <c r="E45" i="40"/>
  <c r="P5" i="39"/>
  <c r="P22" i="39"/>
  <c r="J22" i="37"/>
  <c r="J23" i="37"/>
  <c r="D122" i="18"/>
  <c r="H122" i="18"/>
  <c r="F122" i="18"/>
  <c r="K122" i="18"/>
  <c r="H46" i="37"/>
  <c r="H47" i="37"/>
  <c r="H22" i="37"/>
  <c r="H23" i="37"/>
  <c r="J8" i="37"/>
  <c r="J9" i="37"/>
  <c r="H8" i="37"/>
  <c r="H119" i="37"/>
  <c r="H120" i="37"/>
  <c r="K96" i="60"/>
  <c r="H324" i="18"/>
  <c r="K92" i="18"/>
  <c r="D115" i="18"/>
  <c r="J207" i="18"/>
  <c r="K207" i="18"/>
  <c r="D117" i="18"/>
  <c r="F117" i="18"/>
  <c r="D113" i="18"/>
  <c r="D110" i="18"/>
  <c r="D109" i="18"/>
  <c r="K305" i="18"/>
  <c r="F332" i="18"/>
  <c r="K332" i="18"/>
  <c r="D114" i="18"/>
  <c r="H114" i="18"/>
  <c r="J217" i="18"/>
  <c r="J203" i="18"/>
  <c r="K203" i="18"/>
  <c r="J216" i="18"/>
  <c r="E115" i="31"/>
  <c r="F115" i="31"/>
  <c r="E119" i="31"/>
  <c r="F119" i="31"/>
  <c r="J119" i="31"/>
  <c r="I9" i="40"/>
  <c r="K12" i="39"/>
  <c r="K42" i="39"/>
  <c r="K46" i="39"/>
  <c r="P22" i="40"/>
  <c r="H9" i="40"/>
  <c r="Q8" i="40"/>
  <c r="K40" i="39"/>
  <c r="K41" i="39"/>
  <c r="I46" i="40"/>
  <c r="E12" i="40"/>
  <c r="H9" i="39"/>
  <c r="E42" i="39"/>
  <c r="E44" i="39"/>
  <c r="I21" i="39"/>
  <c r="I9" i="39"/>
  <c r="K12" i="40"/>
  <c r="K9" i="40"/>
  <c r="H42" i="40"/>
  <c r="I40" i="40"/>
  <c r="G41" i="3"/>
  <c r="F26" i="3"/>
  <c r="F22" i="3"/>
  <c r="F18" i="3"/>
  <c r="F13" i="3"/>
  <c r="F9" i="3"/>
  <c r="G37" i="3"/>
  <c r="I49" i="3"/>
  <c r="D25" i="3"/>
  <c r="D23" i="3"/>
  <c r="G21" i="3"/>
  <c r="D18" i="3"/>
  <c r="G17" i="3"/>
  <c r="G9" i="3"/>
  <c r="G13" i="3"/>
  <c r="G19" i="3"/>
  <c r="G24" i="3"/>
  <c r="K45" i="39"/>
  <c r="K47" i="39"/>
  <c r="K24" i="39"/>
  <c r="G50" i="3"/>
  <c r="D38" i="3"/>
  <c r="I38" i="3"/>
  <c r="E46" i="39"/>
  <c r="E43" i="39"/>
  <c r="H40" i="39"/>
  <c r="F29" i="36"/>
  <c r="F25" i="36"/>
  <c r="K37" i="39"/>
  <c r="K43" i="39"/>
  <c r="K44" i="39"/>
  <c r="K39" i="40"/>
  <c r="Q334" i="59"/>
  <c r="Q44" i="62"/>
  <c r="I33" i="39"/>
  <c r="I35" i="39"/>
  <c r="I36" i="39"/>
  <c r="I45" i="39"/>
  <c r="I47" i="39"/>
  <c r="I42" i="39"/>
  <c r="I39" i="39"/>
  <c r="I24" i="39"/>
  <c r="J34" i="39"/>
  <c r="J37" i="39"/>
  <c r="J43" i="39"/>
  <c r="J46" i="39"/>
  <c r="J47" i="39"/>
  <c r="J40" i="39"/>
  <c r="H45" i="39"/>
  <c r="H39" i="39"/>
  <c r="H24" i="39"/>
  <c r="H36" i="39"/>
  <c r="H42" i="39"/>
  <c r="H33" i="39"/>
  <c r="H37" i="39"/>
  <c r="H46" i="39"/>
  <c r="H47" i="39"/>
  <c r="I21" i="40"/>
  <c r="E49" i="3"/>
  <c r="E9" i="40"/>
  <c r="E21" i="39"/>
  <c r="I37" i="40"/>
  <c r="I43" i="40"/>
  <c r="I34" i="40"/>
  <c r="I35" i="40"/>
  <c r="J15" i="39"/>
  <c r="E21" i="40"/>
  <c r="J9" i="40"/>
  <c r="J15" i="40"/>
  <c r="J34" i="40"/>
  <c r="J12" i="39"/>
  <c r="J9" i="39"/>
  <c r="F110" i="18"/>
  <c r="H110" i="18"/>
  <c r="K110" i="18"/>
  <c r="Q16" i="40"/>
  <c r="Q10" i="40"/>
  <c r="E12" i="39"/>
  <c r="E113" i="31"/>
  <c r="F113" i="31"/>
  <c r="J113" i="31"/>
  <c r="H113" i="31"/>
  <c r="M113" i="31"/>
  <c r="J202" i="18"/>
  <c r="K202" i="18"/>
  <c r="J21" i="39"/>
  <c r="J37" i="40"/>
  <c r="J42" i="39"/>
  <c r="J44" i="39"/>
  <c r="J24" i="39"/>
  <c r="J33" i="39"/>
  <c r="J35" i="39"/>
  <c r="J36" i="39"/>
  <c r="J38" i="39"/>
  <c r="J39" i="39"/>
  <c r="J41" i="39"/>
  <c r="J45" i="39"/>
  <c r="E117" i="31"/>
  <c r="F117" i="31"/>
  <c r="F333" i="31"/>
  <c r="J333" i="31"/>
  <c r="M333" i="31"/>
  <c r="E108" i="31"/>
  <c r="F108" i="31"/>
  <c r="F329" i="31"/>
  <c r="H329" i="31"/>
  <c r="E116" i="31"/>
  <c r="F116" i="31"/>
  <c r="F325" i="31"/>
  <c r="J325" i="31"/>
  <c r="E107" i="31"/>
  <c r="F107" i="31"/>
  <c r="E110" i="31"/>
  <c r="F110" i="31"/>
  <c r="J110" i="31"/>
  <c r="F334" i="31"/>
  <c r="J334" i="31"/>
  <c r="F326" i="31"/>
  <c r="E109" i="31"/>
  <c r="F109" i="31"/>
  <c r="J109" i="31"/>
  <c r="H119" i="31"/>
  <c r="M119" i="31"/>
  <c r="L23" i="31"/>
  <c r="E385" i="31"/>
  <c r="F385" i="31"/>
  <c r="H385" i="31"/>
  <c r="F332" i="31"/>
  <c r="J332" i="31"/>
  <c r="E381" i="31"/>
  <c r="F381" i="31"/>
  <c r="H381" i="31"/>
  <c r="F328" i="31"/>
  <c r="H328" i="31"/>
  <c r="M328" i="31"/>
  <c r="E377" i="31"/>
  <c r="F377" i="31"/>
  <c r="H377" i="31"/>
  <c r="F324" i="31"/>
  <c r="E373" i="31"/>
  <c r="F373" i="31"/>
  <c r="H373" i="31"/>
  <c r="F320" i="31"/>
  <c r="J320" i="31"/>
  <c r="E388" i="31"/>
  <c r="F388" i="31"/>
  <c r="H388" i="31"/>
  <c r="F335" i="31"/>
  <c r="J335" i="31"/>
  <c r="E380" i="31"/>
  <c r="F380" i="31"/>
  <c r="H380" i="31"/>
  <c r="F327" i="31"/>
  <c r="H327" i="31"/>
  <c r="H325" i="31"/>
  <c r="M325" i="31"/>
  <c r="J329" i="31"/>
  <c r="H333" i="31"/>
  <c r="H334" i="31"/>
  <c r="M334" i="31"/>
  <c r="J328" i="31"/>
  <c r="J324" i="31"/>
  <c r="H324" i="31"/>
  <c r="M324" i="31"/>
  <c r="H332" i="31"/>
  <c r="M332" i="31"/>
  <c r="H320" i="31"/>
  <c r="J327" i="31"/>
  <c r="M327" i="31"/>
  <c r="H335" i="31"/>
  <c r="M291" i="31"/>
  <c r="K79" i="18"/>
  <c r="D120" i="18"/>
  <c r="H120" i="18"/>
  <c r="K120" i="18"/>
  <c r="D108" i="18"/>
  <c r="D111" i="18"/>
  <c r="J214" i="18"/>
  <c r="D116" i="18"/>
  <c r="F116" i="18"/>
  <c r="K116" i="18"/>
  <c r="H116" i="18"/>
  <c r="D112" i="18"/>
  <c r="J213" i="18"/>
  <c r="K213" i="18"/>
  <c r="J205" i="18"/>
  <c r="K205" i="18"/>
  <c r="H334" i="18"/>
  <c r="K324" i="18"/>
  <c r="K209" i="18"/>
  <c r="K303" i="18"/>
  <c r="H111" i="18"/>
  <c r="F111" i="18"/>
  <c r="H117" i="18"/>
  <c r="H338" i="18"/>
  <c r="F336" i="18"/>
  <c r="K336" i="18"/>
  <c r="D107" i="18"/>
  <c r="J219" i="18"/>
  <c r="K219" i="18"/>
  <c r="J204" i="18"/>
  <c r="J201" i="18"/>
  <c r="K201" i="18"/>
  <c r="K149" i="18"/>
  <c r="D119" i="18"/>
  <c r="H119" i="18"/>
  <c r="K119" i="18"/>
  <c r="D106" i="18"/>
  <c r="H106" i="18"/>
  <c r="K307" i="18"/>
  <c r="K89" i="18"/>
  <c r="D118" i="18"/>
  <c r="H118" i="18"/>
  <c r="K176" i="18"/>
  <c r="K147" i="18"/>
  <c r="K184" i="18"/>
  <c r="K216" i="18"/>
  <c r="K143" i="18"/>
  <c r="K48" i="18"/>
  <c r="K49" i="18"/>
  <c r="K23" i="18"/>
  <c r="K237" i="18"/>
  <c r="K27" i="18"/>
  <c r="K20" i="18"/>
  <c r="K78" i="18"/>
  <c r="K9" i="18"/>
  <c r="K59" i="18"/>
  <c r="K18" i="18"/>
  <c r="K55" i="18"/>
  <c r="F106" i="18"/>
  <c r="F118" i="18"/>
  <c r="K77" i="18"/>
  <c r="K11" i="35"/>
  <c r="E31" i="35"/>
  <c r="G31" i="35"/>
  <c r="M31" i="35"/>
  <c r="N31" i="35"/>
  <c r="G64" i="35"/>
  <c r="K64" i="35"/>
  <c r="N64" i="35"/>
  <c r="M12" i="35"/>
  <c r="M8" i="35"/>
  <c r="G13" i="35"/>
  <c r="M13" i="35"/>
  <c r="N13" i="35"/>
  <c r="I8" i="35"/>
  <c r="E45" i="35"/>
  <c r="G101" i="35"/>
  <c r="M101" i="35"/>
  <c r="N101" i="35"/>
  <c r="H109" i="31"/>
  <c r="M109" i="31"/>
  <c r="L9" i="31"/>
  <c r="J114" i="31"/>
  <c r="K277" i="18"/>
  <c r="M7" i="35"/>
  <c r="G78" i="35"/>
  <c r="I26" i="35"/>
  <c r="N26" i="35"/>
  <c r="K25" i="35"/>
  <c r="M81" i="31"/>
  <c r="N140" i="35"/>
  <c r="K45" i="40"/>
  <c r="H43" i="39"/>
  <c r="H44" i="39"/>
  <c r="K33" i="39"/>
  <c r="K34" i="39"/>
  <c r="K35" i="39"/>
  <c r="Q23" i="40"/>
  <c r="H21" i="40"/>
  <c r="H12" i="40"/>
  <c r="K21" i="39"/>
  <c r="K36" i="39"/>
  <c r="K38" i="39"/>
  <c r="J39" i="40"/>
  <c r="J12" i="40"/>
  <c r="Q6" i="39"/>
  <c r="Q11" i="39"/>
  <c r="E33" i="40"/>
  <c r="I43" i="39"/>
  <c r="I44" i="39"/>
  <c r="Q11" i="40"/>
  <c r="I15" i="39"/>
  <c r="H21" i="39"/>
  <c r="P13" i="40"/>
  <c r="E40" i="39"/>
  <c r="K18" i="39"/>
  <c r="H18" i="39"/>
  <c r="E24" i="39"/>
  <c r="H15" i="40"/>
  <c r="K15" i="39"/>
  <c r="P19" i="39"/>
  <c r="Q5" i="39"/>
  <c r="I37" i="39"/>
  <c r="E34" i="40"/>
  <c r="E43" i="40"/>
  <c r="E44" i="40"/>
  <c r="H34" i="39"/>
  <c r="H35" i="39"/>
  <c r="Q19" i="39"/>
  <c r="P10" i="39"/>
  <c r="E24" i="40"/>
  <c r="E36" i="40"/>
  <c r="E38" i="40"/>
  <c r="E46" i="40"/>
  <c r="E47" i="40"/>
  <c r="P7" i="39"/>
  <c r="Q19" i="40"/>
  <c r="P13" i="39"/>
  <c r="G13" i="39"/>
  <c r="E39" i="40"/>
  <c r="K33" i="40"/>
  <c r="K35" i="40"/>
  <c r="Q10" i="39"/>
  <c r="O10" i="39"/>
  <c r="Q13" i="39"/>
  <c r="O13" i="39"/>
  <c r="Q7" i="39"/>
  <c r="O7" i="39"/>
  <c r="H24" i="40"/>
  <c r="H37" i="40"/>
  <c r="H38" i="40"/>
  <c r="H40" i="40"/>
  <c r="H41" i="40"/>
  <c r="H43" i="40"/>
  <c r="H44" i="40"/>
  <c r="H34" i="40"/>
  <c r="H46" i="40"/>
  <c r="J42" i="40"/>
  <c r="J44" i="40"/>
  <c r="Q23" i="39"/>
  <c r="G7" i="39"/>
  <c r="G10" i="39"/>
  <c r="L10" i="39"/>
  <c r="E41" i="40"/>
  <c r="P8" i="39"/>
  <c r="P20" i="39"/>
  <c r="J18" i="39"/>
  <c r="K39" i="39"/>
  <c r="E37" i="39"/>
  <c r="I12" i="39"/>
  <c r="K15" i="40"/>
  <c r="H41" i="39"/>
  <c r="Q14" i="40"/>
  <c r="I18" i="39"/>
  <c r="H15" i="39"/>
  <c r="J18" i="40"/>
  <c r="H12" i="39"/>
  <c r="P20" i="40"/>
  <c r="P8" i="40"/>
  <c r="I39" i="40"/>
  <c r="I41" i="40"/>
  <c r="I33" i="40"/>
  <c r="I36" i="40"/>
  <c r="I38" i="40"/>
  <c r="I24" i="40"/>
  <c r="I45" i="40"/>
  <c r="I47" i="40"/>
  <c r="I42" i="40"/>
  <c r="I44" i="40"/>
  <c r="J45" i="40"/>
  <c r="J36" i="40"/>
  <c r="J38" i="40"/>
  <c r="J24" i="40"/>
  <c r="J43" i="40"/>
  <c r="H36" i="40"/>
  <c r="E33" i="39"/>
  <c r="E35" i="39"/>
  <c r="E45" i="39"/>
  <c r="K21" i="40"/>
  <c r="J40" i="40"/>
  <c r="J41" i="40"/>
  <c r="J46" i="40"/>
  <c r="J47" i="40"/>
  <c r="K18" i="40"/>
  <c r="E36" i="39"/>
  <c r="E38" i="39"/>
  <c r="I18" i="40"/>
  <c r="P16" i="39"/>
  <c r="J33" i="40"/>
  <c r="H45" i="40"/>
  <c r="H47" i="40"/>
  <c r="Q7" i="40"/>
  <c r="K24" i="40"/>
  <c r="K37" i="40"/>
  <c r="K38" i="40"/>
  <c r="K40" i="40"/>
  <c r="K41" i="40"/>
  <c r="K34" i="40"/>
  <c r="K43" i="40"/>
  <c r="K46" i="40"/>
  <c r="K47" i="40"/>
  <c r="E47" i="39"/>
  <c r="G16" i="39"/>
  <c r="I15" i="40"/>
  <c r="I12" i="40"/>
  <c r="L16" i="39"/>
  <c r="M16" i="39"/>
  <c r="N16" i="39"/>
  <c r="D46" i="3"/>
  <c r="F125" i="62"/>
  <c r="F112" i="62"/>
  <c r="F103" i="62"/>
  <c r="E66" i="35"/>
  <c r="K26" i="35"/>
  <c r="K182" i="60"/>
  <c r="K97" i="60"/>
  <c r="K12" i="60"/>
  <c r="K502" i="57"/>
  <c r="K498" i="57"/>
  <c r="K503" i="57"/>
  <c r="K499" i="57"/>
  <c r="K386" i="57"/>
  <c r="K382" i="57"/>
  <c r="K385" i="57"/>
  <c r="K381" i="57"/>
  <c r="K266" i="57"/>
  <c r="K262" i="57"/>
  <c r="K267" i="57"/>
  <c r="K263" i="57"/>
  <c r="H96" i="37"/>
  <c r="K95" i="37"/>
  <c r="K96" i="37"/>
  <c r="L22" i="31"/>
  <c r="J18" i="31"/>
  <c r="H18" i="31"/>
  <c r="L18" i="31"/>
  <c r="J14" i="31"/>
  <c r="J10" i="31"/>
  <c r="L10" i="31"/>
  <c r="H205" i="31"/>
  <c r="L205" i="31"/>
  <c r="J205" i="31"/>
  <c r="H201" i="31"/>
  <c r="L201" i="31"/>
  <c r="J201" i="31"/>
  <c r="H197" i="31"/>
  <c r="L197" i="31"/>
  <c r="J197" i="31"/>
  <c r="H174" i="31"/>
  <c r="J174" i="31"/>
  <c r="J169" i="31"/>
  <c r="L169" i="31"/>
  <c r="H169" i="31"/>
  <c r="M169" i="31"/>
  <c r="J165" i="31"/>
  <c r="L165" i="31"/>
  <c r="H165" i="31"/>
  <c r="J161" i="31"/>
  <c r="L161" i="31"/>
  <c r="H161" i="31"/>
  <c r="H59" i="31"/>
  <c r="L59" i="31"/>
  <c r="J59" i="31"/>
  <c r="H55" i="31"/>
  <c r="L55" i="31"/>
  <c r="J55" i="31"/>
  <c r="H51" i="31"/>
  <c r="J51" i="31"/>
  <c r="L47" i="31"/>
  <c r="J47" i="31"/>
  <c r="J90" i="31"/>
  <c r="H90" i="31"/>
  <c r="M90" i="31"/>
  <c r="J82" i="31"/>
  <c r="H82" i="31"/>
  <c r="M82" i="31"/>
  <c r="L146" i="31"/>
  <c r="H146" i="31"/>
  <c r="H141" i="31"/>
  <c r="M141" i="31"/>
  <c r="L141" i="31"/>
  <c r="H134" i="31"/>
  <c r="J305" i="31"/>
  <c r="J301" i="31"/>
  <c r="H301" i="31"/>
  <c r="J297" i="31"/>
  <c r="H297" i="31"/>
  <c r="H110" i="31"/>
  <c r="H107" i="31"/>
  <c r="J107" i="31"/>
  <c r="K146" i="57"/>
  <c r="K147" i="57"/>
  <c r="K141" i="62"/>
  <c r="K142" i="62"/>
  <c r="O23" i="37"/>
  <c r="K175" i="62"/>
  <c r="K176" i="62"/>
  <c r="J111" i="31"/>
  <c r="H111" i="31"/>
  <c r="M111" i="31"/>
  <c r="K141" i="37"/>
  <c r="K142" i="37"/>
  <c r="F9" i="37"/>
  <c r="K8" i="36"/>
  <c r="K9" i="36"/>
  <c r="K60" i="18"/>
  <c r="H20" i="31"/>
  <c r="H16" i="31"/>
  <c r="L16" i="31"/>
  <c r="M16" i="31"/>
  <c r="L12" i="31"/>
  <c r="H12" i="31"/>
  <c r="M12" i="31"/>
  <c r="F94" i="18"/>
  <c r="H211" i="31"/>
  <c r="J211" i="31"/>
  <c r="L211" i="31"/>
  <c r="H207" i="31"/>
  <c r="L207" i="31"/>
  <c r="M207" i="31"/>
  <c r="J207" i="31"/>
  <c r="H203" i="31"/>
  <c r="L203" i="31"/>
  <c r="J203" i="31"/>
  <c r="H199" i="31"/>
  <c r="L199" i="31"/>
  <c r="J199" i="31"/>
  <c r="J171" i="31"/>
  <c r="L171" i="31"/>
  <c r="H171" i="31"/>
  <c r="J167" i="31"/>
  <c r="M167" i="31"/>
  <c r="L167" i="31"/>
  <c r="H167" i="31"/>
  <c r="J163" i="31"/>
  <c r="L163" i="31"/>
  <c r="H163" i="31"/>
  <c r="M160" i="31"/>
  <c r="H57" i="31"/>
  <c r="L57" i="31"/>
  <c r="J57" i="31"/>
  <c r="H53" i="31"/>
  <c r="L53" i="31"/>
  <c r="J53" i="31"/>
  <c r="H49" i="31"/>
  <c r="L49" i="31"/>
  <c r="M49" i="31"/>
  <c r="J49" i="31"/>
  <c r="H45" i="31"/>
  <c r="L45" i="31"/>
  <c r="J45" i="31"/>
  <c r="J88" i="31"/>
  <c r="H88" i="31"/>
  <c r="M88" i="31"/>
  <c r="J84" i="31"/>
  <c r="H84" i="31"/>
  <c r="M84" i="31"/>
  <c r="L144" i="31"/>
  <c r="M144" i="31"/>
  <c r="H144" i="31"/>
  <c r="L136" i="31"/>
  <c r="H136" i="31"/>
  <c r="H277" i="31"/>
  <c r="M277" i="31"/>
  <c r="L277" i="31"/>
  <c r="L276" i="31"/>
  <c r="H276" i="31"/>
  <c r="H275" i="31"/>
  <c r="L275" i="31"/>
  <c r="L273" i="31"/>
  <c r="M273" i="31"/>
  <c r="L269" i="31"/>
  <c r="M269" i="31"/>
  <c r="H269" i="31"/>
  <c r="H267" i="31"/>
  <c r="L267" i="31"/>
  <c r="L266" i="31"/>
  <c r="M266" i="31"/>
  <c r="H266" i="31"/>
  <c r="H265" i="31"/>
  <c r="M265" i="31"/>
  <c r="L264" i="31"/>
  <c r="M264" i="31"/>
  <c r="H264" i="31"/>
  <c r="L263" i="31"/>
  <c r="L262" i="31"/>
  <c r="H262" i="31"/>
  <c r="J303" i="31"/>
  <c r="J299" i="31"/>
  <c r="H299" i="31"/>
  <c r="M299" i="31"/>
  <c r="J295" i="31"/>
  <c r="H295" i="31"/>
  <c r="M295" i="31"/>
  <c r="F126" i="62"/>
  <c r="R133" i="57"/>
  <c r="R131" i="57"/>
  <c r="R123" i="57"/>
  <c r="P249" i="59"/>
  <c r="Q292" i="59"/>
  <c r="P377" i="59"/>
  <c r="R61" i="60"/>
  <c r="R18" i="60"/>
  <c r="E161" i="60"/>
  <c r="E118" i="60"/>
  <c r="E105" i="60"/>
  <c r="E148" i="60"/>
  <c r="R103" i="60"/>
  <c r="R146" i="60"/>
  <c r="Q146" i="60"/>
  <c r="R231" i="60"/>
  <c r="R188" i="60"/>
  <c r="H359" i="31"/>
  <c r="L359" i="31"/>
  <c r="H354" i="31"/>
  <c r="M354" i="31"/>
  <c r="L354" i="31"/>
  <c r="H350" i="31"/>
  <c r="L350" i="31"/>
  <c r="Q334" i="57"/>
  <c r="Q353" i="57"/>
  <c r="Q452" i="57"/>
  <c r="Q214" i="57"/>
  <c r="Q234" i="57"/>
  <c r="Q570" i="57"/>
  <c r="Q644" i="57"/>
  <c r="Q656" i="57"/>
  <c r="Q222" i="60"/>
  <c r="Q179" i="60"/>
  <c r="Q137" i="60"/>
  <c r="Q13" i="57"/>
  <c r="Q264" i="60"/>
  <c r="Q357" i="60"/>
  <c r="Q206" i="59"/>
  <c r="Q94" i="60"/>
  <c r="Q52" i="60"/>
  <c r="Q500" i="57"/>
  <c r="Q383" i="57"/>
  <c r="Q21" i="59"/>
  <c r="Q31" i="59"/>
  <c r="O31" i="59"/>
  <c r="Q103" i="57"/>
  <c r="Q142" i="57"/>
  <c r="Q264" i="57"/>
  <c r="Q348" i="60"/>
  <c r="Q306" i="60"/>
  <c r="G48" i="3"/>
  <c r="G45" i="3"/>
  <c r="G46" i="3"/>
  <c r="P334" i="57"/>
  <c r="P452" i="57"/>
  <c r="P471" i="57"/>
  <c r="P214" i="57"/>
  <c r="P570" i="57"/>
  <c r="P662" i="57"/>
  <c r="O662" i="57"/>
  <c r="P644" i="57"/>
  <c r="P656" i="57"/>
  <c r="O656" i="57"/>
  <c r="P94" i="60"/>
  <c r="P52" i="60"/>
  <c r="P500" i="57"/>
  <c r="P383" i="57"/>
  <c r="P264" i="60"/>
  <c r="P378" i="60"/>
  <c r="P206" i="59"/>
  <c r="P223" i="59"/>
  <c r="P222" i="60"/>
  <c r="P179" i="60"/>
  <c r="P137" i="60"/>
  <c r="P21" i="59"/>
  <c r="P31" i="59"/>
  <c r="P30" i="59"/>
  <c r="P103" i="57"/>
  <c r="P264" i="57"/>
  <c r="P348" i="60"/>
  <c r="P306" i="60"/>
  <c r="R24" i="57"/>
  <c r="R122" i="57"/>
  <c r="R132" i="57"/>
  <c r="R130" i="57"/>
  <c r="Q356" i="57"/>
  <c r="P474" i="57"/>
  <c r="P588" i="57"/>
  <c r="P661" i="57"/>
  <c r="P22" i="59"/>
  <c r="Q249" i="59"/>
  <c r="P292" i="59"/>
  <c r="H246" i="18"/>
  <c r="K246" i="18"/>
  <c r="H234" i="18"/>
  <c r="J247" i="31"/>
  <c r="M247" i="31"/>
  <c r="J244" i="31"/>
  <c r="M244" i="31"/>
  <c r="J240" i="31"/>
  <c r="M240" i="31"/>
  <c r="J237" i="31"/>
  <c r="M237" i="31"/>
  <c r="J235" i="31"/>
  <c r="M235" i="31"/>
  <c r="J233" i="31"/>
  <c r="M233" i="31"/>
  <c r="P334" i="59"/>
  <c r="L210" i="31"/>
  <c r="H185" i="18"/>
  <c r="K185" i="18"/>
  <c r="H183" i="18"/>
  <c r="K183" i="18"/>
  <c r="H181" i="18"/>
  <c r="K181" i="18"/>
  <c r="H179" i="18"/>
  <c r="K179" i="18"/>
  <c r="H177" i="18"/>
  <c r="K177" i="18"/>
  <c r="H175" i="18"/>
  <c r="H173" i="18"/>
  <c r="K173" i="18"/>
  <c r="H171" i="18"/>
  <c r="K171" i="18"/>
  <c r="H169" i="18"/>
  <c r="H167" i="18"/>
  <c r="J175" i="31"/>
  <c r="M175" i="31"/>
  <c r="J173" i="31"/>
  <c r="H24" i="18"/>
  <c r="K24" i="18"/>
  <c r="H21" i="18"/>
  <c r="H19" i="18"/>
  <c r="K19" i="18"/>
  <c r="H17" i="18"/>
  <c r="K17" i="18"/>
  <c r="H12" i="18"/>
  <c r="K12" i="18"/>
  <c r="H10" i="18"/>
  <c r="K10" i="18"/>
  <c r="H8" i="18"/>
  <c r="J58" i="31"/>
  <c r="J56" i="31"/>
  <c r="J54" i="31"/>
  <c r="M54" i="31"/>
  <c r="J52" i="31"/>
  <c r="M52" i="31"/>
  <c r="J50" i="31"/>
  <c r="M50" i="31"/>
  <c r="J48" i="31"/>
  <c r="M48" i="31"/>
  <c r="J46" i="31"/>
  <c r="M46" i="31"/>
  <c r="J44" i="31"/>
  <c r="Q377" i="59"/>
  <c r="Q417" i="59"/>
  <c r="J278" i="18"/>
  <c r="K278" i="18"/>
  <c r="J276" i="18"/>
  <c r="K276" i="18"/>
  <c r="J272" i="18"/>
  <c r="K272" i="18"/>
  <c r="J264" i="18"/>
  <c r="E160" i="60"/>
  <c r="E117" i="60"/>
  <c r="E110" i="60"/>
  <c r="E153" i="60"/>
  <c r="H356" i="31"/>
  <c r="M356" i="31"/>
  <c r="L356" i="31"/>
  <c r="H352" i="31"/>
  <c r="M352" i="31"/>
  <c r="L352" i="31"/>
  <c r="P221" i="59"/>
  <c r="P171" i="57"/>
  <c r="P756" i="57"/>
  <c r="P394" i="59"/>
  <c r="P388" i="59"/>
  <c r="L360" i="31"/>
  <c r="M360" i="31"/>
  <c r="L358" i="31"/>
  <c r="M358" i="31"/>
  <c r="P357" i="60"/>
  <c r="P16" i="62"/>
  <c r="P9" i="62"/>
  <c r="P18" i="62"/>
  <c r="P11" i="62"/>
  <c r="P108" i="62"/>
  <c r="P99" i="62"/>
  <c r="P110" i="62"/>
  <c r="P101" i="62"/>
  <c r="P112" i="62"/>
  <c r="P103" i="62"/>
  <c r="P113" i="62"/>
  <c r="P104" i="62"/>
  <c r="P114" i="62"/>
  <c r="P105" i="62"/>
  <c r="F108" i="62"/>
  <c r="F99" i="62"/>
  <c r="P144" i="57"/>
  <c r="P138" i="57"/>
  <c r="P128" i="57"/>
  <c r="P87" i="59"/>
  <c r="P85" i="59"/>
  <c r="P83" i="59"/>
  <c r="P315" i="60"/>
  <c r="Q315" i="60"/>
  <c r="O315" i="60"/>
  <c r="Q232" i="57"/>
  <c r="P676" i="57"/>
  <c r="P140" i="57"/>
  <c r="P143" i="57"/>
  <c r="P137" i="57"/>
  <c r="P127" i="57"/>
  <c r="P86" i="59"/>
  <c r="P84" i="59"/>
  <c r="P82" i="59"/>
  <c r="P254" i="59"/>
  <c r="P275" i="59"/>
  <c r="P258" i="59"/>
  <c r="P317" i="59"/>
  <c r="P315" i="59"/>
  <c r="P311" i="59"/>
  <c r="P304" i="59"/>
  <c r="P301" i="59"/>
  <c r="P299" i="59"/>
  <c r="P361" i="59"/>
  <c r="P359" i="59"/>
  <c r="P357" i="59"/>
  <c r="P350" i="59"/>
  <c r="P346" i="59"/>
  <c r="P343" i="59"/>
  <c r="P403" i="59"/>
  <c r="P399" i="59"/>
  <c r="P391" i="59"/>
  <c r="P384" i="59"/>
  <c r="P444" i="59"/>
  <c r="P440" i="59"/>
  <c r="P432" i="59"/>
  <c r="P426" i="59"/>
  <c r="P294" i="60"/>
  <c r="Q59" i="60"/>
  <c r="Q82" i="60"/>
  <c r="Q99" i="60"/>
  <c r="Q121" i="60"/>
  <c r="Q119" i="60"/>
  <c r="Q117" i="60"/>
  <c r="Q115" i="60"/>
  <c r="Q113" i="60"/>
  <c r="Q111" i="60"/>
  <c r="Q109" i="60"/>
  <c r="Q107" i="60"/>
  <c r="Q105" i="60"/>
  <c r="Q187" i="60"/>
  <c r="Q185" i="60"/>
  <c r="P273" i="59"/>
  <c r="P272" i="59"/>
  <c r="P271" i="59"/>
  <c r="P267" i="59"/>
  <c r="P266" i="59"/>
  <c r="P265" i="59"/>
  <c r="P263" i="59"/>
  <c r="P259" i="59"/>
  <c r="P257" i="59"/>
  <c r="P255" i="59"/>
  <c r="P297" i="59"/>
  <c r="P318" i="59"/>
  <c r="P316" i="59"/>
  <c r="P314" i="59"/>
  <c r="P310" i="59"/>
  <c r="P306" i="59"/>
  <c r="P302" i="59"/>
  <c r="P300" i="59"/>
  <c r="P339" i="59"/>
  <c r="P360" i="59"/>
  <c r="P358" i="59"/>
  <c r="P356" i="59"/>
  <c r="P352" i="59"/>
  <c r="P348" i="59"/>
  <c r="P344" i="59"/>
  <c r="P342" i="59"/>
  <c r="P340" i="59"/>
  <c r="P365" i="59"/>
  <c r="P404" i="59"/>
  <c r="P402" i="59"/>
  <c r="P400" i="59"/>
  <c r="P396" i="59"/>
  <c r="P393" i="59"/>
  <c r="P387" i="59"/>
  <c r="P385" i="59"/>
  <c r="P383" i="59"/>
  <c r="P445" i="59"/>
  <c r="P443" i="59"/>
  <c r="P441" i="59"/>
  <c r="P437" i="59"/>
  <c r="P434" i="59"/>
  <c r="P430" i="59"/>
  <c r="P427" i="59"/>
  <c r="P425" i="59"/>
  <c r="Q384" i="57"/>
  <c r="Q387" i="57"/>
  <c r="Q420" i="57"/>
  <c r="Q415" i="57"/>
  <c r="Q412" i="57"/>
  <c r="Q405" i="57"/>
  <c r="Q401" i="57"/>
  <c r="Q399" i="57"/>
  <c r="Q392" i="57"/>
  <c r="Q501" i="57"/>
  <c r="Q537" i="57"/>
  <c r="Q532" i="57"/>
  <c r="Q529" i="57"/>
  <c r="Q522" i="57"/>
  <c r="Q518" i="57"/>
  <c r="Q515" i="57"/>
  <c r="Q506" i="57"/>
  <c r="Q57" i="60"/>
  <c r="Q101" i="60"/>
  <c r="Q123" i="60"/>
  <c r="Q211" i="60"/>
  <c r="Q209" i="60"/>
  <c r="Q207" i="60"/>
  <c r="Q205" i="60"/>
  <c r="Q203" i="60"/>
  <c r="Q201" i="60"/>
  <c r="Q199" i="60"/>
  <c r="Q197" i="60"/>
  <c r="Q195" i="60"/>
  <c r="Q193" i="60"/>
  <c r="Q191" i="60"/>
  <c r="Q189" i="60"/>
  <c r="E190" i="60"/>
  <c r="E203" i="60"/>
  <c r="P241" i="57"/>
  <c r="P290" i="57"/>
  <c r="E195" i="60"/>
  <c r="E202" i="60"/>
  <c r="Q252" i="60"/>
  <c r="P660" i="57"/>
  <c r="P658" i="57"/>
  <c r="P238" i="57"/>
  <c r="P274" i="57"/>
  <c r="O274" i="57"/>
  <c r="P396" i="57"/>
  <c r="O396" i="57"/>
  <c r="P481" i="57"/>
  <c r="P485" i="57"/>
  <c r="P483" i="57"/>
  <c r="P479" i="57"/>
  <c r="P477" i="57"/>
  <c r="P469" i="57"/>
  <c r="P466" i="57"/>
  <c r="P487" i="57"/>
  <c r="P484" i="57"/>
  <c r="P482" i="57"/>
  <c r="P478" i="57"/>
  <c r="P476" i="57"/>
  <c r="P468" i="57"/>
  <c r="O468" i="57"/>
  <c r="H616" i="7"/>
  <c r="F131" i="59"/>
  <c r="F15" i="59"/>
  <c r="F8" i="59"/>
  <c r="F18" i="59"/>
  <c r="F11" i="59"/>
  <c r="F17" i="59"/>
  <c r="F10" i="59"/>
  <c r="F20" i="59"/>
  <c r="F13" i="59"/>
  <c r="F113" i="59"/>
  <c r="F103" i="59"/>
  <c r="F16" i="59"/>
  <c r="F9" i="59"/>
  <c r="P129" i="57"/>
  <c r="P141" i="57"/>
  <c r="P126" i="57"/>
  <c r="O126" i="57"/>
  <c r="P276" i="59"/>
  <c r="P142" i="57"/>
  <c r="O142" i="57"/>
  <c r="P486" i="57"/>
  <c r="P406" i="59"/>
  <c r="P390" i="59"/>
  <c r="P398" i="59"/>
  <c r="P165" i="57"/>
  <c r="P154" i="57"/>
  <c r="P148" i="57"/>
  <c r="P217" i="59"/>
  <c r="P226" i="59"/>
  <c r="P664" i="57"/>
  <c r="P666" i="57"/>
  <c r="P663" i="57"/>
  <c r="P590" i="57"/>
  <c r="P587" i="57"/>
  <c r="Q354" i="57"/>
  <c r="Q352" i="57"/>
  <c r="P449" i="59"/>
  <c r="P164" i="57"/>
  <c r="P160" i="57"/>
  <c r="P392" i="59"/>
  <c r="P338" i="60"/>
  <c r="P293" i="60"/>
  <c r="K167" i="18"/>
  <c r="Q22" i="59"/>
  <c r="Q666" i="57"/>
  <c r="O666" i="57"/>
  <c r="Q590" i="57"/>
  <c r="Q71" i="57"/>
  <c r="P187" i="57"/>
  <c r="P183" i="57"/>
  <c r="P185" i="57"/>
  <c r="P188" i="57"/>
  <c r="P151" i="57"/>
  <c r="P153" i="57"/>
  <c r="P158" i="57"/>
  <c r="P163" i="57"/>
  <c r="P168" i="57"/>
  <c r="P170" i="57"/>
  <c r="P174" i="57"/>
  <c r="P176" i="57"/>
  <c r="P178" i="57"/>
  <c r="P159" i="57"/>
  <c r="P184" i="57"/>
  <c r="P186" i="57"/>
  <c r="P150" i="57"/>
  <c r="P152" i="57"/>
  <c r="P155" i="57"/>
  <c r="P162" i="57"/>
  <c r="P166" i="57"/>
  <c r="P169" i="57"/>
  <c r="P173" i="57"/>
  <c r="P175" i="57"/>
  <c r="P177" i="57"/>
  <c r="P149" i="57"/>
  <c r="P161" i="57"/>
  <c r="P180" i="57"/>
  <c r="P182" i="57"/>
  <c r="P145" i="57"/>
  <c r="P125" i="57"/>
  <c r="P179" i="57"/>
  <c r="P134" i="57"/>
  <c r="P363" i="59"/>
  <c r="P298" i="59"/>
  <c r="P278" i="59"/>
  <c r="P447" i="59"/>
  <c r="P213" i="59"/>
  <c r="P214" i="59"/>
  <c r="P215" i="59"/>
  <c r="P218" i="59"/>
  <c r="P220" i="59"/>
  <c r="P222" i="59"/>
  <c r="P225" i="59"/>
  <c r="P228" i="59"/>
  <c r="P229" i="59"/>
  <c r="P231" i="59"/>
  <c r="P232" i="59"/>
  <c r="P233" i="59"/>
  <c r="P408" i="59"/>
  <c r="P235" i="59"/>
  <c r="P429" i="59"/>
  <c r="P431" i="59"/>
  <c r="P433" i="59"/>
  <c r="P435" i="59"/>
  <c r="P438" i="59"/>
  <c r="P439" i="59"/>
  <c r="P303" i="59"/>
  <c r="P305" i="59"/>
  <c r="P307" i="59"/>
  <c r="P309" i="59"/>
  <c r="P312" i="59"/>
  <c r="P313" i="59"/>
  <c r="P260" i="59"/>
  <c r="P261" i="59"/>
  <c r="P262" i="59"/>
  <c r="P264" i="59"/>
  <c r="P269" i="59"/>
  <c r="P270" i="59"/>
  <c r="P448" i="59"/>
  <c r="P320" i="59"/>
  <c r="P277" i="59"/>
  <c r="P407" i="59"/>
  <c r="P405" i="59"/>
  <c r="P345" i="59"/>
  <c r="P347" i="59"/>
  <c r="P349" i="59"/>
  <c r="P351" i="59"/>
  <c r="P354" i="59"/>
  <c r="P355" i="59"/>
  <c r="P364" i="59"/>
  <c r="P659" i="57"/>
  <c r="P657" i="57"/>
  <c r="P732" i="57"/>
  <c r="P733" i="57"/>
  <c r="P734" i="57"/>
  <c r="P742" i="57"/>
  <c r="P745" i="57"/>
  <c r="P747" i="57"/>
  <c r="P750" i="57"/>
  <c r="P752" i="57"/>
  <c r="P755" i="57"/>
  <c r="P757" i="57"/>
  <c r="P758" i="57"/>
  <c r="P759" i="57"/>
  <c r="P762" i="57"/>
  <c r="P763" i="57"/>
  <c r="P764" i="57"/>
  <c r="P765" i="57"/>
  <c r="P766" i="57"/>
  <c r="P767" i="57"/>
  <c r="P731" i="57"/>
  <c r="P744" i="57"/>
  <c r="P751" i="57"/>
  <c r="P667" i="57"/>
  <c r="P670" i="57"/>
  <c r="P677" i="57"/>
  <c r="P680" i="57"/>
  <c r="P682" i="57"/>
  <c r="P684" i="57"/>
  <c r="P687" i="57"/>
  <c r="P688" i="57"/>
  <c r="P690" i="57"/>
  <c r="P691" i="57"/>
  <c r="P692" i="57"/>
  <c r="O692" i="57"/>
  <c r="P583" i="57"/>
  <c r="P584" i="57"/>
  <c r="P585" i="57"/>
  <c r="O585" i="57"/>
  <c r="P593" i="57"/>
  <c r="P594" i="57"/>
  <c r="P596" i="57"/>
  <c r="P598" i="57"/>
  <c r="O598" i="57"/>
  <c r="P601" i="57"/>
  <c r="P603" i="57"/>
  <c r="P606" i="57"/>
  <c r="O606" i="57"/>
  <c r="P608" i="57"/>
  <c r="P609" i="57"/>
  <c r="P610" i="57"/>
  <c r="O610" i="57"/>
  <c r="P613" i="57"/>
  <c r="P614" i="57"/>
  <c r="P615" i="57"/>
  <c r="P616" i="57"/>
  <c r="P617" i="57"/>
  <c r="P618" i="57"/>
  <c r="P582" i="57"/>
  <c r="O582" i="57"/>
  <c r="P595" i="57"/>
  <c r="P602" i="57"/>
  <c r="P769" i="57"/>
  <c r="P771" i="57"/>
  <c r="P753" i="57"/>
  <c r="P597" i="57"/>
  <c r="P600" i="57"/>
  <c r="P604" i="57"/>
  <c r="P607" i="57"/>
  <c r="P611" i="57"/>
  <c r="O611" i="57"/>
  <c r="P612" i="57"/>
  <c r="P620" i="57"/>
  <c r="P622" i="57"/>
  <c r="P694" i="57"/>
  <c r="P696" i="57"/>
  <c r="O696" i="57"/>
  <c r="P768" i="57"/>
  <c r="P770" i="57"/>
  <c r="P754" i="57"/>
  <c r="P735" i="57"/>
  <c r="P671" i="57"/>
  <c r="P673" i="57"/>
  <c r="P678" i="57"/>
  <c r="P681" i="57"/>
  <c r="P686" i="57"/>
  <c r="O686" i="57"/>
  <c r="P599" i="57"/>
  <c r="P619" i="57"/>
  <c r="P621" i="57"/>
  <c r="P760" i="57"/>
  <c r="P749" i="57"/>
  <c r="P743" i="57"/>
  <c r="P668" i="57"/>
  <c r="O668" i="57"/>
  <c r="P672" i="57"/>
  <c r="P674" i="57"/>
  <c r="P679" i="57"/>
  <c r="P693" i="57"/>
  <c r="P695" i="57"/>
  <c r="P586" i="57"/>
  <c r="P605" i="57"/>
  <c r="P467" i="57"/>
  <c r="P480" i="57"/>
  <c r="P475" i="57"/>
  <c r="Q187" i="57"/>
  <c r="Q184" i="57"/>
  <c r="O184" i="57"/>
  <c r="Q186" i="57"/>
  <c r="Q150" i="57"/>
  <c r="Q152" i="57"/>
  <c r="Q155" i="57"/>
  <c r="Q162" i="57"/>
  <c r="Q166" i="57"/>
  <c r="Q169" i="57"/>
  <c r="Q173" i="57"/>
  <c r="O173" i="57"/>
  <c r="Q175" i="57"/>
  <c r="Q177" i="57"/>
  <c r="Q149" i="57"/>
  <c r="Q161" i="57"/>
  <c r="Q127" i="57"/>
  <c r="Q128" i="57"/>
  <c r="Q129" i="57"/>
  <c r="O129" i="57"/>
  <c r="Q136" i="57"/>
  <c r="Q137" i="57"/>
  <c r="Q138" i="57"/>
  <c r="Q141" i="57"/>
  <c r="O141" i="57"/>
  <c r="Q143" i="57"/>
  <c r="O143" i="57"/>
  <c r="Q144" i="57"/>
  <c r="O144" i="57"/>
  <c r="Q126" i="57"/>
  <c r="Q135" i="57"/>
  <c r="Q140" i="57"/>
  <c r="O140" i="57"/>
  <c r="Q183" i="57"/>
  <c r="Q185" i="57"/>
  <c r="Q188" i="57"/>
  <c r="Q151" i="57"/>
  <c r="Q153" i="57"/>
  <c r="Q158" i="57"/>
  <c r="Q163" i="57"/>
  <c r="Q168" i="57"/>
  <c r="Q170" i="57"/>
  <c r="Q174" i="57"/>
  <c r="Q176" i="57"/>
  <c r="Q178" i="57"/>
  <c r="Q159" i="57"/>
  <c r="Q179" i="57"/>
  <c r="Q164" i="57"/>
  <c r="Q165" i="57"/>
  <c r="O165" i="57"/>
  <c r="Q167" i="57"/>
  <c r="Q171" i="57"/>
  <c r="Q172" i="57"/>
  <c r="Q154" i="57"/>
  <c r="O154" i="57"/>
  <c r="Q156" i="57"/>
  <c r="Q157" i="57"/>
  <c r="Q160" i="57"/>
  <c r="O160" i="57"/>
  <c r="Q148" i="57"/>
  <c r="O148" i="57"/>
  <c r="Q139" i="57"/>
  <c r="Q134" i="57"/>
  <c r="Q180" i="57"/>
  <c r="Q182" i="57"/>
  <c r="Q145" i="57"/>
  <c r="Q125" i="57"/>
  <c r="Q294" i="60"/>
  <c r="O294" i="60"/>
  <c r="Q354" i="60"/>
  <c r="Q355" i="60"/>
  <c r="Q356" i="60"/>
  <c r="Q358" i="60"/>
  <c r="Q360" i="60"/>
  <c r="Q362" i="60"/>
  <c r="Q363" i="60"/>
  <c r="Q365" i="60"/>
  <c r="Q367" i="60"/>
  <c r="Q368" i="60"/>
  <c r="Q369" i="60"/>
  <c r="Q370" i="60"/>
  <c r="Q373" i="60"/>
  <c r="Q374" i="60"/>
  <c r="Q375" i="60"/>
  <c r="Q376" i="60"/>
  <c r="Q353" i="60"/>
  <c r="Q312" i="60"/>
  <c r="Q313" i="60"/>
  <c r="Q314" i="60"/>
  <c r="Q316" i="60"/>
  <c r="Q318" i="60"/>
  <c r="Q320" i="60"/>
  <c r="Q321" i="60"/>
  <c r="Q323" i="60"/>
  <c r="Q325" i="60"/>
  <c r="Q326" i="60"/>
  <c r="Q327" i="60"/>
  <c r="Q328" i="60"/>
  <c r="Q331" i="60"/>
  <c r="Q332" i="60"/>
  <c r="Q333" i="60"/>
  <c r="Q334" i="60"/>
  <c r="Q311" i="60"/>
  <c r="Q296" i="60"/>
  <c r="Q270" i="60"/>
  <c r="Q271" i="60"/>
  <c r="Q272" i="60"/>
  <c r="Q274" i="60"/>
  <c r="O274" i="60"/>
  <c r="Q276" i="60"/>
  <c r="Q278" i="60"/>
  <c r="Q279" i="60"/>
  <c r="Q281" i="60"/>
  <c r="Q283" i="60"/>
  <c r="Q284" i="60"/>
  <c r="Q285" i="60"/>
  <c r="Q286" i="60"/>
  <c r="Q289" i="60"/>
  <c r="Q290" i="60"/>
  <c r="Q291" i="60"/>
  <c r="Q292" i="60"/>
  <c r="Q269" i="60"/>
  <c r="Q378" i="60"/>
  <c r="O378" i="60"/>
  <c r="O377" i="60"/>
  <c r="Q338" i="60"/>
  <c r="Q379" i="60"/>
  <c r="Q371" i="60"/>
  <c r="Q364" i="60"/>
  <c r="Q359" i="60"/>
  <c r="Q329" i="60"/>
  <c r="Q322" i="60"/>
  <c r="Q317" i="60"/>
  <c r="Q380" i="60"/>
  <c r="Q336" i="60"/>
  <c r="Q377" i="60"/>
  <c r="Q372" i="60"/>
  <c r="Q366" i="60"/>
  <c r="Q361" i="60"/>
  <c r="Q335" i="60"/>
  <c r="Q275" i="60"/>
  <c r="Q277" i="60"/>
  <c r="Q280" i="60"/>
  <c r="Q282" i="60"/>
  <c r="Q287" i="60"/>
  <c r="Q288" i="60"/>
  <c r="Q295" i="60"/>
  <c r="Q293" i="60"/>
  <c r="Q271" i="57"/>
  <c r="Q274" i="57"/>
  <c r="Q284" i="57"/>
  <c r="Q287" i="57"/>
  <c r="Q290" i="57"/>
  <c r="O290" i="57"/>
  <c r="Q229" i="57"/>
  <c r="Q230" i="57"/>
  <c r="Q231" i="57"/>
  <c r="Q238" i="57"/>
  <c r="Q239" i="57"/>
  <c r="Q240" i="57"/>
  <c r="Q241" i="57"/>
  <c r="O241" i="57"/>
  <c r="Q244" i="57"/>
  <c r="Q245" i="57"/>
  <c r="Q246" i="57"/>
  <c r="Q247" i="57"/>
  <c r="Q249" i="57"/>
  <c r="Q269" i="57"/>
  <c r="Q272" i="57"/>
  <c r="O272" i="57"/>
  <c r="Q275" i="57"/>
  <c r="Q276" i="57"/>
  <c r="Q277" i="57"/>
  <c r="Q278" i="57"/>
  <c r="Q280" i="57"/>
  <c r="Q283" i="57"/>
  <c r="Q288" i="57"/>
  <c r="Q291" i="57"/>
  <c r="Q292" i="57"/>
  <c r="Q295" i="57"/>
  <c r="Q297" i="57"/>
  <c r="Q298" i="57"/>
  <c r="Q299" i="57"/>
  <c r="Q302" i="57"/>
  <c r="Q303" i="57"/>
  <c r="Q304" i="57"/>
  <c r="O304" i="57"/>
  <c r="Q305" i="57"/>
  <c r="Q306" i="57"/>
  <c r="Q308" i="57"/>
  <c r="Q309" i="57"/>
  <c r="Q311" i="57"/>
  <c r="Q228" i="57"/>
  <c r="Q243" i="57"/>
  <c r="Q310" i="57"/>
  <c r="Q307" i="57"/>
  <c r="Q300" i="57"/>
  <c r="O300" i="57"/>
  <c r="Q294" i="57"/>
  <c r="Q289" i="57"/>
  <c r="Q285" i="57"/>
  <c r="Q281" i="57"/>
  <c r="Q273" i="57"/>
  <c r="Q268" i="57"/>
  <c r="Q301" i="57"/>
  <c r="O301" i="57"/>
  <c r="Q296" i="57"/>
  <c r="Q293" i="57"/>
  <c r="Q286" i="57"/>
  <c r="Q282" i="57"/>
  <c r="O282" i="57"/>
  <c r="Q279" i="57"/>
  <c r="Q270" i="57"/>
  <c r="Q265" i="57"/>
  <c r="Q242" i="57"/>
  <c r="Q237" i="57"/>
  <c r="Q248" i="57"/>
  <c r="Q388" i="57"/>
  <c r="Q391" i="57"/>
  <c r="Q394" i="57"/>
  <c r="Q395" i="57"/>
  <c r="Q396" i="57"/>
  <c r="Q397" i="57"/>
  <c r="Q402" i="57"/>
  <c r="Q407" i="57"/>
  <c r="Q410" i="57"/>
  <c r="Q411" i="57"/>
  <c r="Q414" i="57"/>
  <c r="Q416" i="57"/>
  <c r="Q417" i="57"/>
  <c r="Q418" i="57"/>
  <c r="Q421" i="57"/>
  <c r="Q422" i="57"/>
  <c r="Q423" i="57"/>
  <c r="Q424" i="57"/>
  <c r="Q425" i="57"/>
  <c r="Q427" i="57"/>
  <c r="Q428" i="57"/>
  <c r="Q430" i="57"/>
  <c r="Q505" i="57"/>
  <c r="Q508" i="57"/>
  <c r="Q511" i="57"/>
  <c r="Q512" i="57"/>
  <c r="Q513" i="57"/>
  <c r="Q514" i="57"/>
  <c r="Q516" i="57"/>
  <c r="Q519" i="57"/>
  <c r="Q524" i="57"/>
  <c r="Q527" i="57"/>
  <c r="Q528" i="57"/>
  <c r="Q531" i="57"/>
  <c r="Q533" i="57"/>
  <c r="Q534" i="57"/>
  <c r="Q535" i="57"/>
  <c r="Q538" i="57"/>
  <c r="Q539" i="57"/>
  <c r="Q540" i="57"/>
  <c r="Q541" i="57"/>
  <c r="Q542" i="57"/>
  <c r="Q544" i="57"/>
  <c r="Q545" i="57"/>
  <c r="Q547" i="57"/>
  <c r="Q507" i="57"/>
  <c r="Q510" i="57"/>
  <c r="Q520" i="57"/>
  <c r="Q523" i="57"/>
  <c r="Q526" i="57"/>
  <c r="Q349" i="57"/>
  <c r="Q350" i="57"/>
  <c r="Q351" i="57"/>
  <c r="Q358" i="57"/>
  <c r="Q359" i="57"/>
  <c r="Q360" i="57"/>
  <c r="Q361" i="57"/>
  <c r="Q364" i="57"/>
  <c r="Q365" i="57"/>
  <c r="Q366" i="57"/>
  <c r="Q367" i="57"/>
  <c r="Q369" i="57"/>
  <c r="Q390" i="57"/>
  <c r="Q393" i="57"/>
  <c r="Q403" i="57"/>
  <c r="Q406" i="57"/>
  <c r="Q409" i="57"/>
  <c r="Q348" i="57"/>
  <c r="Q363" i="57"/>
  <c r="Q546" i="57"/>
  <c r="Q543" i="57"/>
  <c r="Q536" i="57"/>
  <c r="Q530" i="57"/>
  <c r="Q525" i="57"/>
  <c r="Q521" i="57"/>
  <c r="Q517" i="57"/>
  <c r="Q509" i="57"/>
  <c r="Q504" i="57"/>
  <c r="Q429" i="57"/>
  <c r="Q426" i="57"/>
  <c r="Q419" i="57"/>
  <c r="Q413" i="57"/>
  <c r="Q408" i="57"/>
  <c r="Q404" i="57"/>
  <c r="Q400" i="57"/>
  <c r="Q398" i="57"/>
  <c r="Q389" i="57"/>
  <c r="Q357" i="57"/>
  <c r="Q368" i="57"/>
  <c r="Q362" i="57"/>
  <c r="P389" i="59"/>
  <c r="P397" i="59"/>
  <c r="P63" i="59"/>
  <c r="P53" i="59"/>
  <c r="O53" i="59"/>
  <c r="P46" i="59"/>
  <c r="P748" i="57"/>
  <c r="P167" i="57"/>
  <c r="O167" i="57"/>
  <c r="P156" i="57"/>
  <c r="O156" i="57"/>
  <c r="P139" i="57"/>
  <c r="O139" i="57"/>
  <c r="P219" i="59"/>
  <c r="P227" i="59"/>
  <c r="M350" i="31"/>
  <c r="M359" i="31"/>
  <c r="Q273" i="60"/>
  <c r="Q188" i="60"/>
  <c r="P32" i="59"/>
  <c r="Q662" i="57"/>
  <c r="P589" i="57"/>
  <c r="P591" i="57"/>
  <c r="O591" i="57"/>
  <c r="P470" i="57"/>
  <c r="P472" i="57"/>
  <c r="O472" i="57"/>
  <c r="Q355" i="57"/>
  <c r="P741" i="57"/>
  <c r="P740" i="57"/>
  <c r="P738" i="57"/>
  <c r="O738" i="57"/>
  <c r="P737" i="57"/>
  <c r="Q236" i="57"/>
  <c r="Q123" i="57"/>
  <c r="P123" i="57"/>
  <c r="O123" i="57"/>
  <c r="Q133" i="57"/>
  <c r="P133" i="57"/>
  <c r="O133" i="57"/>
  <c r="P446" i="59"/>
  <c r="K264" i="18"/>
  <c r="M263" i="31"/>
  <c r="M267" i="31"/>
  <c r="M275" i="31"/>
  <c r="M136" i="31"/>
  <c r="M57" i="31"/>
  <c r="M171" i="31"/>
  <c r="M199" i="31"/>
  <c r="P234" i="59"/>
  <c r="F95" i="18"/>
  <c r="F96" i="18"/>
  <c r="K29" i="36"/>
  <c r="K25" i="36"/>
  <c r="K21" i="36"/>
  <c r="M110" i="31"/>
  <c r="M297" i="31"/>
  <c r="M301" i="31"/>
  <c r="M134" i="31"/>
  <c r="M146" i="31"/>
  <c r="M51" i="31"/>
  <c r="M59" i="31"/>
  <c r="M165" i="31"/>
  <c r="M174" i="31"/>
  <c r="M201" i="31"/>
  <c r="P362" i="59"/>
  <c r="Q743" i="57"/>
  <c r="M10" i="31"/>
  <c r="K295" i="59"/>
  <c r="K291" i="59"/>
  <c r="K252" i="59"/>
  <c r="K249" i="59"/>
  <c r="K209" i="59"/>
  <c r="K206" i="59"/>
  <c r="M96" i="37"/>
  <c r="K294" i="59"/>
  <c r="K290" i="59"/>
  <c r="K251" i="59"/>
  <c r="K248" i="59"/>
  <c r="K208" i="59"/>
  <c r="K205" i="59"/>
  <c r="O293" i="60"/>
  <c r="O127" i="57"/>
  <c r="O137" i="57"/>
  <c r="O128" i="57"/>
  <c r="O138" i="57"/>
  <c r="M44" i="31"/>
  <c r="K8" i="18"/>
  <c r="O22" i="59"/>
  <c r="O590" i="57"/>
  <c r="Q130" i="57"/>
  <c r="O130" i="57"/>
  <c r="P130" i="57"/>
  <c r="Q132" i="57"/>
  <c r="O132" i="57"/>
  <c r="P132" i="57"/>
  <c r="Q24" i="57"/>
  <c r="P81" i="59"/>
  <c r="P50" i="59"/>
  <c r="P51" i="59"/>
  <c r="P52" i="59"/>
  <c r="O52" i="59"/>
  <c r="P54" i="59"/>
  <c r="P57" i="59"/>
  <c r="P61" i="59"/>
  <c r="O61" i="59"/>
  <c r="P62" i="59"/>
  <c r="P65" i="59"/>
  <c r="P67" i="59"/>
  <c r="P69" i="59"/>
  <c r="O69" i="59"/>
  <c r="P70" i="59"/>
  <c r="O70" i="59"/>
  <c r="P71" i="59"/>
  <c r="P74" i="59"/>
  <c r="O74" i="59"/>
  <c r="P75" i="59"/>
  <c r="P76" i="59"/>
  <c r="P77" i="59"/>
  <c r="P78" i="59"/>
  <c r="P79" i="59"/>
  <c r="O79" i="59"/>
  <c r="P49" i="59"/>
  <c r="P58" i="59"/>
  <c r="P60" i="59"/>
  <c r="P23" i="59"/>
  <c r="P24" i="59"/>
  <c r="P27" i="59"/>
  <c r="P28" i="59"/>
  <c r="P29" i="59"/>
  <c r="P34" i="59"/>
  <c r="O34" i="59"/>
  <c r="P35" i="59"/>
  <c r="P38" i="59"/>
  <c r="P39" i="59"/>
  <c r="P42" i="59"/>
  <c r="O42" i="59"/>
  <c r="P43" i="59"/>
  <c r="P44" i="59"/>
  <c r="P26" i="59"/>
  <c r="P37" i="59"/>
  <c r="P41" i="59"/>
  <c r="P72" i="59"/>
  <c r="P80" i="59"/>
  <c r="P64" i="59"/>
  <c r="P68" i="59"/>
  <c r="P55" i="59"/>
  <c r="P59" i="59"/>
  <c r="P45" i="59"/>
  <c r="P48" i="59"/>
  <c r="P40" i="59"/>
  <c r="P25" i="59"/>
  <c r="P33" i="59"/>
  <c r="O33" i="59"/>
  <c r="P47" i="59"/>
  <c r="P355" i="60"/>
  <c r="O355" i="60"/>
  <c r="P356" i="60"/>
  <c r="O356" i="60"/>
  <c r="P358" i="60"/>
  <c r="O358" i="60"/>
  <c r="P360" i="60"/>
  <c r="O360" i="60"/>
  <c r="P362" i="60"/>
  <c r="O362" i="60"/>
  <c r="P363" i="60"/>
  <c r="O363" i="60"/>
  <c r="P365" i="60"/>
  <c r="O365" i="60"/>
  <c r="P367" i="60"/>
  <c r="O367" i="60"/>
  <c r="P368" i="60"/>
  <c r="O368" i="60"/>
  <c r="P369" i="60"/>
  <c r="O369" i="60"/>
  <c r="P370" i="60"/>
  <c r="O370" i="60"/>
  <c r="P373" i="60"/>
  <c r="O373" i="60"/>
  <c r="P374" i="60"/>
  <c r="O374" i="60"/>
  <c r="P375" i="60"/>
  <c r="O375" i="60"/>
  <c r="P376" i="60"/>
  <c r="O376" i="60"/>
  <c r="P353" i="60"/>
  <c r="O353" i="60"/>
  <c r="P312" i="60"/>
  <c r="O312" i="60"/>
  <c r="P313" i="60"/>
  <c r="O313" i="60"/>
  <c r="P314" i="60"/>
  <c r="O314" i="60"/>
  <c r="P316" i="60"/>
  <c r="O316" i="60"/>
  <c r="P318" i="60"/>
  <c r="O318" i="60"/>
  <c r="P320" i="60"/>
  <c r="O320" i="60"/>
  <c r="P321" i="60"/>
  <c r="O321" i="60"/>
  <c r="P323" i="60"/>
  <c r="O323" i="60"/>
  <c r="P325" i="60"/>
  <c r="O325" i="60"/>
  <c r="P326" i="60"/>
  <c r="O326" i="60"/>
  <c r="P327" i="60"/>
  <c r="O327" i="60"/>
  <c r="P328" i="60"/>
  <c r="O328" i="60"/>
  <c r="P331" i="60"/>
  <c r="O331" i="60"/>
  <c r="P332" i="60"/>
  <c r="O332" i="60"/>
  <c r="P333" i="60"/>
  <c r="O333" i="60"/>
  <c r="P334" i="60"/>
  <c r="O334" i="60"/>
  <c r="P311" i="60"/>
  <c r="O311" i="60"/>
  <c r="P296" i="60"/>
  <c r="O296" i="60"/>
  <c r="O295" i="60"/>
  <c r="P270" i="60"/>
  <c r="O270" i="60"/>
  <c r="P271" i="60"/>
  <c r="O271" i="60"/>
  <c r="P272" i="60"/>
  <c r="O272" i="60"/>
  <c r="P274" i="60"/>
  <c r="P276" i="60"/>
  <c r="O276" i="60"/>
  <c r="P278" i="60"/>
  <c r="P279" i="60"/>
  <c r="O279" i="60"/>
  <c r="P281" i="60"/>
  <c r="O281" i="60"/>
  <c r="P283" i="60"/>
  <c r="O283" i="60"/>
  <c r="P284" i="60"/>
  <c r="O284" i="60"/>
  <c r="P285" i="60"/>
  <c r="O285" i="60"/>
  <c r="P286" i="60"/>
  <c r="O286" i="60"/>
  <c r="P289" i="60"/>
  <c r="O289" i="60"/>
  <c r="P290" i="60"/>
  <c r="O290" i="60"/>
  <c r="P291" i="60"/>
  <c r="O291" i="60"/>
  <c r="P292" i="60"/>
  <c r="O292" i="60"/>
  <c r="P269" i="60"/>
  <c r="O269" i="60"/>
  <c r="P354" i="60"/>
  <c r="O354" i="60"/>
  <c r="P380" i="60"/>
  <c r="O380" i="60"/>
  <c r="O379" i="60"/>
  <c r="P336" i="60"/>
  <c r="O336" i="60"/>
  <c r="O335" i="60"/>
  <c r="P377" i="60"/>
  <c r="P372" i="60"/>
  <c r="O372" i="60"/>
  <c r="P366" i="60"/>
  <c r="O366" i="60"/>
  <c r="P361" i="60"/>
  <c r="O361" i="60"/>
  <c r="P337" i="60"/>
  <c r="P335" i="60"/>
  <c r="P330" i="60"/>
  <c r="P324" i="60"/>
  <c r="P319" i="60"/>
  <c r="P379" i="60"/>
  <c r="P371" i="60"/>
  <c r="O371" i="60"/>
  <c r="P364" i="60"/>
  <c r="O364" i="60"/>
  <c r="P359" i="60"/>
  <c r="O359" i="60"/>
  <c r="P329" i="60"/>
  <c r="O329" i="60"/>
  <c r="P322" i="60"/>
  <c r="O322" i="60"/>
  <c r="P317" i="60"/>
  <c r="O317" i="60"/>
  <c r="P277" i="60"/>
  <c r="O277" i="60"/>
  <c r="P282" i="60"/>
  <c r="O282" i="60"/>
  <c r="P288" i="60"/>
  <c r="O288" i="60"/>
  <c r="P275" i="60"/>
  <c r="O275" i="60"/>
  <c r="P280" i="60"/>
  <c r="P287" i="60"/>
  <c r="O287" i="60"/>
  <c r="P295" i="60"/>
  <c r="P272" i="57"/>
  <c r="P275" i="57"/>
  <c r="O275" i="57"/>
  <c r="P276" i="57"/>
  <c r="O276" i="57"/>
  <c r="P277" i="57"/>
  <c r="O277" i="57"/>
  <c r="P278" i="57"/>
  <c r="O278" i="57"/>
  <c r="P280" i="57"/>
  <c r="O280" i="57"/>
  <c r="P283" i="57"/>
  <c r="O283" i="57"/>
  <c r="P288" i="57"/>
  <c r="O288" i="57"/>
  <c r="P291" i="57"/>
  <c r="O291" i="57"/>
  <c r="P292" i="57"/>
  <c r="O292" i="57"/>
  <c r="P295" i="57"/>
  <c r="O295" i="57"/>
  <c r="P297" i="57"/>
  <c r="O297" i="57"/>
  <c r="P298" i="57"/>
  <c r="O298" i="57"/>
  <c r="P299" i="57"/>
  <c r="P302" i="57"/>
  <c r="O302" i="57"/>
  <c r="P303" i="57"/>
  <c r="O303" i="57"/>
  <c r="P304" i="57"/>
  <c r="P305" i="57"/>
  <c r="O305" i="57"/>
  <c r="P306" i="57"/>
  <c r="O306" i="57"/>
  <c r="P308" i="57"/>
  <c r="O308" i="57"/>
  <c r="P309" i="57"/>
  <c r="O309" i="57"/>
  <c r="P311" i="57"/>
  <c r="O311" i="57"/>
  <c r="O310" i="57"/>
  <c r="P228" i="57"/>
  <c r="O228" i="57"/>
  <c r="P243" i="57"/>
  <c r="O243" i="57"/>
  <c r="P269" i="57"/>
  <c r="O269" i="57"/>
  <c r="P301" i="57"/>
  <c r="P296" i="57"/>
  <c r="O296" i="57"/>
  <c r="P293" i="57"/>
  <c r="O293" i="57"/>
  <c r="P286" i="57"/>
  <c r="O286" i="57"/>
  <c r="P282" i="57"/>
  <c r="P279" i="57"/>
  <c r="O279" i="57"/>
  <c r="P270" i="57"/>
  <c r="O270" i="57"/>
  <c r="P310" i="57"/>
  <c r="P307" i="57"/>
  <c r="O307" i="57"/>
  <c r="P300" i="57"/>
  <c r="P294" i="57"/>
  <c r="O294" i="57"/>
  <c r="P289" i="57"/>
  <c r="O289" i="57"/>
  <c r="P285" i="57"/>
  <c r="O285" i="57"/>
  <c r="P281" i="57"/>
  <c r="O281" i="57"/>
  <c r="P273" i="57"/>
  <c r="O273" i="57"/>
  <c r="P268" i="57"/>
  <c r="O268" i="57"/>
  <c r="P237" i="57"/>
  <c r="O237" i="57"/>
  <c r="P248" i="57"/>
  <c r="P265" i="57"/>
  <c r="P507" i="57"/>
  <c r="O507" i="57"/>
  <c r="P520" i="57"/>
  <c r="O520" i="57"/>
  <c r="P526" i="57"/>
  <c r="O526" i="57"/>
  <c r="P358" i="57"/>
  <c r="O358" i="57"/>
  <c r="P364" i="57"/>
  <c r="O364" i="57"/>
  <c r="P369" i="57"/>
  <c r="O369" i="57"/>
  <c r="O368" i="57"/>
  <c r="P384" i="57"/>
  <c r="P536" i="57"/>
  <c r="O536" i="57"/>
  <c r="P525" i="57"/>
  <c r="P517" i="57"/>
  <c r="O517" i="57"/>
  <c r="P504" i="57"/>
  <c r="O504" i="57"/>
  <c r="P357" i="57"/>
  <c r="O357" i="57"/>
  <c r="Q81" i="59"/>
  <c r="Q82" i="59"/>
  <c r="O82" i="59"/>
  <c r="Q83" i="59"/>
  <c r="O83" i="59"/>
  <c r="Q84" i="59"/>
  <c r="O84" i="59"/>
  <c r="Q85" i="59"/>
  <c r="Q86" i="59"/>
  <c r="O86" i="59"/>
  <c r="Q87" i="59"/>
  <c r="O87" i="59"/>
  <c r="Q50" i="59"/>
  <c r="Q51" i="59"/>
  <c r="O51" i="59"/>
  <c r="Q52" i="59"/>
  <c r="Q54" i="59"/>
  <c r="Q57" i="59"/>
  <c r="O57" i="59"/>
  <c r="Q61" i="59"/>
  <c r="Q62" i="59"/>
  <c r="Q65" i="59"/>
  <c r="Q67" i="59"/>
  <c r="Q69" i="59"/>
  <c r="Q70" i="59"/>
  <c r="Q71" i="59"/>
  <c r="O71" i="59"/>
  <c r="Q74" i="59"/>
  <c r="Q75" i="59"/>
  <c r="Q76" i="59"/>
  <c r="Q77" i="59"/>
  <c r="Q78" i="59"/>
  <c r="Q79" i="59"/>
  <c r="Q49" i="59"/>
  <c r="Q58" i="59"/>
  <c r="Q60" i="59"/>
  <c r="Q23" i="59"/>
  <c r="O23" i="59"/>
  <c r="Q24" i="59"/>
  <c r="Q27" i="59"/>
  <c r="Q28" i="59"/>
  <c r="Q29" i="59"/>
  <c r="O29" i="59"/>
  <c r="Q34" i="59"/>
  <c r="Q35" i="59"/>
  <c r="Q38" i="59"/>
  <c r="Q39" i="59"/>
  <c r="O39" i="59"/>
  <c r="Q42" i="59"/>
  <c r="Q43" i="59"/>
  <c r="Q44" i="59"/>
  <c r="Q26" i="59"/>
  <c r="O26" i="59"/>
  <c r="Q37" i="59"/>
  <c r="Q41" i="59"/>
  <c r="Q73" i="59"/>
  <c r="Q63" i="59"/>
  <c r="O63" i="59"/>
  <c r="Q66" i="59"/>
  <c r="Q53" i="59"/>
  <c r="Q56" i="59"/>
  <c r="Q46" i="59"/>
  <c r="Q47" i="59"/>
  <c r="Q36" i="59"/>
  <c r="Q72" i="59"/>
  <c r="Q80" i="59"/>
  <c r="Q64" i="59"/>
  <c r="Q68" i="59"/>
  <c r="Q55" i="59"/>
  <c r="Q59" i="59"/>
  <c r="Q45" i="59"/>
  <c r="Q48" i="59"/>
  <c r="Q40" i="59"/>
  <c r="O40" i="59"/>
  <c r="Q25" i="59"/>
  <c r="Q33" i="59"/>
  <c r="Q425" i="59"/>
  <c r="O425" i="59"/>
  <c r="Q427" i="59"/>
  <c r="O427" i="59"/>
  <c r="Q430" i="59"/>
  <c r="O430" i="59"/>
  <c r="Q434" i="59"/>
  <c r="O434" i="59"/>
  <c r="Q437" i="59"/>
  <c r="O437" i="59"/>
  <c r="Q441" i="59"/>
  <c r="O441" i="59"/>
  <c r="Q443" i="59"/>
  <c r="O443" i="59"/>
  <c r="Q445" i="59"/>
  <c r="O445" i="59"/>
  <c r="Q383" i="59"/>
  <c r="O383" i="59"/>
  <c r="Q385" i="59"/>
  <c r="O385" i="59"/>
  <c r="Q387" i="59"/>
  <c r="O387" i="59"/>
  <c r="Q393" i="59"/>
  <c r="O393" i="59"/>
  <c r="Q396" i="59"/>
  <c r="O396" i="59"/>
  <c r="Q400" i="59"/>
  <c r="O400" i="59"/>
  <c r="Q402" i="59"/>
  <c r="O402" i="59"/>
  <c r="Q404" i="59"/>
  <c r="O404" i="59"/>
  <c r="Q365" i="59"/>
  <c r="O365" i="59"/>
  <c r="O364" i="59"/>
  <c r="Q299" i="59"/>
  <c r="O299" i="59"/>
  <c r="Q301" i="59"/>
  <c r="O301" i="59"/>
  <c r="Q304" i="59"/>
  <c r="O304" i="59"/>
  <c r="Q308" i="59"/>
  <c r="Q311" i="59"/>
  <c r="O311" i="59"/>
  <c r="Q315" i="59"/>
  <c r="O315" i="59"/>
  <c r="Q317" i="59"/>
  <c r="O317" i="59"/>
  <c r="Q319" i="59"/>
  <c r="Q255" i="59"/>
  <c r="O255" i="59"/>
  <c r="Q257" i="59"/>
  <c r="O257" i="59"/>
  <c r="Q447" i="59"/>
  <c r="O447" i="59"/>
  <c r="O446" i="59"/>
  <c r="Q275" i="59"/>
  <c r="O275" i="59"/>
  <c r="Q254" i="59"/>
  <c r="O254" i="59"/>
  <c r="Q214" i="59"/>
  <c r="O214" i="59"/>
  <c r="Q220" i="59"/>
  <c r="O220" i="59"/>
  <c r="Q228" i="59"/>
  <c r="O228" i="59"/>
  <c r="Q232" i="59"/>
  <c r="O232" i="59"/>
  <c r="Q406" i="59"/>
  <c r="O406" i="59"/>
  <c r="O405" i="59"/>
  <c r="Q392" i="59"/>
  <c r="O392" i="59"/>
  <c r="Q398" i="59"/>
  <c r="O398" i="59"/>
  <c r="Q219" i="59"/>
  <c r="O219" i="59"/>
  <c r="Q408" i="59"/>
  <c r="O408" i="59"/>
  <c r="O407" i="59"/>
  <c r="Q433" i="59"/>
  <c r="Q303" i="59"/>
  <c r="O303" i="59"/>
  <c r="Q312" i="59"/>
  <c r="Q262" i="59"/>
  <c r="O262" i="59"/>
  <c r="Q407" i="59"/>
  <c r="Q351" i="59"/>
  <c r="O351" i="59"/>
  <c r="Q448" i="59"/>
  <c r="Q277" i="59"/>
  <c r="Q87" i="57"/>
  <c r="Q84" i="57"/>
  <c r="Q82" i="57"/>
  <c r="Q50" i="57"/>
  <c r="Q52" i="57"/>
  <c r="Q55" i="57"/>
  <c r="Q62" i="57"/>
  <c r="Q66" i="57"/>
  <c r="Q69" i="57"/>
  <c r="Q73" i="57"/>
  <c r="Q75" i="57"/>
  <c r="Q77" i="57"/>
  <c r="Q59" i="57"/>
  <c r="Q88" i="57"/>
  <c r="Q83" i="57"/>
  <c r="Q86" i="57"/>
  <c r="Q85" i="57"/>
  <c r="Q51" i="57"/>
  <c r="Q53" i="57"/>
  <c r="Q58" i="57"/>
  <c r="Q63" i="57"/>
  <c r="Q68" i="57"/>
  <c r="Q70" i="57"/>
  <c r="Q74" i="57"/>
  <c r="Q76" i="57"/>
  <c r="Q78" i="57"/>
  <c r="Q49" i="57"/>
  <c r="Q61" i="57"/>
  <c r="Q25" i="57"/>
  <c r="Q28" i="57"/>
  <c r="Q29" i="57"/>
  <c r="Q30" i="57"/>
  <c r="Q36" i="57"/>
  <c r="Q37" i="57"/>
  <c r="Q38" i="57"/>
  <c r="Q41" i="57"/>
  <c r="Q42" i="57"/>
  <c r="Q43" i="57"/>
  <c r="Q44" i="57"/>
  <c r="Q27" i="57"/>
  <c r="Q35" i="57"/>
  <c r="Q40" i="57"/>
  <c r="Q64" i="57"/>
  <c r="Q67" i="57"/>
  <c r="Q26" i="57"/>
  <c r="Q39" i="57"/>
  <c r="Q72" i="57"/>
  <c r="Q48" i="57"/>
  <c r="Q34" i="57"/>
  <c r="Q57" i="57"/>
  <c r="Q65" i="57"/>
  <c r="Q254" i="60"/>
  <c r="Q253" i="60"/>
  <c r="Q251" i="60"/>
  <c r="Q250" i="60"/>
  <c r="Q248" i="60"/>
  <c r="Q246" i="60"/>
  <c r="Q244" i="60"/>
  <c r="Q242" i="60"/>
  <c r="Q249" i="60"/>
  <c r="Q247" i="60"/>
  <c r="Q245" i="60"/>
  <c r="Q243" i="60"/>
  <c r="Q241" i="60"/>
  <c r="Q239" i="60"/>
  <c r="Q237" i="60"/>
  <c r="Q235" i="60"/>
  <c r="Q233" i="60"/>
  <c r="Q229" i="60"/>
  <c r="Q227" i="60"/>
  <c r="Q240" i="60"/>
  <c r="Q236" i="60"/>
  <c r="Q232" i="60"/>
  <c r="Q228" i="60"/>
  <c r="Q210" i="60"/>
  <c r="Q208" i="60"/>
  <c r="Q206" i="60"/>
  <c r="Q204" i="60"/>
  <c r="Q202" i="60"/>
  <c r="Q200" i="60"/>
  <c r="Q198" i="60"/>
  <c r="Q196" i="60"/>
  <c r="Q194" i="60"/>
  <c r="Q192" i="60"/>
  <c r="Q190" i="60"/>
  <c r="Q186" i="60"/>
  <c r="Q184" i="60"/>
  <c r="Q168" i="60"/>
  <c r="Q167" i="60"/>
  <c r="Q165" i="60"/>
  <c r="Q163" i="60"/>
  <c r="Q161" i="60"/>
  <c r="Q159" i="60"/>
  <c r="Q157" i="60"/>
  <c r="Q155" i="60"/>
  <c r="Q153" i="60"/>
  <c r="Q151" i="60"/>
  <c r="Q149" i="60"/>
  <c r="Q147" i="60"/>
  <c r="Q145" i="60"/>
  <c r="Q143" i="60"/>
  <c r="Q125" i="60"/>
  <c r="Q124" i="60"/>
  <c r="Q122" i="60"/>
  <c r="Q120" i="60"/>
  <c r="Q118" i="60"/>
  <c r="Q116" i="60"/>
  <c r="Q114" i="60"/>
  <c r="Q112" i="60"/>
  <c r="Q110" i="60"/>
  <c r="Q108" i="60"/>
  <c r="Q106" i="60"/>
  <c r="Q104" i="60"/>
  <c r="Q102" i="60"/>
  <c r="Q100" i="60"/>
  <c r="Q84" i="60"/>
  <c r="Q81" i="60"/>
  <c r="Q80" i="60"/>
  <c r="Q78" i="60"/>
  <c r="Q76" i="60"/>
  <c r="Q74" i="60"/>
  <c r="Q72" i="60"/>
  <c r="Q70" i="60"/>
  <c r="Q68" i="60"/>
  <c r="Q66" i="60"/>
  <c r="Q64" i="60"/>
  <c r="Q62" i="60"/>
  <c r="Q60" i="60"/>
  <c r="Q58" i="60"/>
  <c r="Q15" i="60"/>
  <c r="Q238" i="60"/>
  <c r="Q234" i="60"/>
  <c r="Q230" i="60"/>
  <c r="Q169" i="60"/>
  <c r="Q166" i="60"/>
  <c r="Q164" i="60"/>
  <c r="Q162" i="60"/>
  <c r="Q160" i="60"/>
  <c r="Q158" i="60"/>
  <c r="Q156" i="60"/>
  <c r="Q154" i="60"/>
  <c r="Q152" i="60"/>
  <c r="Q150" i="60"/>
  <c r="Q148" i="60"/>
  <c r="Q144" i="60"/>
  <c r="Q142" i="60"/>
  <c r="Q126" i="60"/>
  <c r="Q83" i="60"/>
  <c r="Q79" i="60"/>
  <c r="Q77" i="60"/>
  <c r="Q75" i="60"/>
  <c r="Q73" i="60"/>
  <c r="Q71" i="60"/>
  <c r="Q69" i="60"/>
  <c r="Q67" i="60"/>
  <c r="Q65" i="60"/>
  <c r="Q63" i="60"/>
  <c r="Q20" i="60"/>
  <c r="Q22" i="60"/>
  <c r="Q25" i="60"/>
  <c r="Q27" i="60"/>
  <c r="Q32" i="60"/>
  <c r="Q33" i="60"/>
  <c r="Q38" i="60"/>
  <c r="Q40" i="60"/>
  <c r="Q658" i="57"/>
  <c r="O658" i="57"/>
  <c r="Q660" i="57"/>
  <c r="O660" i="57"/>
  <c r="Q657" i="57"/>
  <c r="Q659" i="57"/>
  <c r="Q769" i="57"/>
  <c r="O769" i="57"/>
  <c r="O768" i="57"/>
  <c r="Q771" i="57"/>
  <c r="O771" i="57"/>
  <c r="O770" i="57"/>
  <c r="Q669" i="57"/>
  <c r="Q676" i="57"/>
  <c r="O676" i="57"/>
  <c r="Q732" i="57"/>
  <c r="Q733" i="57"/>
  <c r="Q734" i="57"/>
  <c r="Q742" i="57"/>
  <c r="O742" i="57"/>
  <c r="Q745" i="57"/>
  <c r="Q747" i="57"/>
  <c r="Q750" i="57"/>
  <c r="Q752" i="57"/>
  <c r="O752" i="57"/>
  <c r="Q755" i="57"/>
  <c r="Q757" i="57"/>
  <c r="Q758" i="57"/>
  <c r="O758" i="57"/>
  <c r="Q759" i="57"/>
  <c r="O759" i="57"/>
  <c r="Q762" i="57"/>
  <c r="Q763" i="57"/>
  <c r="O763" i="57"/>
  <c r="Q764" i="57"/>
  <c r="O764" i="57"/>
  <c r="Q765" i="57"/>
  <c r="O765" i="57"/>
  <c r="Q766" i="57"/>
  <c r="Q767" i="57"/>
  <c r="Q731" i="57"/>
  <c r="Q744" i="57"/>
  <c r="O744" i="57"/>
  <c r="Q751" i="57"/>
  <c r="Q667" i="57"/>
  <c r="Q670" i="57"/>
  <c r="Q675" i="57"/>
  <c r="Q677" i="57"/>
  <c r="Q680" i="57"/>
  <c r="Q682" i="57"/>
  <c r="O682" i="57"/>
  <c r="Q683" i="57"/>
  <c r="Q684" i="57"/>
  <c r="Q687" i="57"/>
  <c r="Q688" i="57"/>
  <c r="O688" i="57"/>
  <c r="Q689" i="57"/>
  <c r="Q690" i="57"/>
  <c r="O690" i="57"/>
  <c r="Q691" i="57"/>
  <c r="Q692" i="57"/>
  <c r="Q583" i="57"/>
  <c r="O583" i="57"/>
  <c r="Q584" i="57"/>
  <c r="Q585" i="57"/>
  <c r="Q593" i="57"/>
  <c r="Q594" i="57"/>
  <c r="O594" i="57"/>
  <c r="Q596" i="57"/>
  <c r="Q598" i="57"/>
  <c r="Q601" i="57"/>
  <c r="O601" i="57"/>
  <c r="Q603" i="57"/>
  <c r="O603" i="57"/>
  <c r="Q606" i="57"/>
  <c r="Q608" i="57"/>
  <c r="O608" i="57"/>
  <c r="Q609" i="57"/>
  <c r="O609" i="57"/>
  <c r="Q610" i="57"/>
  <c r="Q613" i="57"/>
  <c r="Q614" i="57"/>
  <c r="Q615" i="57"/>
  <c r="Q616" i="57"/>
  <c r="O616" i="57"/>
  <c r="Q617" i="57"/>
  <c r="Q618" i="57"/>
  <c r="O618" i="57"/>
  <c r="Q582" i="57"/>
  <c r="Q595" i="57"/>
  <c r="O595" i="57"/>
  <c r="Q602" i="57"/>
  <c r="Q620" i="57"/>
  <c r="Q622" i="57"/>
  <c r="Q748" i="57"/>
  <c r="Q756" i="57"/>
  <c r="O756" i="57"/>
  <c r="Q694" i="57"/>
  <c r="O694" i="57"/>
  <c r="Q696" i="57"/>
  <c r="Q753" i="57"/>
  <c r="Q597" i="57"/>
  <c r="Q600" i="57"/>
  <c r="Q604" i="57"/>
  <c r="Q607" i="57"/>
  <c r="O607" i="57"/>
  <c r="Q611" i="57"/>
  <c r="Q612" i="57"/>
  <c r="Q668" i="57"/>
  <c r="Q672" i="57"/>
  <c r="Q674" i="57"/>
  <c r="Q679" i="57"/>
  <c r="O679" i="57"/>
  <c r="Q685" i="57"/>
  <c r="Q693" i="57"/>
  <c r="Q695" i="57"/>
  <c r="Q586" i="57"/>
  <c r="Q605" i="57"/>
  <c r="O605" i="57"/>
  <c r="Q768" i="57"/>
  <c r="Q770" i="57"/>
  <c r="Q761" i="57"/>
  <c r="Q754" i="57"/>
  <c r="O754" i="57"/>
  <c r="Q746" i="57"/>
  <c r="Q735" i="57"/>
  <c r="O735" i="57"/>
  <c r="Q671" i="57"/>
  <c r="Q673" i="57"/>
  <c r="O673" i="57"/>
  <c r="Q678" i="57"/>
  <c r="O678" i="57"/>
  <c r="Q681" i="57"/>
  <c r="Q686" i="57"/>
  <c r="Q599" i="57"/>
  <c r="O599" i="57"/>
  <c r="Q619" i="57"/>
  <c r="Q621" i="57"/>
  <c r="Q467" i="57"/>
  <c r="Q468" i="57"/>
  <c r="Q469" i="57"/>
  <c r="O469" i="57"/>
  <c r="Q476" i="57"/>
  <c r="O476" i="57"/>
  <c r="Q477" i="57"/>
  <c r="O477" i="57"/>
  <c r="Q478" i="57"/>
  <c r="O478" i="57"/>
  <c r="Q479" i="57"/>
  <c r="O479" i="57"/>
  <c r="Q482" i="57"/>
  <c r="O482" i="57"/>
  <c r="Q483" i="57"/>
  <c r="O483" i="57"/>
  <c r="Q484" i="57"/>
  <c r="O484" i="57"/>
  <c r="Q485" i="57"/>
  <c r="O485" i="57"/>
  <c r="Q487" i="57"/>
  <c r="O487" i="57"/>
  <c r="O486" i="57"/>
  <c r="Q466" i="57"/>
  <c r="O466" i="57"/>
  <c r="Q481" i="57"/>
  <c r="O481" i="57"/>
  <c r="O454" i="57"/>
  <c r="O442" i="57"/>
  <c r="Q475" i="57"/>
  <c r="Q486" i="57"/>
  <c r="Q480" i="57"/>
  <c r="P242" i="57"/>
  <c r="O242" i="57"/>
  <c r="P73" i="59"/>
  <c r="O73" i="59"/>
  <c r="P66" i="59"/>
  <c r="O66" i="59"/>
  <c r="P56" i="59"/>
  <c r="O56" i="59"/>
  <c r="P36" i="59"/>
  <c r="O36" i="59"/>
  <c r="O164" i="57"/>
  <c r="Q56" i="57"/>
  <c r="P273" i="60"/>
  <c r="O273" i="60"/>
  <c r="Q231" i="60"/>
  <c r="Q103" i="60"/>
  <c r="Q61" i="60"/>
  <c r="Q32" i="59"/>
  <c r="O32" i="59"/>
  <c r="Q30" i="59"/>
  <c r="O30" i="59"/>
  <c r="Q665" i="57"/>
  <c r="Q589" i="57"/>
  <c r="Q591" i="57"/>
  <c r="Q470" i="57"/>
  <c r="Q472" i="57"/>
  <c r="Q741" i="57"/>
  <c r="Q740" i="57"/>
  <c r="O740" i="57"/>
  <c r="Q739" i="57"/>
  <c r="Q738" i="57"/>
  <c r="Q737" i="57"/>
  <c r="P236" i="57"/>
  <c r="O236" i="57"/>
  <c r="F109" i="62"/>
  <c r="F100" i="62"/>
  <c r="F113" i="62"/>
  <c r="F104" i="62"/>
  <c r="Q33" i="57"/>
  <c r="M262" i="31"/>
  <c r="M45" i="31"/>
  <c r="M53" i="31"/>
  <c r="M203" i="31"/>
  <c r="M211" i="31"/>
  <c r="K234" i="18"/>
  <c r="Q60" i="57"/>
  <c r="K28" i="36"/>
  <c r="K20" i="36"/>
  <c r="K24" i="36"/>
  <c r="K17" i="57"/>
  <c r="K18" i="57"/>
  <c r="K21" i="57"/>
  <c r="K16" i="57"/>
  <c r="K19" i="62"/>
  <c r="K17" i="62"/>
  <c r="K15" i="62"/>
  <c r="M9" i="37"/>
  <c r="K20" i="62"/>
  <c r="K18" i="62"/>
  <c r="K16" i="62"/>
  <c r="K309" i="60"/>
  <c r="K305" i="60"/>
  <c r="K350" i="60"/>
  <c r="K346" i="60"/>
  <c r="K308" i="60"/>
  <c r="K304" i="60"/>
  <c r="K351" i="60"/>
  <c r="K347" i="60"/>
  <c r="K267" i="60"/>
  <c r="K263" i="60"/>
  <c r="K266" i="60"/>
  <c r="K262" i="60"/>
  <c r="M47" i="31"/>
  <c r="M55" i="31"/>
  <c r="M161" i="31"/>
  <c r="M197" i="31"/>
  <c r="M205" i="31"/>
  <c r="Q749" i="57"/>
  <c r="O55" i="59"/>
  <c r="O64" i="59"/>
  <c r="O72" i="59"/>
  <c r="O44" i="59"/>
  <c r="O38" i="59"/>
  <c r="O28" i="59"/>
  <c r="O24" i="59"/>
  <c r="O60" i="59"/>
  <c r="O78" i="59"/>
  <c r="O76" i="59"/>
  <c r="O67" i="59"/>
  <c r="O62" i="59"/>
  <c r="O50" i="59"/>
  <c r="O470" i="57"/>
  <c r="O475" i="57"/>
  <c r="O586" i="57"/>
  <c r="O672" i="57"/>
  <c r="O743" i="57"/>
  <c r="O671" i="57"/>
  <c r="O693" i="57"/>
  <c r="O620" i="57"/>
  <c r="O619" i="57"/>
  <c r="O604" i="57"/>
  <c r="O597" i="57"/>
  <c r="O602" i="57"/>
  <c r="O617" i="57"/>
  <c r="O615" i="57"/>
  <c r="O613" i="57"/>
  <c r="O596" i="57"/>
  <c r="O593" i="57"/>
  <c r="O584" i="57"/>
  <c r="O684" i="57"/>
  <c r="O677" i="57"/>
  <c r="O670" i="57"/>
  <c r="O751" i="57"/>
  <c r="O731" i="57"/>
  <c r="O766" i="57"/>
  <c r="O762" i="57"/>
  <c r="O755" i="57"/>
  <c r="O750" i="57"/>
  <c r="O745" i="57"/>
  <c r="O734" i="57"/>
  <c r="O732" i="57"/>
  <c r="O659" i="57"/>
  <c r="O134" i="57"/>
  <c r="O179" i="57"/>
  <c r="O145" i="57"/>
  <c r="O149" i="57"/>
  <c r="O175" i="57"/>
  <c r="O169" i="57"/>
  <c r="O162" i="57"/>
  <c r="O152" i="57"/>
  <c r="O186" i="57"/>
  <c r="O159" i="57"/>
  <c r="O176" i="57"/>
  <c r="O170" i="57"/>
  <c r="O163" i="57"/>
  <c r="O153" i="57"/>
  <c r="O188" i="57"/>
  <c r="O183" i="57"/>
  <c r="O180" i="57"/>
  <c r="O338" i="60"/>
  <c r="O337" i="60"/>
  <c r="K19" i="57"/>
  <c r="K20" i="57"/>
  <c r="O25" i="59"/>
  <c r="O48" i="59"/>
  <c r="O68" i="59"/>
  <c r="O41" i="59"/>
  <c r="O43" i="59"/>
  <c r="O35" i="59"/>
  <c r="O27" i="59"/>
  <c r="O58" i="59"/>
  <c r="O77" i="59"/>
  <c r="O75" i="59"/>
  <c r="O65" i="59"/>
  <c r="O54" i="59"/>
  <c r="O81" i="59"/>
  <c r="I456" i="57"/>
  <c r="I444" i="57"/>
  <c r="I459" i="57"/>
  <c r="I447" i="57"/>
  <c r="I463" i="57"/>
  <c r="I451" i="57"/>
  <c r="I460" i="57"/>
  <c r="I448" i="57"/>
  <c r="I454" i="57"/>
  <c r="I442" i="57"/>
  <c r="I218" i="57"/>
  <c r="I206" i="57"/>
  <c r="I220" i="57"/>
  <c r="I208" i="57"/>
  <c r="I221" i="57"/>
  <c r="I209" i="57"/>
  <c r="I223" i="57"/>
  <c r="I211" i="57"/>
  <c r="I337" i="57"/>
  <c r="I325" i="57"/>
  <c r="I339" i="57"/>
  <c r="I327" i="57"/>
  <c r="I225" i="57"/>
  <c r="I213" i="57"/>
  <c r="I341" i="57"/>
  <c r="I329" i="57"/>
  <c r="I343" i="57"/>
  <c r="I331" i="57"/>
  <c r="I345" i="57"/>
  <c r="I333" i="57"/>
  <c r="O737" i="57"/>
  <c r="O741" i="57"/>
  <c r="O589" i="57"/>
  <c r="O480" i="57"/>
  <c r="O674" i="57"/>
  <c r="O749" i="57"/>
  <c r="O681" i="57"/>
  <c r="O695" i="57"/>
  <c r="O753" i="57"/>
  <c r="O687" i="57"/>
  <c r="O680" i="57"/>
  <c r="O667" i="57"/>
  <c r="O767" i="57"/>
  <c r="O757" i="57"/>
  <c r="O747" i="57"/>
  <c r="O733" i="57"/>
  <c r="O657" i="57"/>
  <c r="O312" i="59"/>
  <c r="O433" i="59"/>
  <c r="O125" i="57"/>
  <c r="O161" i="57"/>
  <c r="O177" i="57"/>
  <c r="O166" i="57"/>
  <c r="O155" i="57"/>
  <c r="O150" i="57"/>
  <c r="O178" i="57"/>
  <c r="O174" i="57"/>
  <c r="O168" i="57"/>
  <c r="O158" i="57"/>
  <c r="O151" i="57"/>
  <c r="O185" i="57"/>
  <c r="O187" i="57"/>
  <c r="O147" i="57"/>
  <c r="F114" i="59"/>
  <c r="F104" i="59"/>
  <c r="F118" i="59"/>
  <c r="F108" i="59"/>
  <c r="G13" i="62"/>
  <c r="G19" i="62"/>
  <c r="G12" i="62"/>
  <c r="K80" i="57"/>
  <c r="K81" i="57"/>
  <c r="K79" i="62"/>
  <c r="K80" i="62"/>
  <c r="Q9" i="37"/>
  <c r="F128" i="62"/>
  <c r="F115" i="62"/>
  <c r="F106" i="62"/>
  <c r="F127" i="62"/>
  <c r="F110" i="62"/>
  <c r="F119" i="62"/>
  <c r="F22" i="62"/>
  <c r="F19" i="59"/>
  <c r="F12" i="59"/>
  <c r="F31" i="62"/>
  <c r="F16" i="62"/>
  <c r="F9" i="62"/>
  <c r="F116" i="59"/>
  <c r="F120" i="59"/>
  <c r="F115" i="59"/>
  <c r="F105" i="59"/>
  <c r="F119" i="59"/>
  <c r="F109" i="59"/>
  <c r="F117" i="59"/>
  <c r="F107" i="59"/>
  <c r="F106" i="59"/>
  <c r="F110" i="59"/>
  <c r="F326" i="57"/>
  <c r="F114" i="62"/>
  <c r="F105" i="62"/>
  <c r="F111" i="62"/>
  <c r="F102" i="62"/>
  <c r="F101" i="62"/>
  <c r="F19" i="62"/>
  <c r="F12" i="62"/>
  <c r="Q265" i="59"/>
  <c r="O265" i="59"/>
  <c r="Q272" i="59"/>
  <c r="O272" i="59"/>
  <c r="Q267" i="59"/>
  <c r="O267" i="59"/>
  <c r="Q266" i="59"/>
  <c r="Q273" i="59"/>
  <c r="O273" i="59"/>
  <c r="Q259" i="59"/>
  <c r="O259" i="59"/>
  <c r="Q274" i="59"/>
  <c r="Q424" i="59"/>
  <c r="Q426" i="59"/>
  <c r="O426" i="59"/>
  <c r="Q428" i="59"/>
  <c r="Q432" i="59"/>
  <c r="O432" i="59"/>
  <c r="Q436" i="59"/>
  <c r="Q440" i="59"/>
  <c r="O440" i="59"/>
  <c r="Q442" i="59"/>
  <c r="Q444" i="59"/>
  <c r="O444" i="59"/>
  <c r="Q423" i="59"/>
  <c r="Q384" i="59"/>
  <c r="O384" i="59"/>
  <c r="Q386" i="59"/>
  <c r="Q391" i="59"/>
  <c r="O391" i="59"/>
  <c r="Q395" i="59"/>
  <c r="Q399" i="59"/>
  <c r="O399" i="59"/>
  <c r="Q401" i="59"/>
  <c r="Q403" i="59"/>
  <c r="O403" i="59"/>
  <c r="Q382" i="59"/>
  <c r="Q300" i="59"/>
  <c r="O300" i="59"/>
  <c r="Q302" i="59"/>
  <c r="O302" i="59"/>
  <c r="Q306" i="59"/>
  <c r="O306" i="59"/>
  <c r="Q310" i="59"/>
  <c r="O310" i="59"/>
  <c r="Q314" i="59"/>
  <c r="O314" i="59"/>
  <c r="Q316" i="59"/>
  <c r="O316" i="59"/>
  <c r="Q318" i="59"/>
  <c r="O318" i="59"/>
  <c r="Q297" i="59"/>
  <c r="O297" i="59"/>
  <c r="Q256" i="59"/>
  <c r="Q258" i="59"/>
  <c r="O258" i="59"/>
  <c r="Q298" i="59"/>
  <c r="O298" i="59"/>
  <c r="Q276" i="59"/>
  <c r="O276" i="59"/>
  <c r="Q212" i="59"/>
  <c r="Q216" i="59"/>
  <c r="Q224" i="59"/>
  <c r="Q230" i="59"/>
  <c r="Q211" i="59"/>
  <c r="Q390" i="59"/>
  <c r="O390" i="59"/>
  <c r="Q217" i="59"/>
  <c r="O217" i="59"/>
  <c r="Q429" i="59"/>
  <c r="O429" i="59"/>
  <c r="Q438" i="59"/>
  <c r="O438" i="59"/>
  <c r="Q307" i="59"/>
  <c r="O307" i="59"/>
  <c r="Q260" i="59"/>
  <c r="O260" i="59"/>
  <c r="Q269" i="59"/>
  <c r="O269" i="59"/>
  <c r="Q347" i="59"/>
  <c r="O347" i="59"/>
  <c r="Q355" i="59"/>
  <c r="O355" i="59"/>
  <c r="Q362" i="59"/>
  <c r="Q341" i="59"/>
  <c r="Q343" i="59"/>
  <c r="O343" i="59"/>
  <c r="Q346" i="59"/>
  <c r="O346" i="59"/>
  <c r="Q350" i="59"/>
  <c r="O350" i="59"/>
  <c r="Q353" i="59"/>
  <c r="Q357" i="59"/>
  <c r="O357" i="59"/>
  <c r="Q359" i="59"/>
  <c r="Q361" i="59"/>
  <c r="O361" i="59"/>
  <c r="Q321" i="59"/>
  <c r="Q363" i="59"/>
  <c r="O363" i="59"/>
  <c r="O362" i="59"/>
  <c r="Q215" i="59"/>
  <c r="O215" i="59"/>
  <c r="Q222" i="59"/>
  <c r="O222" i="59"/>
  <c r="Q229" i="59"/>
  <c r="O229" i="59"/>
  <c r="Q233" i="59"/>
  <c r="O233" i="59"/>
  <c r="Q389" i="59"/>
  <c r="O389" i="59"/>
  <c r="Q394" i="59"/>
  <c r="O394" i="59"/>
  <c r="Q221" i="59"/>
  <c r="O221" i="59"/>
  <c r="Q226" i="59"/>
  <c r="O226" i="59"/>
  <c r="Q235" i="59"/>
  <c r="O235" i="59"/>
  <c r="O234" i="59"/>
  <c r="Q435" i="59"/>
  <c r="O435" i="59"/>
  <c r="Q305" i="59"/>
  <c r="O305" i="59"/>
  <c r="Q313" i="59"/>
  <c r="O313" i="59"/>
  <c r="Q264" i="59"/>
  <c r="O264" i="59"/>
  <c r="Q345" i="59"/>
  <c r="O345" i="59"/>
  <c r="Q354" i="59"/>
  <c r="O354" i="59"/>
  <c r="Q446" i="59"/>
  <c r="Q234" i="59"/>
  <c r="Q263" i="59"/>
  <c r="O263" i="59"/>
  <c r="Q271" i="59"/>
  <c r="O271" i="59"/>
  <c r="Q340" i="59"/>
  <c r="O340" i="59"/>
  <c r="Q342" i="59"/>
  <c r="O342" i="59"/>
  <c r="Q344" i="59"/>
  <c r="O344" i="59"/>
  <c r="Q348" i="59"/>
  <c r="O348" i="59"/>
  <c r="Q352" i="59"/>
  <c r="O352" i="59"/>
  <c r="Q356" i="59"/>
  <c r="O356" i="59"/>
  <c r="Q358" i="59"/>
  <c r="O358" i="59"/>
  <c r="Q360" i="59"/>
  <c r="O360" i="59"/>
  <c r="Q339" i="59"/>
  <c r="O339" i="59"/>
  <c r="Q278" i="59"/>
  <c r="O278" i="59"/>
  <c r="O277" i="59"/>
  <c r="Q213" i="59"/>
  <c r="O213" i="59"/>
  <c r="Q218" i="59"/>
  <c r="O218" i="59"/>
  <c r="Q225" i="59"/>
  <c r="O225" i="59"/>
  <c r="Q231" i="59"/>
  <c r="O231" i="59"/>
  <c r="Q449" i="59"/>
  <c r="O449" i="59"/>
  <c r="O448" i="59"/>
  <c r="Q388" i="59"/>
  <c r="O388" i="59"/>
  <c r="Q397" i="59"/>
  <c r="O397" i="59"/>
  <c r="Q223" i="59"/>
  <c r="O223" i="59"/>
  <c r="Q227" i="59"/>
  <c r="O227" i="59"/>
  <c r="Q431" i="59"/>
  <c r="O431" i="59"/>
  <c r="Q439" i="59"/>
  <c r="O439" i="59"/>
  <c r="Q309" i="59"/>
  <c r="O309" i="59"/>
  <c r="Q261" i="59"/>
  <c r="O261" i="59"/>
  <c r="Q270" i="59"/>
  <c r="O270" i="59"/>
  <c r="Q349" i="59"/>
  <c r="O349" i="59"/>
  <c r="Q364" i="59"/>
  <c r="Q320" i="59"/>
  <c r="Q405" i="59"/>
  <c r="G8" i="39"/>
  <c r="G22" i="40"/>
  <c r="O22" i="40"/>
  <c r="J115" i="31"/>
  <c r="H115" i="31"/>
  <c r="M115" i="31"/>
  <c r="H113" i="18"/>
  <c r="F113" i="18"/>
  <c r="O359" i="59"/>
  <c r="O748" i="57"/>
  <c r="K106" i="18"/>
  <c r="M236" i="31"/>
  <c r="H208" i="18"/>
  <c r="K208" i="18"/>
  <c r="J208" i="18"/>
  <c r="H200" i="18"/>
  <c r="J200" i="18"/>
  <c r="J196" i="31"/>
  <c r="H196" i="31"/>
  <c r="L196" i="31"/>
  <c r="H172" i="31"/>
  <c r="J172" i="31"/>
  <c r="K217" i="18"/>
  <c r="K169" i="18"/>
  <c r="E115" i="35"/>
  <c r="G95" i="35"/>
  <c r="I46" i="3"/>
  <c r="E46" i="3"/>
  <c r="J46" i="3"/>
  <c r="K46" i="3"/>
  <c r="E63" i="35"/>
  <c r="G63" i="35"/>
  <c r="K63" i="35"/>
  <c r="N63" i="35"/>
  <c r="E80" i="35"/>
  <c r="E97" i="35"/>
  <c r="H108" i="18"/>
  <c r="F108" i="18"/>
  <c r="K108" i="18"/>
  <c r="E25" i="3"/>
  <c r="J25" i="3"/>
  <c r="K25" i="3"/>
  <c r="I25" i="3"/>
  <c r="L11" i="31"/>
  <c r="J11" i="31"/>
  <c r="H11" i="31"/>
  <c r="M11" i="31"/>
  <c r="H8" i="31"/>
  <c r="J8" i="31"/>
  <c r="L8" i="31"/>
  <c r="P736" i="57"/>
  <c r="O736" i="57"/>
  <c r="Q736" i="57"/>
  <c r="P473" i="57"/>
  <c r="O473" i="57"/>
  <c r="O457" i="57"/>
  <c r="O445" i="57"/>
  <c r="Q473" i="57"/>
  <c r="P592" i="57"/>
  <c r="O592" i="57"/>
  <c r="Q592" i="57"/>
  <c r="P131" i="57"/>
  <c r="Q131" i="57"/>
  <c r="F92" i="31"/>
  <c r="E118" i="31"/>
  <c r="F118" i="31"/>
  <c r="J89" i="31"/>
  <c r="H89" i="31"/>
  <c r="K136" i="18"/>
  <c r="P124" i="57"/>
  <c r="Q124" i="57"/>
  <c r="Q268" i="59"/>
  <c r="P268" i="59"/>
  <c r="O268" i="59"/>
  <c r="Q36" i="60"/>
  <c r="Q30" i="60"/>
  <c r="Q24" i="60"/>
  <c r="Q17" i="60"/>
  <c r="O171" i="57"/>
  <c r="M305" i="31"/>
  <c r="M303" i="31"/>
  <c r="Q47" i="57"/>
  <c r="Q31" i="57"/>
  <c r="Q54" i="57"/>
  <c r="Q32" i="57"/>
  <c r="M163" i="31"/>
  <c r="M320" i="31"/>
  <c r="H326" i="31"/>
  <c r="J326" i="31"/>
  <c r="J116" i="31"/>
  <c r="H116" i="31"/>
  <c r="M116" i="31"/>
  <c r="K30" i="35"/>
  <c r="M30" i="35"/>
  <c r="I12" i="35"/>
  <c r="K12" i="35"/>
  <c r="K59" i="37"/>
  <c r="K60" i="37"/>
  <c r="J60" i="37"/>
  <c r="F331" i="31"/>
  <c r="E384" i="31"/>
  <c r="F384" i="31"/>
  <c r="H384" i="31"/>
  <c r="F323" i="31"/>
  <c r="E376" i="31"/>
  <c r="F376" i="31"/>
  <c r="H376" i="31"/>
  <c r="K107" i="37"/>
  <c r="K108" i="37"/>
  <c r="J108" i="37"/>
  <c r="F71" i="37"/>
  <c r="H71" i="37"/>
  <c r="H72" i="37"/>
  <c r="K46" i="59"/>
  <c r="J71" i="37"/>
  <c r="J72" i="37"/>
  <c r="K80" i="59"/>
  <c r="P233" i="57"/>
  <c r="O233" i="57"/>
  <c r="Q233" i="57"/>
  <c r="L20" i="31"/>
  <c r="J20" i="31"/>
  <c r="M20" i="31"/>
  <c r="J13" i="31"/>
  <c r="H13" i="31"/>
  <c r="L13" i="31"/>
  <c r="O280" i="60"/>
  <c r="O278" i="60"/>
  <c r="O266" i="59"/>
  <c r="G46" i="35"/>
  <c r="K46" i="35"/>
  <c r="N46" i="35"/>
  <c r="O8" i="40"/>
  <c r="G8" i="40"/>
  <c r="L8" i="40"/>
  <c r="M8" i="40"/>
  <c r="N8" i="40"/>
  <c r="M10" i="39"/>
  <c r="Q8" i="39"/>
  <c r="O8" i="39"/>
  <c r="O9" i="39"/>
  <c r="Q17" i="39"/>
  <c r="Q20" i="39"/>
  <c r="O20" i="39"/>
  <c r="Q14" i="39"/>
  <c r="G45" i="35"/>
  <c r="E62" i="35"/>
  <c r="G62" i="35"/>
  <c r="I62" i="35"/>
  <c r="E79" i="35"/>
  <c r="N8" i="35"/>
  <c r="E18" i="3"/>
  <c r="J18" i="3"/>
  <c r="K18" i="3"/>
  <c r="I18" i="3"/>
  <c r="F325" i="18"/>
  <c r="H325" i="18"/>
  <c r="F132" i="37"/>
  <c r="H132" i="37"/>
  <c r="H133" i="37"/>
  <c r="E383" i="31"/>
  <c r="F383" i="31"/>
  <c r="H383" i="31"/>
  <c r="F330" i="31"/>
  <c r="F322" i="31"/>
  <c r="E375" i="31"/>
  <c r="F375" i="31"/>
  <c r="H375" i="31"/>
  <c r="G29" i="35"/>
  <c r="E48" i="35"/>
  <c r="H83" i="37"/>
  <c r="J83" i="37"/>
  <c r="J84" i="37"/>
  <c r="L15" i="31"/>
  <c r="H15" i="31"/>
  <c r="M15" i="31"/>
  <c r="J15" i="31"/>
  <c r="F243" i="18"/>
  <c r="H243" i="18"/>
  <c r="J210" i="18"/>
  <c r="H210" i="18"/>
  <c r="H204" i="31"/>
  <c r="L204" i="31"/>
  <c r="J204" i="31"/>
  <c r="J198" i="31"/>
  <c r="H198" i="31"/>
  <c r="L198" i="31"/>
  <c r="J52" i="18"/>
  <c r="H52" i="18"/>
  <c r="F52" i="18"/>
  <c r="L56" i="31"/>
  <c r="L60" i="31"/>
  <c r="H56" i="31"/>
  <c r="K118" i="18"/>
  <c r="K111" i="18"/>
  <c r="H38" i="39"/>
  <c r="L251" i="31"/>
  <c r="I226" i="35"/>
  <c r="J9" i="36"/>
  <c r="G20" i="39"/>
  <c r="L20" i="39"/>
  <c r="M20" i="39"/>
  <c r="N20" i="39"/>
  <c r="L13" i="39"/>
  <c r="H107" i="18"/>
  <c r="F107" i="18"/>
  <c r="F112" i="18"/>
  <c r="H112" i="18"/>
  <c r="H108" i="31"/>
  <c r="J108" i="31"/>
  <c r="I23" i="3"/>
  <c r="E23" i="3"/>
  <c r="J23" i="3"/>
  <c r="K23" i="3"/>
  <c r="F115" i="18"/>
  <c r="H115" i="18"/>
  <c r="G22" i="39"/>
  <c r="F20" i="36"/>
  <c r="F28" i="36"/>
  <c r="F24" i="36"/>
  <c r="H337" i="18"/>
  <c r="F337" i="18"/>
  <c r="H331" i="18"/>
  <c r="F331" i="18"/>
  <c r="K331" i="18"/>
  <c r="K9" i="35"/>
  <c r="M9" i="35"/>
  <c r="F34" i="37"/>
  <c r="H34" i="37"/>
  <c r="H35" i="37"/>
  <c r="O35" i="37"/>
  <c r="G49" i="35"/>
  <c r="K49" i="35"/>
  <c r="N49" i="35"/>
  <c r="E83" i="35"/>
  <c r="G83" i="35"/>
  <c r="G8" i="3"/>
  <c r="F8" i="3"/>
  <c r="D34" i="3"/>
  <c r="D51" i="3"/>
  <c r="I51" i="3"/>
  <c r="G39" i="3"/>
  <c r="F24" i="3"/>
  <c r="F20" i="3"/>
  <c r="F15" i="3"/>
  <c r="F11" i="3"/>
  <c r="D50" i="3"/>
  <c r="G36" i="3"/>
  <c r="G40" i="3"/>
  <c r="D28" i="3"/>
  <c r="G25" i="3"/>
  <c r="D22" i="3"/>
  <c r="D14" i="3"/>
  <c r="D9" i="3"/>
  <c r="G11" i="3"/>
  <c r="G15" i="3"/>
  <c r="G22" i="3"/>
  <c r="D35" i="3"/>
  <c r="D47" i="3"/>
  <c r="D44" i="3"/>
  <c r="D43" i="3"/>
  <c r="G49" i="3"/>
  <c r="D40" i="3"/>
  <c r="F25" i="3"/>
  <c r="F21" i="3"/>
  <c r="F17" i="3"/>
  <c r="F12" i="3"/>
  <c r="D52" i="3"/>
  <c r="D36" i="3"/>
  <c r="E36" i="3"/>
  <c r="D41" i="3"/>
  <c r="G34" i="3"/>
  <c r="D20" i="3"/>
  <c r="D17" i="3"/>
  <c r="E17" i="3"/>
  <c r="D15" i="3"/>
  <c r="D12" i="3"/>
  <c r="D10" i="3"/>
  <c r="G10" i="3"/>
  <c r="G14" i="3"/>
  <c r="G20" i="3"/>
  <c r="G26" i="3"/>
  <c r="D54" i="3"/>
  <c r="G47" i="3"/>
  <c r="D8" i="3"/>
  <c r="G44" i="3"/>
  <c r="D45" i="3"/>
  <c r="G35" i="3"/>
  <c r="G43" i="3"/>
  <c r="F28" i="3"/>
  <c r="F23" i="3"/>
  <c r="F19" i="3"/>
  <c r="F14" i="3"/>
  <c r="F10" i="3"/>
  <c r="G38" i="3"/>
  <c r="J38" i="3"/>
  <c r="D39" i="3"/>
  <c r="D26" i="3"/>
  <c r="D24" i="3"/>
  <c r="D21" i="3"/>
  <c r="E21" i="3"/>
  <c r="D19" i="3"/>
  <c r="D13" i="3"/>
  <c r="D11" i="3"/>
  <c r="G12" i="3"/>
  <c r="G18" i="3"/>
  <c r="G23" i="3"/>
  <c r="D37" i="3"/>
  <c r="G52" i="3"/>
  <c r="D48" i="3"/>
  <c r="J21" i="31"/>
  <c r="H21" i="31"/>
  <c r="M21" i="31"/>
  <c r="L21" i="31"/>
  <c r="H206" i="18"/>
  <c r="J206" i="18"/>
  <c r="K206" i="18"/>
  <c r="J210" i="31"/>
  <c r="M210" i="31"/>
  <c r="H210" i="31"/>
  <c r="H296" i="31"/>
  <c r="J296" i="31"/>
  <c r="M335" i="31"/>
  <c r="H35" i="40"/>
  <c r="J49" i="3"/>
  <c r="K49" i="3"/>
  <c r="M234" i="31"/>
  <c r="K214" i="18"/>
  <c r="Q18" i="60"/>
  <c r="G20" i="40"/>
  <c r="L20" i="40"/>
  <c r="M20" i="40"/>
  <c r="N20" i="40"/>
  <c r="M78" i="35"/>
  <c r="I78" i="35"/>
  <c r="E38" i="3"/>
  <c r="K38" i="3"/>
  <c r="P16" i="40"/>
  <c r="P19" i="40"/>
  <c r="P10" i="40"/>
  <c r="P7" i="40"/>
  <c r="O7" i="40"/>
  <c r="P23" i="40"/>
  <c r="P17" i="40"/>
  <c r="P11" i="40"/>
  <c r="P14" i="40"/>
  <c r="P14" i="39"/>
  <c r="P23" i="39"/>
  <c r="P17" i="39"/>
  <c r="P11" i="39"/>
  <c r="I25" i="35"/>
  <c r="M25" i="35"/>
  <c r="E374" i="31"/>
  <c r="F374" i="31"/>
  <c r="H374" i="31"/>
  <c r="F321" i="31"/>
  <c r="G44" i="35"/>
  <c r="E61" i="35"/>
  <c r="G61" i="35"/>
  <c r="H19" i="31"/>
  <c r="J19" i="31"/>
  <c r="L19" i="31"/>
  <c r="H212" i="18"/>
  <c r="J212" i="18"/>
  <c r="K212" i="18"/>
  <c r="J206" i="31"/>
  <c r="H206" i="31"/>
  <c r="L206" i="31"/>
  <c r="J175" i="18"/>
  <c r="K175" i="18"/>
  <c r="F175" i="18"/>
  <c r="L166" i="31"/>
  <c r="H166" i="31"/>
  <c r="J21" i="18"/>
  <c r="F21" i="18"/>
  <c r="K21" i="18"/>
  <c r="F146" i="18"/>
  <c r="J146" i="18"/>
  <c r="J152" i="18"/>
  <c r="E272" i="31"/>
  <c r="F272" i="31"/>
  <c r="F243" i="31"/>
  <c r="J369" i="18"/>
  <c r="K353" i="18"/>
  <c r="K369" i="18"/>
  <c r="H355" i="31"/>
  <c r="L355" i="31"/>
  <c r="R80" i="57"/>
  <c r="R81" i="57"/>
  <c r="M329" i="31"/>
  <c r="M114" i="31"/>
  <c r="K182" i="18"/>
  <c r="K204" i="18"/>
  <c r="J54" i="18"/>
  <c r="H54" i="18"/>
  <c r="E32" i="60"/>
  <c r="E75" i="60"/>
  <c r="F293" i="18"/>
  <c r="H293" i="18"/>
  <c r="H300" i="31"/>
  <c r="J300" i="31"/>
  <c r="H293" i="31"/>
  <c r="J293" i="31"/>
  <c r="M293" i="31"/>
  <c r="O12" i="62"/>
  <c r="O11" i="62"/>
  <c r="O13" i="62"/>
  <c r="K145" i="18"/>
  <c r="K140" i="18"/>
  <c r="R147" i="57"/>
  <c r="R267" i="57"/>
  <c r="R503" i="57"/>
  <c r="J164" i="31"/>
  <c r="L164" i="31"/>
  <c r="J58" i="18"/>
  <c r="K58" i="18"/>
  <c r="H58" i="18"/>
  <c r="J47" i="18"/>
  <c r="H47" i="18"/>
  <c r="K47" i="18"/>
  <c r="J306" i="31"/>
  <c r="H306" i="31"/>
  <c r="M306" i="31"/>
  <c r="H353" i="31"/>
  <c r="L353" i="31"/>
  <c r="Q123" i="59"/>
  <c r="R23" i="57"/>
  <c r="Q23" i="57"/>
  <c r="M145" i="31"/>
  <c r="R181" i="57"/>
  <c r="R386" i="57"/>
  <c r="R46" i="57"/>
  <c r="J56" i="18"/>
  <c r="H56" i="18"/>
  <c r="K56" i="18"/>
  <c r="J45" i="18"/>
  <c r="H45" i="18"/>
  <c r="H304" i="31"/>
  <c r="J304" i="31"/>
  <c r="M304" i="31"/>
  <c r="J292" i="31"/>
  <c r="H292" i="31"/>
  <c r="Q124" i="59"/>
  <c r="L7" i="39"/>
  <c r="K46" i="37"/>
  <c r="K47" i="37"/>
  <c r="M164" i="31"/>
  <c r="J170" i="31"/>
  <c r="K13" i="18"/>
  <c r="K150" i="18"/>
  <c r="K142" i="18"/>
  <c r="K139" i="18"/>
  <c r="K137" i="18"/>
  <c r="P115" i="62"/>
  <c r="P106" i="62"/>
  <c r="R146" i="57"/>
  <c r="R502" i="57"/>
  <c r="Q140" i="59"/>
  <c r="Q129" i="59"/>
  <c r="Q4" i="36"/>
  <c r="Q111" i="59"/>
  <c r="Q127" i="59"/>
  <c r="F114" i="57"/>
  <c r="F105" i="57"/>
  <c r="F116" i="57"/>
  <c r="F107" i="57"/>
  <c r="E25" i="60"/>
  <c r="Q41" i="60"/>
  <c r="Q39" i="60"/>
  <c r="Q37" i="60"/>
  <c r="Q31" i="60"/>
  <c r="Q26" i="60"/>
  <c r="Q19" i="60"/>
  <c r="Q14" i="60"/>
  <c r="Q144" i="59"/>
  <c r="Q135" i="59"/>
  <c r="Q126" i="59"/>
  <c r="F342" i="57"/>
  <c r="F330" i="57"/>
  <c r="F337" i="57"/>
  <c r="F325" i="57"/>
  <c r="F220" i="57"/>
  <c r="F208" i="57"/>
  <c r="F225" i="57"/>
  <c r="F213" i="57"/>
  <c r="F217" i="57"/>
  <c r="F205" i="57"/>
  <c r="F222" i="57"/>
  <c r="F210" i="57"/>
  <c r="P13" i="57"/>
  <c r="P38" i="57"/>
  <c r="O38" i="57"/>
  <c r="P4" i="36"/>
  <c r="P111" i="59"/>
  <c r="P176" i="59"/>
  <c r="P109" i="62"/>
  <c r="P100" i="62"/>
  <c r="P111" i="62"/>
  <c r="P102" i="62"/>
  <c r="P43" i="57"/>
  <c r="Q122" i="59"/>
  <c r="Q145" i="59"/>
  <c r="P145" i="59"/>
  <c r="O145" i="59"/>
  <c r="Q138" i="59"/>
  <c r="Q128" i="59"/>
  <c r="P128" i="59"/>
  <c r="O128" i="59"/>
  <c r="F336" i="57"/>
  <c r="F324" i="57"/>
  <c r="F341" i="57"/>
  <c r="F329" i="57"/>
  <c r="H170" i="18"/>
  <c r="H11" i="18"/>
  <c r="H29" i="18"/>
  <c r="H306" i="18"/>
  <c r="K306" i="18"/>
  <c r="P17" i="62"/>
  <c r="P10" i="62"/>
  <c r="P48" i="57"/>
  <c r="P44" i="57"/>
  <c r="P175" i="59"/>
  <c r="O175" i="59"/>
  <c r="P161" i="59"/>
  <c r="O161" i="59"/>
  <c r="F219" i="57"/>
  <c r="F207" i="57"/>
  <c r="F224" i="57"/>
  <c r="F212" i="57"/>
  <c r="F113" i="57"/>
  <c r="F104" i="57"/>
  <c r="F117" i="57"/>
  <c r="F108" i="57"/>
  <c r="F118" i="57"/>
  <c r="F109" i="57"/>
  <c r="F120" i="57"/>
  <c r="F111" i="57"/>
  <c r="Q180" i="59"/>
  <c r="Q179" i="59"/>
  <c r="Q178" i="59"/>
  <c r="Q177" i="59"/>
  <c r="Q176" i="59"/>
  <c r="Q175" i="59"/>
  <c r="Q172" i="59"/>
  <c r="Q171" i="59"/>
  <c r="Q170" i="59"/>
  <c r="Q168" i="59"/>
  <c r="Q166" i="59"/>
  <c r="Q164" i="59"/>
  <c r="Q163" i="59"/>
  <c r="Q161" i="59"/>
  <c r="Q159" i="59"/>
  <c r="Q155" i="59"/>
  <c r="Q153" i="59"/>
  <c r="Q152" i="59"/>
  <c r="Q150" i="59"/>
  <c r="F344" i="57"/>
  <c r="F332" i="57"/>
  <c r="F339" i="57"/>
  <c r="F327" i="57"/>
  <c r="F343" i="57"/>
  <c r="F331" i="57"/>
  <c r="F119" i="57"/>
  <c r="F110" i="57"/>
  <c r="F115" i="57"/>
  <c r="F106" i="57"/>
  <c r="F12" i="7"/>
  <c r="H12" i="7"/>
  <c r="G44" i="57"/>
  <c r="O44" i="57"/>
  <c r="Q14" i="36"/>
  <c r="M292" i="31"/>
  <c r="H321" i="31"/>
  <c r="J321" i="31"/>
  <c r="G7" i="40"/>
  <c r="O9" i="40"/>
  <c r="I24" i="3"/>
  <c r="E24" i="3"/>
  <c r="J24" i="3"/>
  <c r="K24" i="3"/>
  <c r="E20" i="3"/>
  <c r="J20" i="3"/>
  <c r="K20" i="3"/>
  <c r="I20" i="3"/>
  <c r="I44" i="3"/>
  <c r="E44" i="3"/>
  <c r="J44" i="3"/>
  <c r="K44" i="3"/>
  <c r="J8" i="36"/>
  <c r="K62" i="35"/>
  <c r="K379" i="59"/>
  <c r="K375" i="59"/>
  <c r="K420" i="59"/>
  <c r="K416" i="59"/>
  <c r="G39" i="40"/>
  <c r="L22" i="40"/>
  <c r="G42" i="40"/>
  <c r="G36" i="40"/>
  <c r="G45" i="40"/>
  <c r="G33" i="40"/>
  <c r="F25" i="57"/>
  <c r="F24" i="62"/>
  <c r="Q184" i="59"/>
  <c r="Q186" i="59"/>
  <c r="Q188" i="59"/>
  <c r="Q183" i="59"/>
  <c r="Q185" i="59"/>
  <c r="Q187" i="59"/>
  <c r="Q136" i="59"/>
  <c r="Q143" i="59"/>
  <c r="Q149" i="59"/>
  <c r="Q160" i="59"/>
  <c r="Q173" i="59"/>
  <c r="Q182" i="59"/>
  <c r="O182" i="59"/>
  <c r="Q141" i="59"/>
  <c r="Q162" i="59"/>
  <c r="Q157" i="59"/>
  <c r="Q169" i="59"/>
  <c r="O169" i="59"/>
  <c r="Q181" i="59"/>
  <c r="Q137" i="59"/>
  <c r="Q151" i="59"/>
  <c r="Q154" i="59"/>
  <c r="Q165" i="59"/>
  <c r="Q174" i="59"/>
  <c r="Q125" i="59"/>
  <c r="Q132" i="59"/>
  <c r="Q147" i="59"/>
  <c r="Q139" i="59"/>
  <c r="Q167" i="59"/>
  <c r="Q158" i="59"/>
  <c r="Q134" i="59"/>
  <c r="Q156" i="59"/>
  <c r="Q133" i="59"/>
  <c r="Q146" i="57"/>
  <c r="P146" i="57"/>
  <c r="M7" i="39"/>
  <c r="P23" i="57"/>
  <c r="M353" i="31"/>
  <c r="P80" i="57"/>
  <c r="G80" i="57"/>
  <c r="Q80" i="57"/>
  <c r="K44" i="35"/>
  <c r="I44" i="35"/>
  <c r="N25" i="35"/>
  <c r="O14" i="39"/>
  <c r="O15" i="39"/>
  <c r="G14" i="39"/>
  <c r="O23" i="40"/>
  <c r="O24" i="40"/>
  <c r="G23" i="40"/>
  <c r="O16" i="40"/>
  <c r="G16" i="40"/>
  <c r="I21" i="3"/>
  <c r="J21" i="3"/>
  <c r="K21" i="3"/>
  <c r="E45" i="3"/>
  <c r="I45" i="3"/>
  <c r="E54" i="3"/>
  <c r="I54" i="3"/>
  <c r="I17" i="3"/>
  <c r="J17" i="3"/>
  <c r="K17" i="3"/>
  <c r="I36" i="3"/>
  <c r="J36" i="3"/>
  <c r="K36" i="3"/>
  <c r="J43" i="3"/>
  <c r="K43" i="3"/>
  <c r="I43" i="3"/>
  <c r="E43" i="3"/>
  <c r="I14" i="3"/>
  <c r="E14" i="3"/>
  <c r="E51" i="3"/>
  <c r="J51" i="3"/>
  <c r="K51" i="3"/>
  <c r="E100" i="35"/>
  <c r="M83" i="35"/>
  <c r="N83" i="35"/>
  <c r="M108" i="31"/>
  <c r="M13" i="39"/>
  <c r="H84" i="37"/>
  <c r="K83" i="37"/>
  <c r="K84" i="37"/>
  <c r="J322" i="31"/>
  <c r="H322" i="31"/>
  <c r="F133" i="37"/>
  <c r="K132" i="37"/>
  <c r="K133" i="37"/>
  <c r="G79" i="35"/>
  <c r="E96" i="35"/>
  <c r="F72" i="37"/>
  <c r="K71" i="37"/>
  <c r="K72" i="37"/>
  <c r="H323" i="31"/>
  <c r="J323" i="31"/>
  <c r="M8" i="31"/>
  <c r="E136" i="35"/>
  <c r="G115" i="35"/>
  <c r="O36" i="40"/>
  <c r="O42" i="40"/>
  <c r="O45" i="40"/>
  <c r="O33" i="40"/>
  <c r="O35" i="40"/>
  <c r="O39" i="40"/>
  <c r="P150" i="59"/>
  <c r="O150" i="59"/>
  <c r="P123" i="59"/>
  <c r="O123" i="59"/>
  <c r="P180" i="59"/>
  <c r="O180" i="59"/>
  <c r="P155" i="59"/>
  <c r="O155" i="59"/>
  <c r="P171" i="59"/>
  <c r="O171" i="59"/>
  <c r="P35" i="57"/>
  <c r="P30" i="57"/>
  <c r="P135" i="59"/>
  <c r="O135" i="59"/>
  <c r="P36" i="57"/>
  <c r="P140" i="59"/>
  <c r="O140" i="59"/>
  <c r="Q142" i="59"/>
  <c r="P172" i="59"/>
  <c r="O172" i="59"/>
  <c r="P42" i="57"/>
  <c r="P25" i="57"/>
  <c r="K54" i="18"/>
  <c r="K146" i="18"/>
  <c r="M206" i="31"/>
  <c r="K337" i="18"/>
  <c r="K115" i="18"/>
  <c r="K210" i="18"/>
  <c r="F29" i="18"/>
  <c r="M13" i="31"/>
  <c r="N30" i="35"/>
  <c r="O124" i="57"/>
  <c r="O131" i="57"/>
  <c r="K113" i="18"/>
  <c r="H31" i="18"/>
  <c r="H30" i="18"/>
  <c r="G38" i="57"/>
  <c r="P183" i="59"/>
  <c r="O183" i="59"/>
  <c r="P184" i="59"/>
  <c r="O184" i="59"/>
  <c r="P185" i="59"/>
  <c r="O185" i="59"/>
  <c r="P186" i="59"/>
  <c r="P187" i="59"/>
  <c r="O187" i="59"/>
  <c r="P188" i="59"/>
  <c r="O188" i="59"/>
  <c r="P122" i="59"/>
  <c r="O122" i="59"/>
  <c r="P139" i="59"/>
  <c r="P154" i="59"/>
  <c r="P165" i="59"/>
  <c r="O165" i="59"/>
  <c r="P174" i="59"/>
  <c r="P147" i="59"/>
  <c r="P136" i="59"/>
  <c r="O136" i="59"/>
  <c r="P143" i="59"/>
  <c r="P132" i="59"/>
  <c r="O132" i="59"/>
  <c r="P160" i="59"/>
  <c r="P173" i="59"/>
  <c r="O173" i="59"/>
  <c r="P134" i="59"/>
  <c r="O134" i="59"/>
  <c r="P162" i="59"/>
  <c r="P158" i="59"/>
  <c r="P156" i="59"/>
  <c r="O156" i="59"/>
  <c r="P167" i="59"/>
  <c r="O167" i="59"/>
  <c r="P149" i="59"/>
  <c r="O149" i="59"/>
  <c r="P181" i="59"/>
  <c r="P125" i="59"/>
  <c r="O125" i="59"/>
  <c r="P141" i="59"/>
  <c r="O141" i="59"/>
  <c r="P131" i="59"/>
  <c r="P169" i="59"/>
  <c r="P133" i="59"/>
  <c r="O133" i="59"/>
  <c r="P182" i="59"/>
  <c r="P157" i="59"/>
  <c r="O157" i="59"/>
  <c r="P137" i="59"/>
  <c r="P151" i="59"/>
  <c r="O151" i="59"/>
  <c r="P46" i="57"/>
  <c r="G46" i="57"/>
  <c r="Q46" i="57"/>
  <c r="J243" i="31"/>
  <c r="H243" i="31"/>
  <c r="O11" i="39"/>
  <c r="O12" i="39"/>
  <c r="G11" i="39"/>
  <c r="G12" i="39"/>
  <c r="I37" i="3"/>
  <c r="E37" i="3"/>
  <c r="J37" i="3"/>
  <c r="K37" i="3"/>
  <c r="E10" i="3"/>
  <c r="J10" i="3"/>
  <c r="I10" i="3"/>
  <c r="K10" i="3"/>
  <c r="I34" i="3"/>
  <c r="E34" i="3"/>
  <c r="J34" i="3"/>
  <c r="K34" i="3"/>
  <c r="J330" i="31"/>
  <c r="H330" i="31"/>
  <c r="M330" i="31"/>
  <c r="P34" i="57"/>
  <c r="P64" i="57"/>
  <c r="P85" i="57"/>
  <c r="P63" i="57"/>
  <c r="P76" i="57"/>
  <c r="P27" i="57"/>
  <c r="P50" i="57"/>
  <c r="P66" i="57"/>
  <c r="P77" i="57"/>
  <c r="P72" i="57"/>
  <c r="P71" i="57"/>
  <c r="P47" i="57"/>
  <c r="P86" i="57"/>
  <c r="P58" i="57"/>
  <c r="P74" i="57"/>
  <c r="P82" i="57"/>
  <c r="P62" i="57"/>
  <c r="P75" i="57"/>
  <c r="P56" i="57"/>
  <c r="P57" i="57"/>
  <c r="P88" i="57"/>
  <c r="P51" i="57"/>
  <c r="P68" i="57"/>
  <c r="P78" i="57"/>
  <c r="P87" i="57"/>
  <c r="P52" i="57"/>
  <c r="P69" i="57"/>
  <c r="P59" i="57"/>
  <c r="P67" i="57"/>
  <c r="P65" i="57"/>
  <c r="P70" i="57"/>
  <c r="P73" i="57"/>
  <c r="P53" i="57"/>
  <c r="P55" i="57"/>
  <c r="P61" i="57"/>
  <c r="P26" i="57"/>
  <c r="P24" i="57"/>
  <c r="P54" i="57"/>
  <c r="P84" i="57"/>
  <c r="P83" i="57"/>
  <c r="Q502" i="57"/>
  <c r="P502" i="57"/>
  <c r="Q181" i="57"/>
  <c r="P181" i="57"/>
  <c r="P147" i="57"/>
  <c r="Q147" i="57"/>
  <c r="Q81" i="57"/>
  <c r="P81" i="57"/>
  <c r="K370" i="18"/>
  <c r="K371" i="18"/>
  <c r="M166" i="31"/>
  <c r="K61" i="35"/>
  <c r="I61" i="35"/>
  <c r="G23" i="39"/>
  <c r="O23" i="39"/>
  <c r="G17" i="40"/>
  <c r="L17" i="40"/>
  <c r="M17" i="40"/>
  <c r="N17" i="40"/>
  <c r="G19" i="40"/>
  <c r="O19" i="40"/>
  <c r="N78" i="35"/>
  <c r="I48" i="3"/>
  <c r="E48" i="3"/>
  <c r="J48" i="3"/>
  <c r="K48" i="3"/>
  <c r="E19" i="3"/>
  <c r="J19" i="3"/>
  <c r="K19" i="3"/>
  <c r="I19" i="3"/>
  <c r="I39" i="3"/>
  <c r="E39" i="3"/>
  <c r="J39" i="3"/>
  <c r="K39" i="3"/>
  <c r="I15" i="3"/>
  <c r="E15" i="3"/>
  <c r="J15" i="3"/>
  <c r="K15" i="3"/>
  <c r="I41" i="3"/>
  <c r="E41" i="3"/>
  <c r="J41" i="3"/>
  <c r="K41" i="3"/>
  <c r="I35" i="3"/>
  <c r="E35" i="3"/>
  <c r="J35" i="3"/>
  <c r="K35" i="3"/>
  <c r="I9" i="3"/>
  <c r="E9" i="3"/>
  <c r="J9" i="3"/>
  <c r="K9" i="3"/>
  <c r="E28" i="3"/>
  <c r="J28" i="3"/>
  <c r="K28" i="3"/>
  <c r="I28" i="3"/>
  <c r="K34" i="37"/>
  <c r="K35" i="37"/>
  <c r="F35" i="37"/>
  <c r="K107" i="18"/>
  <c r="K52" i="18"/>
  <c r="K243" i="18"/>
  <c r="K181" i="59"/>
  <c r="O84" i="37"/>
  <c r="K225" i="60"/>
  <c r="K55" i="60"/>
  <c r="K54" i="60"/>
  <c r="K224" i="60"/>
  <c r="K139" i="60"/>
  <c r="K140" i="60"/>
  <c r="N10" i="39"/>
  <c r="K47" i="59"/>
  <c r="K719" i="57"/>
  <c r="K707" i="57"/>
  <c r="M60" i="37"/>
  <c r="K572" i="57"/>
  <c r="K560" i="57"/>
  <c r="K645" i="57"/>
  <c r="K634" i="57"/>
  <c r="K647" i="57"/>
  <c r="K636" i="57"/>
  <c r="K721" i="57"/>
  <c r="K709" i="57"/>
  <c r="K725" i="57"/>
  <c r="K713" i="57"/>
  <c r="K727" i="57"/>
  <c r="K715" i="57"/>
  <c r="K651" i="57"/>
  <c r="K640" i="57"/>
  <c r="K653" i="57"/>
  <c r="K642" i="57"/>
  <c r="K576" i="57"/>
  <c r="K564" i="57"/>
  <c r="K578" i="57"/>
  <c r="K566" i="57"/>
  <c r="K580" i="57"/>
  <c r="K568" i="57"/>
  <c r="K571" i="57"/>
  <c r="K559" i="57"/>
  <c r="K575" i="57"/>
  <c r="K563" i="57"/>
  <c r="K649" i="57"/>
  <c r="K638" i="57"/>
  <c r="K724" i="57"/>
  <c r="K712" i="57"/>
  <c r="K726" i="57"/>
  <c r="K714" i="57"/>
  <c r="K728" i="57"/>
  <c r="K716" i="57"/>
  <c r="K652" i="57"/>
  <c r="K641" i="57"/>
  <c r="K654" i="57"/>
  <c r="K643" i="57"/>
  <c r="K577" i="57"/>
  <c r="K565" i="57"/>
  <c r="K579" i="57"/>
  <c r="K567" i="57"/>
  <c r="K574" i="57"/>
  <c r="K562" i="57"/>
  <c r="K648" i="57"/>
  <c r="K637" i="57"/>
  <c r="K722" i="57"/>
  <c r="K710" i="57"/>
  <c r="K723" i="57"/>
  <c r="K711" i="57"/>
  <c r="K720" i="57"/>
  <c r="K708" i="57"/>
  <c r="K573" i="57"/>
  <c r="K561" i="57"/>
  <c r="K650" i="57"/>
  <c r="K639" i="57"/>
  <c r="K646" i="57"/>
  <c r="K635" i="57"/>
  <c r="M89" i="31"/>
  <c r="I95" i="35"/>
  <c r="K95" i="35"/>
  <c r="M95" i="35"/>
  <c r="P152" i="59"/>
  <c r="O152" i="59"/>
  <c r="P168" i="59"/>
  <c r="O168" i="59"/>
  <c r="P179" i="59"/>
  <c r="O179" i="59"/>
  <c r="P138" i="59"/>
  <c r="O138" i="59"/>
  <c r="P142" i="59"/>
  <c r="O142" i="59"/>
  <c r="P166" i="59"/>
  <c r="O166" i="59"/>
  <c r="P37" i="57"/>
  <c r="P170" i="59"/>
  <c r="O170" i="59"/>
  <c r="P40" i="57"/>
  <c r="Q130" i="59"/>
  <c r="P33" i="57"/>
  <c r="M198" i="31"/>
  <c r="M204" i="31"/>
  <c r="K45" i="18"/>
  <c r="K293" i="18"/>
  <c r="O14" i="40"/>
  <c r="G14" i="40"/>
  <c r="I11" i="3"/>
  <c r="E11" i="3"/>
  <c r="J11" i="3"/>
  <c r="K11" i="3"/>
  <c r="I52" i="3"/>
  <c r="E52" i="3"/>
  <c r="J52" i="3"/>
  <c r="K52" i="3"/>
  <c r="F246" i="7"/>
  <c r="E22" i="3"/>
  <c r="J22" i="3"/>
  <c r="K22" i="3"/>
  <c r="I22" i="3"/>
  <c r="M56" i="31"/>
  <c r="H60" i="31"/>
  <c r="E65" i="35"/>
  <c r="G65" i="35"/>
  <c r="E82" i="35"/>
  <c r="G48" i="35"/>
  <c r="J118" i="31"/>
  <c r="H118" i="31"/>
  <c r="O724" i="57"/>
  <c r="O712" i="57"/>
  <c r="G48" i="57"/>
  <c r="O48" i="57"/>
  <c r="G43" i="57"/>
  <c r="O43" i="57"/>
  <c r="P13" i="36"/>
  <c r="P16" i="36"/>
  <c r="P17" i="36"/>
  <c r="P14" i="36"/>
  <c r="P11" i="36"/>
  <c r="Q386" i="57"/>
  <c r="P386" i="57"/>
  <c r="Q267" i="57"/>
  <c r="P267" i="57"/>
  <c r="H272" i="31"/>
  <c r="L272" i="31"/>
  <c r="L278" i="31"/>
  <c r="G17" i="39"/>
  <c r="O17" i="39"/>
  <c r="O11" i="40"/>
  <c r="O12" i="40"/>
  <c r="G11" i="40"/>
  <c r="L11" i="40"/>
  <c r="M11" i="40"/>
  <c r="N11" i="40"/>
  <c r="O10" i="40"/>
  <c r="G10" i="40"/>
  <c r="E13" i="3"/>
  <c r="J13" i="3"/>
  <c r="K13" i="3"/>
  <c r="I13" i="3"/>
  <c r="I26" i="3"/>
  <c r="E26" i="3"/>
  <c r="J26" i="3"/>
  <c r="K26" i="3"/>
  <c r="I8" i="3"/>
  <c r="E8" i="3"/>
  <c r="J8" i="3"/>
  <c r="K8" i="3"/>
  <c r="I12" i="3"/>
  <c r="E12" i="3"/>
  <c r="J12" i="3"/>
  <c r="K12" i="3"/>
  <c r="I40" i="3"/>
  <c r="E40" i="3"/>
  <c r="J40" i="3"/>
  <c r="K40" i="3"/>
  <c r="E47" i="3"/>
  <c r="I47" i="3"/>
  <c r="J47" i="3"/>
  <c r="K47" i="3"/>
  <c r="I50" i="3"/>
  <c r="E50" i="3"/>
  <c r="J50" i="3"/>
  <c r="K50" i="3"/>
  <c r="G33" i="39"/>
  <c r="G39" i="39"/>
  <c r="G42" i="39"/>
  <c r="G36" i="39"/>
  <c r="G45" i="39"/>
  <c r="L22" i="39"/>
  <c r="G24" i="39"/>
  <c r="L61" i="31"/>
  <c r="L62" i="31"/>
  <c r="I29" i="35"/>
  <c r="K29" i="35"/>
  <c r="M29" i="35"/>
  <c r="K325" i="18"/>
  <c r="I45" i="35"/>
  <c r="N45" i="35"/>
  <c r="K45" i="35"/>
  <c r="H331" i="31"/>
  <c r="M331" i="31"/>
  <c r="J331" i="31"/>
  <c r="H92" i="31"/>
  <c r="M92" i="31"/>
  <c r="J92" i="31"/>
  <c r="P124" i="59"/>
  <c r="O124" i="59"/>
  <c r="P178" i="59"/>
  <c r="O178" i="59"/>
  <c r="P153" i="59"/>
  <c r="O153" i="59"/>
  <c r="P164" i="59"/>
  <c r="O164" i="59"/>
  <c r="P177" i="59"/>
  <c r="O177" i="59"/>
  <c r="P126" i="59"/>
  <c r="O126" i="59"/>
  <c r="P144" i="59"/>
  <c r="O144" i="59"/>
  <c r="P49" i="57"/>
  <c r="P129" i="59"/>
  <c r="O129" i="59"/>
  <c r="P159" i="59"/>
  <c r="O159" i="59"/>
  <c r="P29" i="57"/>
  <c r="P163" i="59"/>
  <c r="O163" i="59"/>
  <c r="P39" i="57"/>
  <c r="G80" i="35"/>
  <c r="M80" i="35"/>
  <c r="N80" i="35"/>
  <c r="M355" i="31"/>
  <c r="M19" i="31"/>
  <c r="K11" i="18"/>
  <c r="P130" i="59"/>
  <c r="O130" i="59"/>
  <c r="K112" i="18"/>
  <c r="N12" i="35"/>
  <c r="M326" i="31"/>
  <c r="P127" i="59"/>
  <c r="O127" i="59"/>
  <c r="F152" i="18"/>
  <c r="M172" i="31"/>
  <c r="F927" i="7"/>
  <c r="H927" i="7"/>
  <c r="F113" i="7"/>
  <c r="H113" i="7"/>
  <c r="F196" i="7"/>
  <c r="H196" i="7"/>
  <c r="E280" i="57"/>
  <c r="F54" i="7"/>
  <c r="H54" i="7"/>
  <c r="F310" i="7"/>
  <c r="H310" i="7"/>
  <c r="E466" i="57"/>
  <c r="F348" i="7"/>
  <c r="H348" i="7"/>
  <c r="E516" i="57"/>
  <c r="F388" i="7"/>
  <c r="H388" i="7"/>
  <c r="E583" i="57"/>
  <c r="F517" i="7"/>
  <c r="H517" i="7"/>
  <c r="E767" i="57"/>
  <c r="F900" i="7"/>
  <c r="H900" i="7"/>
  <c r="F1016" i="7"/>
  <c r="H1016" i="7"/>
  <c r="E318" i="60"/>
  <c r="F374" i="7"/>
  <c r="H374" i="7"/>
  <c r="E542" i="57"/>
  <c r="F641" i="7"/>
  <c r="H641" i="7"/>
  <c r="E156" i="59"/>
  <c r="F680" i="7"/>
  <c r="H680" i="7"/>
  <c r="E211" i="59"/>
  <c r="F631" i="7"/>
  <c r="H631" i="7"/>
  <c r="E144" i="59"/>
  <c r="F808" i="7"/>
  <c r="H808" i="7"/>
  <c r="E382" i="59"/>
  <c r="F640" i="7"/>
  <c r="H640" i="7"/>
  <c r="E155" i="59"/>
  <c r="F989" i="7"/>
  <c r="H989" i="7"/>
  <c r="E283" i="60"/>
  <c r="F915" i="7"/>
  <c r="H915" i="7"/>
  <c r="E150" i="60"/>
  <c r="F815" i="7"/>
  <c r="H815" i="7"/>
  <c r="E389" i="59"/>
  <c r="F781" i="7"/>
  <c r="H781" i="7"/>
  <c r="E346" i="59"/>
  <c r="F764" i="7"/>
  <c r="H764" i="7"/>
  <c r="E318" i="59"/>
  <c r="F534" i="7"/>
  <c r="H534" i="7"/>
  <c r="E26" i="59"/>
  <c r="F955" i="7"/>
  <c r="H955" i="7"/>
  <c r="F919" i="7"/>
  <c r="H919" i="7"/>
  <c r="F864" i="7"/>
  <c r="H864" i="7"/>
  <c r="E447" i="59"/>
  <c r="E446" i="59"/>
  <c r="L446" i="59"/>
  <c r="F816" i="7"/>
  <c r="H816" i="7"/>
  <c r="E390" i="59"/>
  <c r="F755" i="7"/>
  <c r="H755" i="7"/>
  <c r="E309" i="59"/>
  <c r="F404" i="7"/>
  <c r="H404" i="7"/>
  <c r="E599" i="57"/>
  <c r="F617" i="7"/>
  <c r="H617" i="7"/>
  <c r="E132" i="59"/>
  <c r="F646" i="7"/>
  <c r="H646" i="7"/>
  <c r="E161" i="59"/>
  <c r="F1021" i="7"/>
  <c r="H1021" i="7"/>
  <c r="E323" i="60"/>
  <c r="F920" i="7"/>
  <c r="H920" i="7"/>
  <c r="F832" i="7"/>
  <c r="H832" i="7"/>
  <c r="E406" i="59"/>
  <c r="E405" i="59"/>
  <c r="L405" i="59"/>
  <c r="M405" i="59"/>
  <c r="F820" i="7"/>
  <c r="H820" i="7"/>
  <c r="E394" i="59"/>
  <c r="F786" i="7"/>
  <c r="H786" i="7"/>
  <c r="E351" i="59"/>
  <c r="F714" i="7"/>
  <c r="H714" i="7"/>
  <c r="E256" i="59"/>
  <c r="F554" i="7"/>
  <c r="H554" i="7"/>
  <c r="E43" i="59"/>
  <c r="F564" i="7"/>
  <c r="H564" i="7"/>
  <c r="E55" i="59"/>
  <c r="F701" i="7"/>
  <c r="H701" i="7"/>
  <c r="E232" i="59"/>
  <c r="F602" i="7"/>
  <c r="H602" i="7"/>
  <c r="E122" i="59"/>
  <c r="F1022" i="7"/>
  <c r="H1022" i="7"/>
  <c r="E324" i="60"/>
  <c r="F774" i="7"/>
  <c r="H774" i="7"/>
  <c r="E339" i="59"/>
  <c r="F819" i="7"/>
  <c r="H819" i="7"/>
  <c r="E393" i="59"/>
  <c r="F44" i="7"/>
  <c r="H44" i="7"/>
  <c r="F914" i="7"/>
  <c r="H914" i="7"/>
  <c r="F988" i="7"/>
  <c r="H988" i="7"/>
  <c r="E282" i="60"/>
  <c r="F1051" i="7"/>
  <c r="H1051" i="7"/>
  <c r="E362" i="60"/>
  <c r="F744" i="7"/>
  <c r="H744" i="7"/>
  <c r="E298" i="59"/>
  <c r="F647" i="7"/>
  <c r="H647" i="7"/>
  <c r="E162" i="59"/>
  <c r="F613" i="7"/>
  <c r="H613" i="7"/>
  <c r="E130" i="59"/>
  <c r="F328" i="7"/>
  <c r="H328" i="7"/>
  <c r="E479" i="57"/>
  <c r="F28" i="7"/>
  <c r="H28" i="7"/>
  <c r="E38" i="57"/>
  <c r="F104" i="7"/>
  <c r="H104" i="7"/>
  <c r="F252" i="7"/>
  <c r="H252" i="7"/>
  <c r="E361" i="57"/>
  <c r="F176" i="7"/>
  <c r="H176" i="7"/>
  <c r="E241" i="57"/>
  <c r="F70" i="7"/>
  <c r="H70" i="7"/>
  <c r="F148" i="7"/>
  <c r="H148" i="7"/>
  <c r="F72" i="7"/>
  <c r="H72" i="7"/>
  <c r="F149" i="7"/>
  <c r="H149" i="7"/>
  <c r="E182" i="62"/>
  <c r="F73" i="7"/>
  <c r="H73" i="7"/>
  <c r="F145" i="7"/>
  <c r="H145" i="7"/>
  <c r="F150" i="7"/>
  <c r="H150" i="7"/>
  <c r="F146" i="7"/>
  <c r="H146" i="7"/>
  <c r="E184" i="57"/>
  <c r="F74" i="7"/>
  <c r="H74" i="7"/>
  <c r="F69" i="7"/>
  <c r="H69" i="7"/>
  <c r="F673" i="7"/>
  <c r="H673" i="7"/>
  <c r="E188" i="59"/>
  <c r="F778" i="7"/>
  <c r="H778" i="7"/>
  <c r="E343" i="59"/>
  <c r="F594" i="7"/>
  <c r="H594" i="7"/>
  <c r="E85" i="59"/>
  <c r="F672" i="7"/>
  <c r="H672" i="7"/>
  <c r="E187" i="59"/>
  <c r="F668" i="7"/>
  <c r="H668" i="7"/>
  <c r="E183" i="59"/>
  <c r="E181" i="59"/>
  <c r="F592" i="7"/>
  <c r="H592" i="7"/>
  <c r="E83" i="59"/>
  <c r="F669" i="7"/>
  <c r="H669" i="7"/>
  <c r="E184" i="59"/>
  <c r="F591" i="7"/>
  <c r="H591" i="7"/>
  <c r="E82" i="59"/>
  <c r="E80" i="59"/>
  <c r="L80" i="59"/>
  <c r="F812" i="7"/>
  <c r="H812" i="7"/>
  <c r="E386" i="59"/>
  <c r="F844" i="7"/>
  <c r="H844" i="7"/>
  <c r="E427" i="59"/>
  <c r="F671" i="7"/>
  <c r="H671" i="7"/>
  <c r="E186" i="59"/>
  <c r="F595" i="7"/>
  <c r="H595" i="7"/>
  <c r="E86" i="59"/>
  <c r="F596" i="7"/>
  <c r="H596" i="7"/>
  <c r="E87" i="59"/>
  <c r="F168" i="7"/>
  <c r="H168" i="7"/>
  <c r="E235" i="57"/>
  <c r="F27" i="7"/>
  <c r="H27" i="7"/>
  <c r="F41" i="7"/>
  <c r="H41" i="7"/>
  <c r="F51" i="7"/>
  <c r="H51" i="7"/>
  <c r="F58" i="7"/>
  <c r="H58" i="7"/>
  <c r="E70" i="57"/>
  <c r="F26" i="7"/>
  <c r="H26" i="7"/>
  <c r="F103" i="7"/>
  <c r="H103" i="7"/>
  <c r="F107" i="7"/>
  <c r="H107" i="7"/>
  <c r="F173" i="7"/>
  <c r="H173" i="7"/>
  <c r="E238" i="57"/>
  <c r="F180" i="7"/>
  <c r="H180" i="7"/>
  <c r="E245" i="57"/>
  <c r="F208" i="7"/>
  <c r="H208" i="7"/>
  <c r="E292" i="57"/>
  <c r="F251" i="7"/>
  <c r="H251" i="7"/>
  <c r="E360" i="57"/>
  <c r="F276" i="7"/>
  <c r="H276" i="7"/>
  <c r="E403" i="57"/>
  <c r="F275" i="7"/>
  <c r="H275" i="7"/>
  <c r="E402" i="57"/>
  <c r="F313" i="7"/>
  <c r="H313" i="7"/>
  <c r="E469" i="57"/>
  <c r="F31" i="7"/>
  <c r="H31" i="7"/>
  <c r="F84" i="7"/>
  <c r="H84" i="7"/>
  <c r="F91" i="7"/>
  <c r="H91" i="7"/>
  <c r="F123" i="7"/>
  <c r="H123" i="7"/>
  <c r="F122" i="7"/>
  <c r="H122" i="7"/>
  <c r="F175" i="7"/>
  <c r="H175" i="7"/>
  <c r="E240" i="57"/>
  <c r="F192" i="7"/>
  <c r="H192" i="7"/>
  <c r="E276" i="57"/>
  <c r="F200" i="7"/>
  <c r="H200" i="7"/>
  <c r="E284" i="57"/>
  <c r="F199" i="7"/>
  <c r="H199" i="7"/>
  <c r="E283" i="57"/>
  <c r="F237" i="7"/>
  <c r="H237" i="7"/>
  <c r="E351" i="57"/>
  <c r="F268" i="7"/>
  <c r="H268" i="7"/>
  <c r="E395" i="57"/>
  <c r="F330" i="7"/>
  <c r="H330" i="7"/>
  <c r="E481" i="57"/>
  <c r="F367" i="7"/>
  <c r="F17" i="7"/>
  <c r="H17" i="7"/>
  <c r="F30" i="7"/>
  <c r="H30" i="7"/>
  <c r="F47" i="7"/>
  <c r="H47" i="7"/>
  <c r="F85" i="7"/>
  <c r="H85" i="7"/>
  <c r="F106" i="7"/>
  <c r="H106" i="7"/>
  <c r="F116" i="7"/>
  <c r="H116" i="7"/>
  <c r="F161" i="7"/>
  <c r="H161" i="7"/>
  <c r="E231" i="57"/>
  <c r="F174" i="7"/>
  <c r="H174" i="7"/>
  <c r="E239" i="57"/>
  <c r="F193" i="7"/>
  <c r="H193" i="7"/>
  <c r="E277" i="57"/>
  <c r="F254" i="7"/>
  <c r="H254" i="7"/>
  <c r="E363" i="57"/>
  <c r="F291" i="7"/>
  <c r="F250" i="7"/>
  <c r="H250" i="7"/>
  <c r="E359" i="57"/>
  <c r="F269" i="7"/>
  <c r="H269" i="7"/>
  <c r="E396" i="57"/>
  <c r="F325" i="7"/>
  <c r="H325" i="7"/>
  <c r="E476" i="57"/>
  <c r="F332" i="7"/>
  <c r="H332" i="7"/>
  <c r="E483" i="57"/>
  <c r="F32" i="7"/>
  <c r="H32" i="7"/>
  <c r="F108" i="7"/>
  <c r="H108" i="7"/>
  <c r="F178" i="7"/>
  <c r="H178" i="7"/>
  <c r="E243" i="57"/>
  <c r="F256" i="7"/>
  <c r="H256" i="7"/>
  <c r="E365" i="57"/>
  <c r="F255" i="7"/>
  <c r="H255" i="7"/>
  <c r="E364" i="57"/>
  <c r="F270" i="7"/>
  <c r="H270" i="7"/>
  <c r="E397" i="57"/>
  <c r="F360" i="7"/>
  <c r="H360" i="7"/>
  <c r="E528" i="57"/>
  <c r="F398" i="7"/>
  <c r="H398" i="7"/>
  <c r="E593" i="57"/>
  <c r="F408" i="7"/>
  <c r="H408" i="7"/>
  <c r="E603" i="57"/>
  <c r="F415" i="7"/>
  <c r="H415" i="7"/>
  <c r="E610" i="57"/>
  <c r="F395" i="7"/>
  <c r="H395" i="7"/>
  <c r="E590" i="57"/>
  <c r="F437" i="7"/>
  <c r="H437" i="7"/>
  <c r="E659" i="57"/>
  <c r="F453" i="7"/>
  <c r="H453" i="7"/>
  <c r="E675" i="57"/>
  <c r="F501" i="7"/>
  <c r="H501" i="7"/>
  <c r="E751" i="57"/>
  <c r="F519" i="7"/>
  <c r="H519" i="7"/>
  <c r="E769" i="57"/>
  <c r="E768" i="57"/>
  <c r="L768" i="57"/>
  <c r="M768" i="57"/>
  <c r="F40" i="7"/>
  <c r="H40" i="7"/>
  <c r="F117" i="7"/>
  <c r="H117" i="7"/>
  <c r="F102" i="7"/>
  <c r="H102" i="7"/>
  <c r="F284" i="7"/>
  <c r="H284" i="7"/>
  <c r="E411" i="57"/>
  <c r="F327" i="7"/>
  <c r="H327" i="7"/>
  <c r="E478" i="57"/>
  <c r="F344" i="7"/>
  <c r="H344" i="7"/>
  <c r="E512" i="57"/>
  <c r="F352" i="7"/>
  <c r="H352" i="7"/>
  <c r="E520" i="57"/>
  <c r="F351" i="7"/>
  <c r="H351" i="7"/>
  <c r="E519" i="57"/>
  <c r="F390" i="7"/>
  <c r="H390" i="7"/>
  <c r="E585" i="57"/>
  <c r="F454" i="7"/>
  <c r="H454" i="7"/>
  <c r="E676" i="57"/>
  <c r="F472" i="7"/>
  <c r="H472" i="7"/>
  <c r="E694" i="57"/>
  <c r="E693" i="57"/>
  <c r="L693" i="57"/>
  <c r="F492" i="7"/>
  <c r="H492" i="7"/>
  <c r="E742" i="57"/>
  <c r="F502" i="7"/>
  <c r="H502" i="7"/>
  <c r="E752" i="57"/>
  <c r="F509" i="7"/>
  <c r="H509" i="7"/>
  <c r="E759" i="57"/>
  <c r="F490" i="7"/>
  <c r="H490" i="7"/>
  <c r="E740" i="57"/>
  <c r="F11" i="7"/>
  <c r="H11" i="7"/>
  <c r="F25" i="7"/>
  <c r="H25" i="7"/>
  <c r="F101" i="7"/>
  <c r="H101" i="7"/>
  <c r="F134" i="7"/>
  <c r="H134" i="7"/>
  <c r="E165" i="62"/>
  <c r="F249" i="7"/>
  <c r="H249" i="7"/>
  <c r="E358" i="57"/>
  <c r="F331" i="7"/>
  <c r="H331" i="7"/>
  <c r="E482" i="57"/>
  <c r="F346" i="7"/>
  <c r="H346" i="7"/>
  <c r="E514" i="57"/>
  <c r="F407" i="7"/>
  <c r="H407" i="7"/>
  <c r="E602" i="57"/>
  <c r="F425" i="7"/>
  <c r="H425" i="7"/>
  <c r="E620" i="57"/>
  <c r="E619" i="57"/>
  <c r="L619" i="57"/>
  <c r="F445" i="7"/>
  <c r="H445" i="7"/>
  <c r="E667" i="57"/>
  <c r="F500" i="7"/>
  <c r="H500" i="7"/>
  <c r="E750" i="57"/>
  <c r="F127" i="7"/>
  <c r="H127" i="7"/>
  <c r="F179" i="7"/>
  <c r="H179" i="7"/>
  <c r="E244" i="57"/>
  <c r="F194" i="7"/>
  <c r="H194" i="7"/>
  <c r="E278" i="57"/>
  <c r="F876" i="7"/>
  <c r="H876" i="7"/>
  <c r="F345" i="7"/>
  <c r="H345" i="7"/>
  <c r="E513" i="57"/>
  <c r="F440" i="7"/>
  <c r="H440" i="7"/>
  <c r="E662" i="57"/>
  <c r="F882" i="7"/>
  <c r="H882" i="7"/>
  <c r="F406" i="7"/>
  <c r="H406" i="7"/>
  <c r="E601" i="57"/>
  <c r="F462" i="7"/>
  <c r="H462" i="7"/>
  <c r="E684" i="57"/>
  <c r="F444" i="7"/>
  <c r="H444" i="7"/>
  <c r="E666" i="57"/>
  <c r="F484" i="7"/>
  <c r="H484" i="7"/>
  <c r="E734" i="57"/>
  <c r="F878" i="7"/>
  <c r="H878" i="7"/>
  <c r="F890" i="7"/>
  <c r="H890" i="7"/>
  <c r="F898" i="7"/>
  <c r="H898" i="7"/>
  <c r="F392" i="7"/>
  <c r="H392" i="7"/>
  <c r="E587" i="57"/>
  <c r="F883" i="7"/>
  <c r="H883" i="7"/>
  <c r="F560" i="7"/>
  <c r="H560" i="7"/>
  <c r="E51" i="59"/>
  <c r="F976" i="7"/>
  <c r="H976" i="7"/>
  <c r="E270" i="60"/>
  <c r="F777" i="7"/>
  <c r="H777" i="7"/>
  <c r="E342" i="59"/>
  <c r="F572" i="7"/>
  <c r="H572" i="7"/>
  <c r="E63" i="59"/>
  <c r="F715" i="7"/>
  <c r="H715" i="7"/>
  <c r="E257" i="59"/>
  <c r="F685" i="7"/>
  <c r="H685" i="7"/>
  <c r="E216" i="59"/>
  <c r="F625" i="7"/>
  <c r="H625" i="7"/>
  <c r="E138" i="59"/>
  <c r="F545" i="7"/>
  <c r="H545" i="7"/>
  <c r="E34" i="59"/>
  <c r="F456" i="7"/>
  <c r="H456" i="7"/>
  <c r="E678" i="57"/>
  <c r="F215" i="7"/>
  <c r="F1009" i="7"/>
  <c r="H1009" i="7"/>
  <c r="E311" i="60"/>
  <c r="F748" i="7"/>
  <c r="H748" i="7"/>
  <c r="E302" i="59"/>
  <c r="F629" i="7"/>
  <c r="H629" i="7"/>
  <c r="E142" i="59"/>
  <c r="F580" i="7"/>
  <c r="H580" i="7"/>
  <c r="E71" i="59"/>
  <c r="F752" i="7"/>
  <c r="H752" i="7"/>
  <c r="E306" i="59"/>
  <c r="F612" i="7"/>
  <c r="H612" i="7"/>
  <c r="E129" i="59"/>
  <c r="F548" i="7"/>
  <c r="H548" i="7"/>
  <c r="E37" i="59"/>
  <c r="F553" i="7"/>
  <c r="H553" i="7"/>
  <c r="E42" i="59"/>
  <c r="F779" i="7"/>
  <c r="H779" i="7"/>
  <c r="E344" i="59"/>
  <c r="F849" i="7"/>
  <c r="H849" i="7"/>
  <c r="E432" i="59"/>
  <c r="F716" i="7"/>
  <c r="H716" i="7"/>
  <c r="E258" i="59"/>
  <c r="F46" i="7"/>
  <c r="H46" i="7"/>
  <c r="F643" i="7"/>
  <c r="H643" i="7"/>
  <c r="E158" i="59"/>
  <c r="F1011" i="7"/>
  <c r="H1011" i="7"/>
  <c r="E313" i="60"/>
  <c r="F1044" i="7"/>
  <c r="H1044" i="7"/>
  <c r="E355" i="60"/>
  <c r="F1024" i="7"/>
  <c r="H1024" i="7"/>
  <c r="E326" i="60"/>
  <c r="F992" i="7"/>
  <c r="H992" i="7"/>
  <c r="E286" i="60"/>
  <c r="F853" i="7"/>
  <c r="H853" i="7"/>
  <c r="E436" i="59"/>
  <c r="F637" i="7"/>
  <c r="H637" i="7"/>
  <c r="E152" i="59"/>
  <c r="F1059" i="7"/>
  <c r="H1059" i="7"/>
  <c r="E370" i="60"/>
  <c r="F52" i="7"/>
  <c r="H52" i="7"/>
  <c r="F1042" i="7"/>
  <c r="H1042" i="7"/>
  <c r="E353" i="60"/>
  <c r="F977" i="7"/>
  <c r="H977" i="7"/>
  <c r="E271" i="60"/>
  <c r="F817" i="7"/>
  <c r="H817" i="7"/>
  <c r="E391" i="59"/>
  <c r="F746" i="7"/>
  <c r="H746" i="7"/>
  <c r="E300" i="59"/>
  <c r="F626" i="7"/>
  <c r="H626" i="7"/>
  <c r="E139" i="59"/>
  <c r="F950" i="7"/>
  <c r="H950" i="7"/>
  <c r="F854" i="7"/>
  <c r="H854" i="7"/>
  <c r="E437" i="59"/>
  <c r="F455" i="7"/>
  <c r="H455" i="7"/>
  <c r="E677" i="57"/>
  <c r="F787" i="7"/>
  <c r="H787" i="7"/>
  <c r="E352" i="59"/>
  <c r="F567" i="7"/>
  <c r="H567" i="7"/>
  <c r="E58" i="59"/>
  <c r="F725" i="7"/>
  <c r="H725" i="7"/>
  <c r="E267" i="59"/>
  <c r="F627" i="7"/>
  <c r="H627" i="7"/>
  <c r="E140" i="59"/>
  <c r="F537" i="7"/>
  <c r="H537" i="7"/>
  <c r="E29" i="59"/>
  <c r="F503" i="7"/>
  <c r="H503" i="7"/>
  <c r="E753" i="57"/>
  <c r="F128" i="7"/>
  <c r="H128" i="7"/>
  <c r="E159" i="62"/>
  <c r="F990" i="7"/>
  <c r="H990" i="7"/>
  <c r="E284" i="60"/>
  <c r="F571" i="7"/>
  <c r="H571" i="7"/>
  <c r="E62" i="59"/>
  <c r="F1043" i="7"/>
  <c r="H1043" i="7"/>
  <c r="E354" i="60"/>
  <c r="F1025" i="7"/>
  <c r="H1025" i="7"/>
  <c r="E327" i="60"/>
  <c r="F1058" i="7"/>
  <c r="H1058" i="7"/>
  <c r="E369" i="60"/>
  <c r="F975" i="7"/>
  <c r="H975" i="7"/>
  <c r="E269" i="60"/>
  <c r="F946" i="7"/>
  <c r="H946" i="7"/>
  <c r="F912" i="7"/>
  <c r="H912" i="7"/>
  <c r="F822" i="7"/>
  <c r="H822" i="7"/>
  <c r="E396" i="59"/>
  <c r="F648" i="7"/>
  <c r="H648" i="7"/>
  <c r="E163" i="59"/>
  <c r="F644" i="7"/>
  <c r="H644" i="7"/>
  <c r="E159" i="59"/>
  <c r="F1012" i="7"/>
  <c r="H1012" i="7"/>
  <c r="E314" i="60"/>
  <c r="F991" i="7"/>
  <c r="H991" i="7"/>
  <c r="E285" i="60"/>
  <c r="F951" i="7"/>
  <c r="H951" i="7"/>
  <c r="F916" i="7"/>
  <c r="H916" i="7"/>
  <c r="F209" i="7"/>
  <c r="H209" i="7"/>
  <c r="E293" i="57"/>
  <c r="F756" i="7"/>
  <c r="H756" i="7"/>
  <c r="E310" i="59"/>
  <c r="F546" i="7"/>
  <c r="H546" i="7"/>
  <c r="E35" i="59"/>
  <c r="F813" i="7"/>
  <c r="H813" i="7"/>
  <c r="E387" i="59"/>
  <c r="F326" i="7"/>
  <c r="H326" i="7"/>
  <c r="E477" i="57"/>
  <c r="F917" i="7"/>
  <c r="H917" i="7"/>
  <c r="F561" i="7"/>
  <c r="H561" i="7"/>
  <c r="E52" i="59"/>
  <c r="F717" i="7"/>
  <c r="H717" i="7"/>
  <c r="E259" i="59"/>
  <c r="F683" i="7"/>
  <c r="H683" i="7"/>
  <c r="E214" i="59"/>
  <c r="F630" i="7"/>
  <c r="H630" i="7"/>
  <c r="E143" i="59"/>
  <c r="F409" i="7"/>
  <c r="H409" i="7"/>
  <c r="E604" i="57"/>
  <c r="F821" i="7"/>
  <c r="H821" i="7"/>
  <c r="E395" i="59"/>
  <c r="F623" i="7"/>
  <c r="H623" i="7"/>
  <c r="E136" i="59"/>
  <c r="F1057" i="7"/>
  <c r="H1057" i="7"/>
  <c r="E368" i="60"/>
  <c r="F649" i="7"/>
  <c r="H649" i="7"/>
  <c r="E164" i="59"/>
  <c r="F1014" i="7"/>
  <c r="H1014" i="7"/>
  <c r="E316" i="60"/>
  <c r="F978" i="7"/>
  <c r="H978" i="7"/>
  <c r="E272" i="60"/>
  <c r="F958" i="7"/>
  <c r="H958" i="7"/>
  <c r="F843" i="7"/>
  <c r="H843" i="7"/>
  <c r="E426" i="59"/>
  <c r="F606" i="7"/>
  <c r="H606" i="7"/>
  <c r="E124" i="59"/>
  <c r="F1052" i="7"/>
  <c r="H1052" i="7"/>
  <c r="E363" i="60"/>
  <c r="F966" i="7"/>
  <c r="H966" i="7"/>
  <c r="F1026" i="7"/>
  <c r="H1026" i="7"/>
  <c r="E328" i="60"/>
  <c r="F944" i="7"/>
  <c r="H944" i="7"/>
  <c r="F910" i="7"/>
  <c r="H910" i="7"/>
  <c r="E145" i="60"/>
  <c r="F845" i="7"/>
  <c r="H845" i="7"/>
  <c r="E428" i="59"/>
  <c r="F566" i="7"/>
  <c r="H566" i="7"/>
  <c r="E57" i="59"/>
  <c r="F689" i="7"/>
  <c r="H689" i="7"/>
  <c r="E220" i="59"/>
  <c r="F980" i="7"/>
  <c r="H980" i="7"/>
  <c r="E274" i="60"/>
  <c r="F622" i="7"/>
  <c r="H622" i="7"/>
  <c r="E135" i="59"/>
  <c r="F550" i="7"/>
  <c r="H550" i="7"/>
  <c r="E39" i="59"/>
  <c r="F783" i="7"/>
  <c r="H783" i="7"/>
  <c r="E348" i="59"/>
  <c r="F932" i="7"/>
  <c r="H932" i="7"/>
  <c r="F1010" i="7"/>
  <c r="H1010" i="7"/>
  <c r="E312" i="60"/>
  <c r="F1045" i="7"/>
  <c r="H1045" i="7"/>
  <c r="E356" i="60"/>
  <c r="F531" i="7"/>
  <c r="H531" i="7"/>
  <c r="E24" i="59"/>
  <c r="F985" i="7"/>
  <c r="H985" i="7"/>
  <c r="E279" i="60"/>
  <c r="F721" i="7"/>
  <c r="H721" i="7"/>
  <c r="E263" i="59"/>
  <c r="F811" i="7"/>
  <c r="H811" i="7"/>
  <c r="E385" i="59"/>
  <c r="F747" i="7"/>
  <c r="H747" i="7"/>
  <c r="E301" i="59"/>
  <c r="F693" i="7"/>
  <c r="H693" i="7"/>
  <c r="E224" i="59"/>
  <c r="F979" i="7"/>
  <c r="H979" i="7"/>
  <c r="E273" i="60"/>
  <c r="F552" i="7"/>
  <c r="H552" i="7"/>
  <c r="E41" i="59"/>
  <c r="F361" i="7"/>
  <c r="H361" i="7"/>
  <c r="E529" i="57"/>
  <c r="F684" i="7"/>
  <c r="H684" i="7"/>
  <c r="E215" i="59"/>
  <c r="F549" i="7"/>
  <c r="H549" i="7"/>
  <c r="E38" i="59"/>
  <c r="F638" i="7"/>
  <c r="H638" i="7"/>
  <c r="E153" i="59"/>
  <c r="F285" i="7"/>
  <c r="H285" i="7"/>
  <c r="E412" i="57"/>
  <c r="F1019" i="7"/>
  <c r="H1019" i="7"/>
  <c r="E321" i="60"/>
  <c r="F788" i="7"/>
  <c r="H788" i="7"/>
  <c r="E353" i="59"/>
  <c r="F924" i="7"/>
  <c r="H924" i="7"/>
  <c r="F1047" i="7"/>
  <c r="H1047" i="7"/>
  <c r="E358" i="60"/>
  <c r="F657" i="7"/>
  <c r="H657" i="7"/>
  <c r="E172" i="59"/>
  <c r="L42" i="39"/>
  <c r="M272" i="31"/>
  <c r="H278" i="31"/>
  <c r="F318" i="7"/>
  <c r="H318" i="7"/>
  <c r="E472" i="57"/>
  <c r="G24" i="57"/>
  <c r="O24" i="57"/>
  <c r="G87" i="57"/>
  <c r="O87" i="57"/>
  <c r="O62" i="57"/>
  <c r="G62" i="57"/>
  <c r="O77" i="57"/>
  <c r="G77" i="57"/>
  <c r="G34" i="57"/>
  <c r="O34" i="57"/>
  <c r="G36" i="57"/>
  <c r="O36" i="57"/>
  <c r="G35" i="57"/>
  <c r="O35" i="57"/>
  <c r="G136" i="35"/>
  <c r="K136" i="35"/>
  <c r="E153" i="35"/>
  <c r="G153" i="35"/>
  <c r="M153" i="35"/>
  <c r="N153" i="35"/>
  <c r="F322" i="7"/>
  <c r="H322" i="7"/>
  <c r="E474" i="57"/>
  <c r="F170" i="7"/>
  <c r="H170" i="7"/>
  <c r="E236" i="57"/>
  <c r="H246" i="7"/>
  <c r="E356" i="57"/>
  <c r="G18" i="40"/>
  <c r="L16" i="40"/>
  <c r="L14" i="39"/>
  <c r="G15" i="39"/>
  <c r="N44" i="35"/>
  <c r="L36" i="40"/>
  <c r="L39" i="40"/>
  <c r="H336" i="31"/>
  <c r="M321" i="31"/>
  <c r="G49" i="57"/>
  <c r="O49" i="57"/>
  <c r="L36" i="39"/>
  <c r="L279" i="31"/>
  <c r="L280" i="31"/>
  <c r="H336" i="59"/>
  <c r="G11" i="36"/>
  <c r="G13" i="36"/>
  <c r="I48" i="35"/>
  <c r="I50" i="35"/>
  <c r="K48" i="35"/>
  <c r="K50" i="35"/>
  <c r="R50" i="35"/>
  <c r="L14" i="40"/>
  <c r="M14" i="40"/>
  <c r="G37" i="57"/>
  <c r="O37" i="57"/>
  <c r="N61" i="35"/>
  <c r="O54" i="57"/>
  <c r="G54" i="57"/>
  <c r="G55" i="57"/>
  <c r="O55" i="57"/>
  <c r="O65" i="57"/>
  <c r="G65" i="57"/>
  <c r="G52" i="57"/>
  <c r="O52" i="57"/>
  <c r="G51" i="57"/>
  <c r="O51" i="57"/>
  <c r="O75" i="57"/>
  <c r="G75" i="57"/>
  <c r="O58" i="57"/>
  <c r="G58" i="57"/>
  <c r="O72" i="57"/>
  <c r="G72" i="57"/>
  <c r="O27" i="57"/>
  <c r="G27" i="57"/>
  <c r="G64" i="57"/>
  <c r="O64" i="57"/>
  <c r="F30" i="18"/>
  <c r="F31" i="18"/>
  <c r="G42" i="57"/>
  <c r="O42" i="57"/>
  <c r="G30" i="57"/>
  <c r="O30" i="57"/>
  <c r="K115" i="35"/>
  <c r="N115" i="35"/>
  <c r="M115" i="35"/>
  <c r="I79" i="35"/>
  <c r="M79" i="35"/>
  <c r="G100" i="35"/>
  <c r="E120" i="35"/>
  <c r="O37" i="40"/>
  <c r="O38" i="40"/>
  <c r="O46" i="40"/>
  <c r="O47" i="40"/>
  <c r="O43" i="40"/>
  <c r="O40" i="40"/>
  <c r="O34" i="40"/>
  <c r="N7" i="39"/>
  <c r="F17" i="57"/>
  <c r="F10" i="57"/>
  <c r="F20" i="57"/>
  <c r="F13" i="57"/>
  <c r="L45" i="40"/>
  <c r="G47" i="40"/>
  <c r="M22" i="40"/>
  <c r="J25" i="36"/>
  <c r="J21" i="36"/>
  <c r="J29" i="36"/>
  <c r="N29" i="35"/>
  <c r="O41" i="40"/>
  <c r="O44" i="40"/>
  <c r="M323" i="31"/>
  <c r="J336" i="31"/>
  <c r="G14" i="36"/>
  <c r="O14" i="36"/>
  <c r="G33" i="57"/>
  <c r="O33" i="57"/>
  <c r="G53" i="57"/>
  <c r="O53" i="57"/>
  <c r="G88" i="57"/>
  <c r="O88" i="57"/>
  <c r="O76" i="57"/>
  <c r="G76" i="57"/>
  <c r="M243" i="31"/>
  <c r="G39" i="57"/>
  <c r="O39" i="57"/>
  <c r="L45" i="39"/>
  <c r="L33" i="39"/>
  <c r="L17" i="39"/>
  <c r="G18" i="39"/>
  <c r="G16" i="36"/>
  <c r="H61" i="31"/>
  <c r="H62" i="31"/>
  <c r="L19" i="40"/>
  <c r="G21" i="40"/>
  <c r="L23" i="39"/>
  <c r="M23" i="39"/>
  <c r="N23" i="39"/>
  <c r="G34" i="39"/>
  <c r="G40" i="39"/>
  <c r="G46" i="39"/>
  <c r="L46" i="39"/>
  <c r="G43" i="39"/>
  <c r="G37" i="39"/>
  <c r="G84" i="57"/>
  <c r="O84" i="57"/>
  <c r="G61" i="57"/>
  <c r="O61" i="57"/>
  <c r="G70" i="57"/>
  <c r="O70" i="57"/>
  <c r="G69" i="57"/>
  <c r="O69" i="57"/>
  <c r="G68" i="57"/>
  <c r="O68" i="57"/>
  <c r="O56" i="57"/>
  <c r="G56" i="57"/>
  <c r="O74" i="57"/>
  <c r="G74" i="57"/>
  <c r="G71" i="57"/>
  <c r="O71" i="57"/>
  <c r="O50" i="57"/>
  <c r="O47" i="57"/>
  <c r="G50" i="57"/>
  <c r="O85" i="57"/>
  <c r="G85" i="57"/>
  <c r="L11" i="39"/>
  <c r="L12" i="39"/>
  <c r="O113" i="59"/>
  <c r="O115" i="59"/>
  <c r="O116" i="59"/>
  <c r="E116" i="35"/>
  <c r="G96" i="35"/>
  <c r="N13" i="39"/>
  <c r="L23" i="40"/>
  <c r="G43" i="40"/>
  <c r="L43" i="40"/>
  <c r="G37" i="40"/>
  <c r="L37" i="40"/>
  <c r="M37" i="40"/>
  <c r="N37" i="40"/>
  <c r="G46" i="40"/>
  <c r="L46" i="40"/>
  <c r="M46" i="40"/>
  <c r="N46" i="40"/>
  <c r="G34" i="40"/>
  <c r="L34" i="40"/>
  <c r="M34" i="40"/>
  <c r="N34" i="40"/>
  <c r="G40" i="40"/>
  <c r="L40" i="40"/>
  <c r="M40" i="40"/>
  <c r="G23" i="57"/>
  <c r="O23" i="57"/>
  <c r="G35" i="40"/>
  <c r="L42" i="40"/>
  <c r="J24" i="36"/>
  <c r="J20" i="36"/>
  <c r="J28" i="36"/>
  <c r="G9" i="40"/>
  <c r="L7" i="40"/>
  <c r="O162" i="59"/>
  <c r="O174" i="59"/>
  <c r="I32" i="35"/>
  <c r="P32" i="35"/>
  <c r="K152" i="18"/>
  <c r="F153" i="18"/>
  <c r="F154" i="18"/>
  <c r="G29" i="57"/>
  <c r="O29" i="57"/>
  <c r="L64" i="31"/>
  <c r="L65" i="31"/>
  <c r="L67" i="31"/>
  <c r="L66" i="31"/>
  <c r="G82" i="35"/>
  <c r="E99" i="35"/>
  <c r="G40" i="57"/>
  <c r="O40" i="57"/>
  <c r="G67" i="57"/>
  <c r="O67" i="57"/>
  <c r="O86" i="57"/>
  <c r="G86" i="57"/>
  <c r="I46" i="57"/>
  <c r="I47" i="57"/>
  <c r="O31" i="18"/>
  <c r="I45" i="62"/>
  <c r="I46" i="62"/>
  <c r="M22" i="39"/>
  <c r="L24" i="39"/>
  <c r="L39" i="39"/>
  <c r="L10" i="40"/>
  <c r="G12" i="40"/>
  <c r="G17" i="36"/>
  <c r="G9" i="36"/>
  <c r="G29" i="36"/>
  <c r="K65" i="35"/>
  <c r="I65" i="35"/>
  <c r="I67" i="35"/>
  <c r="N95" i="35"/>
  <c r="K455" i="57"/>
  <c r="K443" i="57"/>
  <c r="K458" i="57"/>
  <c r="K446" i="57"/>
  <c r="K461" i="57"/>
  <c r="K449" i="57"/>
  <c r="K457" i="57"/>
  <c r="K445" i="57"/>
  <c r="K462" i="57"/>
  <c r="K450" i="57"/>
  <c r="K217" i="57"/>
  <c r="K205" i="57"/>
  <c r="K219" i="57"/>
  <c r="K207" i="57"/>
  <c r="K216" i="57"/>
  <c r="K204" i="57"/>
  <c r="K222" i="57"/>
  <c r="K210" i="57"/>
  <c r="K337" i="57"/>
  <c r="K325" i="57"/>
  <c r="K339" i="57"/>
  <c r="K327" i="57"/>
  <c r="K224" i="57"/>
  <c r="K212" i="57"/>
  <c r="K336" i="57"/>
  <c r="K324" i="57"/>
  <c r="K342" i="57"/>
  <c r="K330" i="57"/>
  <c r="K344" i="57"/>
  <c r="K332" i="57"/>
  <c r="M35" i="37"/>
  <c r="K456" i="57"/>
  <c r="K444" i="57"/>
  <c r="K454" i="57"/>
  <c r="K442" i="57"/>
  <c r="K223" i="57"/>
  <c r="K211" i="57"/>
  <c r="K341" i="57"/>
  <c r="K329" i="57"/>
  <c r="K459" i="57"/>
  <c r="K447" i="57"/>
  <c r="K343" i="57"/>
  <c r="K331" i="57"/>
  <c r="K460" i="57"/>
  <c r="K448" i="57"/>
  <c r="K221" i="57"/>
  <c r="K209" i="57"/>
  <c r="K225" i="57"/>
  <c r="K213" i="57"/>
  <c r="K218" i="57"/>
  <c r="K206" i="57"/>
  <c r="K463" i="57"/>
  <c r="K451" i="57"/>
  <c r="K220" i="57"/>
  <c r="K208" i="57"/>
  <c r="K340" i="57"/>
  <c r="K328" i="57"/>
  <c r="K345" i="57"/>
  <c r="K333" i="57"/>
  <c r="K338" i="57"/>
  <c r="K326" i="57"/>
  <c r="O37" i="39"/>
  <c r="O46" i="39"/>
  <c r="O40" i="39"/>
  <c r="O34" i="39"/>
  <c r="O43" i="39"/>
  <c r="G83" i="57"/>
  <c r="O83" i="57"/>
  <c r="G26" i="57"/>
  <c r="O26" i="57"/>
  <c r="G73" i="57"/>
  <c r="O73" i="57"/>
  <c r="G59" i="57"/>
  <c r="O59" i="57"/>
  <c r="G78" i="57"/>
  <c r="O78" i="57"/>
  <c r="G57" i="57"/>
  <c r="O57" i="57"/>
  <c r="O82" i="57"/>
  <c r="G82" i="57"/>
  <c r="O66" i="57"/>
  <c r="G66" i="57"/>
  <c r="O63" i="57"/>
  <c r="G63" i="57"/>
  <c r="G25" i="57"/>
  <c r="O25" i="57"/>
  <c r="K15" i="59"/>
  <c r="K8" i="59"/>
  <c r="K20" i="59"/>
  <c r="K13" i="59"/>
  <c r="K16" i="59"/>
  <c r="K9" i="59"/>
  <c r="K19" i="59"/>
  <c r="K12" i="59"/>
  <c r="K17" i="59"/>
  <c r="K10" i="59"/>
  <c r="K18" i="59"/>
  <c r="K11" i="59"/>
  <c r="K83" i="60"/>
  <c r="K51" i="60"/>
  <c r="K253" i="60"/>
  <c r="K168" i="60"/>
  <c r="M84" i="37"/>
  <c r="K147" i="59"/>
  <c r="K221" i="60"/>
  <c r="K220" i="60"/>
  <c r="O137" i="59"/>
  <c r="O160" i="59"/>
  <c r="O139" i="59"/>
  <c r="O186" i="59"/>
  <c r="O181" i="59"/>
  <c r="G24" i="40"/>
  <c r="I17" i="57"/>
  <c r="H379" i="59"/>
  <c r="H421" i="59"/>
  <c r="H378" i="59"/>
  <c r="H337" i="59"/>
  <c r="H420" i="59"/>
  <c r="H65" i="31"/>
  <c r="H109" i="62"/>
  <c r="J462" i="57"/>
  <c r="J450" i="57"/>
  <c r="J458" i="57"/>
  <c r="J446" i="57"/>
  <c r="J216" i="57"/>
  <c r="J204" i="57"/>
  <c r="J460" i="57"/>
  <c r="J448" i="57"/>
  <c r="J456" i="57"/>
  <c r="J444" i="57"/>
  <c r="J463" i="57"/>
  <c r="J451" i="57"/>
  <c r="J218" i="57"/>
  <c r="J206" i="57"/>
  <c r="J343" i="57"/>
  <c r="J331" i="57"/>
  <c r="J224" i="57"/>
  <c r="J212" i="57"/>
  <c r="J217" i="57"/>
  <c r="J205" i="57"/>
  <c r="J342" i="57"/>
  <c r="J330" i="57"/>
  <c r="P50" i="35"/>
  <c r="M39" i="39"/>
  <c r="L18" i="39"/>
  <c r="M17" i="39"/>
  <c r="J337" i="31"/>
  <c r="J338" i="31"/>
  <c r="H225" i="60"/>
  <c r="M42" i="39"/>
  <c r="N42" i="39"/>
  <c r="E124" i="60"/>
  <c r="E123" i="60"/>
  <c r="L123" i="60"/>
  <c r="E167" i="60"/>
  <c r="E166" i="60"/>
  <c r="L166" i="60"/>
  <c r="M166" i="60"/>
  <c r="E252" i="60"/>
  <c r="E251" i="60"/>
  <c r="L251" i="60"/>
  <c r="M251" i="60"/>
  <c r="N251" i="60"/>
  <c r="E209" i="60"/>
  <c r="E208" i="60"/>
  <c r="L208" i="60"/>
  <c r="E57" i="62"/>
  <c r="E58" i="57"/>
  <c r="E39" i="60"/>
  <c r="E38" i="60"/>
  <c r="L38" i="60"/>
  <c r="M38" i="60"/>
  <c r="E82" i="60"/>
  <c r="E81" i="60"/>
  <c r="L81" i="60"/>
  <c r="M81" i="60"/>
  <c r="E23" i="60"/>
  <c r="E66" i="60"/>
  <c r="M619" i="57"/>
  <c r="E158" i="57"/>
  <c r="E153" i="62"/>
  <c r="E87" i="57"/>
  <c r="E86" i="62"/>
  <c r="E107" i="60"/>
  <c r="E149" i="57"/>
  <c r="E144" i="62"/>
  <c r="J115" i="57"/>
  <c r="J110" i="62"/>
  <c r="J116" i="57"/>
  <c r="J120" i="57"/>
  <c r="J109" i="62"/>
  <c r="J113" i="57"/>
  <c r="J111" i="62"/>
  <c r="J114" i="57"/>
  <c r="M45" i="39"/>
  <c r="G8" i="36"/>
  <c r="H337" i="31"/>
  <c r="H338" i="31"/>
  <c r="H253" i="60"/>
  <c r="M336" i="31"/>
  <c r="N136" i="35"/>
  <c r="E147" i="60"/>
  <c r="E104" i="60"/>
  <c r="E64" i="57"/>
  <c r="E63" i="62"/>
  <c r="E135" i="57"/>
  <c r="E130" i="62"/>
  <c r="E153" i="57"/>
  <c r="E148" i="62"/>
  <c r="E42" i="57"/>
  <c r="E41" i="62"/>
  <c r="E124" i="57"/>
  <c r="E119" i="62"/>
  <c r="E123" i="57"/>
  <c r="E118" i="62"/>
  <c r="E69" i="62"/>
  <c r="E183" i="57"/>
  <c r="E178" i="62"/>
  <c r="E86" i="57"/>
  <c r="E85" i="62"/>
  <c r="E79" i="62"/>
  <c r="E138" i="57"/>
  <c r="E133" i="62"/>
  <c r="E149" i="60"/>
  <c r="E106" i="60"/>
  <c r="E112" i="60"/>
  <c r="E155" i="60"/>
  <c r="M446" i="59"/>
  <c r="G44" i="40"/>
  <c r="G38" i="40"/>
  <c r="M39" i="40"/>
  <c r="E201" i="60"/>
  <c r="E244" i="60"/>
  <c r="E109" i="60"/>
  <c r="E152" i="60"/>
  <c r="E237" i="60"/>
  <c r="E194" i="60"/>
  <c r="E232" i="60"/>
  <c r="E189" i="60"/>
  <c r="F303" i="7"/>
  <c r="H303" i="7"/>
  <c r="E369" i="57"/>
  <c r="H291" i="7"/>
  <c r="E418" i="57"/>
  <c r="E141" i="57"/>
  <c r="E136" i="62"/>
  <c r="E88" i="57"/>
  <c r="E87" i="62"/>
  <c r="E37" i="62"/>
  <c r="M24" i="39"/>
  <c r="N22" i="39"/>
  <c r="N24" i="39"/>
  <c r="K153" i="18"/>
  <c r="K154" i="18"/>
  <c r="M42" i="40"/>
  <c r="N42" i="40"/>
  <c r="O18" i="57"/>
  <c r="N22" i="40"/>
  <c r="E141" i="35"/>
  <c r="E158" i="35"/>
  <c r="E175" i="35"/>
  <c r="G120" i="35"/>
  <c r="L38" i="40"/>
  <c r="M36" i="40"/>
  <c r="L18" i="40"/>
  <c r="M16" i="40"/>
  <c r="E170" i="35"/>
  <c r="M278" i="31"/>
  <c r="H280" i="31"/>
  <c r="H364" i="59"/>
  <c r="H279" i="31"/>
  <c r="E24" i="60"/>
  <c r="E67" i="60"/>
  <c r="E19" i="60"/>
  <c r="E62" i="60"/>
  <c r="E170" i="57"/>
  <c r="E136" i="57"/>
  <c r="E131" i="62"/>
  <c r="E142" i="57"/>
  <c r="E137" i="62"/>
  <c r="E140" i="57"/>
  <c r="E135" i="62"/>
  <c r="E30" i="57"/>
  <c r="E29" i="62"/>
  <c r="E129" i="57"/>
  <c r="E124" i="62"/>
  <c r="E36" i="57"/>
  <c r="E35" i="62"/>
  <c r="E83" i="57"/>
  <c r="E80" i="57"/>
  <c r="L80" i="57"/>
  <c r="E82" i="62"/>
  <c r="E188" i="57"/>
  <c r="E183" i="62"/>
  <c r="E187" i="57"/>
  <c r="E84" i="57"/>
  <c r="E83" i="62"/>
  <c r="E41" i="60"/>
  <c r="E40" i="60"/>
  <c r="E84" i="60"/>
  <c r="E83" i="60"/>
  <c r="L83" i="60"/>
  <c r="K50" i="60"/>
  <c r="K148" i="59"/>
  <c r="K108" i="59"/>
  <c r="K105" i="59"/>
  <c r="K104" i="59"/>
  <c r="K106" i="59"/>
  <c r="K103" i="59"/>
  <c r="I96" i="35"/>
  <c r="M96" i="35"/>
  <c r="K96" i="35"/>
  <c r="H215" i="7"/>
  <c r="E299" i="57"/>
  <c r="F227" i="7"/>
  <c r="H227" i="7"/>
  <c r="E311" i="57"/>
  <c r="E163" i="57"/>
  <c r="E158" i="62"/>
  <c r="E35" i="57"/>
  <c r="E34" i="62"/>
  <c r="E52" i="57"/>
  <c r="E51" i="62"/>
  <c r="F379" i="7"/>
  <c r="H379" i="7"/>
  <c r="H367" i="7"/>
  <c r="E535" i="57"/>
  <c r="E63" i="57"/>
  <c r="E62" i="62"/>
  <c r="O81" i="57"/>
  <c r="O80" i="57"/>
  <c r="M82" i="35"/>
  <c r="M84" i="35"/>
  <c r="J580" i="57"/>
  <c r="J568" i="57"/>
  <c r="I82" i="35"/>
  <c r="N82" i="35"/>
  <c r="H180" i="57"/>
  <c r="H181" i="57"/>
  <c r="H175" i="62"/>
  <c r="H176" i="62"/>
  <c r="G116" i="35"/>
  <c r="E137" i="35"/>
  <c r="M19" i="40"/>
  <c r="N19" i="40"/>
  <c r="L21" i="40"/>
  <c r="M33" i="39"/>
  <c r="N79" i="35"/>
  <c r="I84" i="35"/>
  <c r="M14" i="39"/>
  <c r="N14" i="39"/>
  <c r="N15" i="39"/>
  <c r="L15" i="39"/>
  <c r="E187" i="60"/>
  <c r="E230" i="60"/>
  <c r="E193" i="60"/>
  <c r="E236" i="60"/>
  <c r="E31" i="60"/>
  <c r="E74" i="60"/>
  <c r="E17" i="60"/>
  <c r="E60" i="60"/>
  <c r="E25" i="57"/>
  <c r="E24" i="62"/>
  <c r="N768" i="57"/>
  <c r="E152" i="57"/>
  <c r="E147" i="62"/>
  <c r="E40" i="57"/>
  <c r="E39" i="62"/>
  <c r="E137" i="57"/>
  <c r="E132" i="62"/>
  <c r="E53" i="57"/>
  <c r="E52" i="62"/>
  <c r="E179" i="62"/>
  <c r="E111" i="60"/>
  <c r="E154" i="60"/>
  <c r="E66" i="57"/>
  <c r="E65" i="62"/>
  <c r="G47" i="39"/>
  <c r="N65" i="35"/>
  <c r="N48" i="35"/>
  <c r="N50" i="35"/>
  <c r="G41" i="40"/>
  <c r="J651" i="57"/>
  <c r="J640" i="57"/>
  <c r="J576" i="57"/>
  <c r="J564" i="57"/>
  <c r="J645" i="57"/>
  <c r="J634" i="57"/>
  <c r="J649" i="57"/>
  <c r="J638" i="57"/>
  <c r="M15" i="39"/>
  <c r="G141" i="35"/>
  <c r="K141" i="35"/>
  <c r="N141" i="35"/>
  <c r="J113" i="62"/>
  <c r="N166" i="60"/>
  <c r="N17" i="39"/>
  <c r="N18" i="39"/>
  <c r="M18" i="39"/>
  <c r="H114" i="57"/>
  <c r="H118" i="57"/>
  <c r="N33" i="39"/>
  <c r="E249" i="57"/>
  <c r="E248" i="57"/>
  <c r="L248" i="57"/>
  <c r="E310" i="57"/>
  <c r="L310" i="57"/>
  <c r="K109" i="59"/>
  <c r="N36" i="40"/>
  <c r="N38" i="40"/>
  <c r="M38" i="40"/>
  <c r="E430" i="57"/>
  <c r="E429" i="57"/>
  <c r="L429" i="57"/>
  <c r="E368" i="57"/>
  <c r="L368" i="57"/>
  <c r="M368" i="57"/>
  <c r="M337" i="31"/>
  <c r="M338" i="31"/>
  <c r="G28" i="36"/>
  <c r="G20" i="36"/>
  <c r="G24" i="36"/>
  <c r="J115" i="62"/>
  <c r="E180" i="57"/>
  <c r="L180" i="57"/>
  <c r="E181" i="57"/>
  <c r="L181" i="57"/>
  <c r="M181" i="57"/>
  <c r="M21" i="40"/>
  <c r="N21" i="40"/>
  <c r="K116" i="35"/>
  <c r="M116" i="35"/>
  <c r="E81" i="57"/>
  <c r="H407" i="59"/>
  <c r="H375" i="59"/>
  <c r="N16" i="40"/>
  <c r="N18" i="40"/>
  <c r="M18" i="40"/>
  <c r="M120" i="35"/>
  <c r="N120" i="35"/>
  <c r="K120" i="35"/>
  <c r="J117" i="57"/>
  <c r="J114" i="62"/>
  <c r="N38" i="60"/>
  <c r="N39" i="39"/>
  <c r="H333" i="59"/>
  <c r="M279" i="31"/>
  <c r="M280" i="31"/>
  <c r="J118" i="57"/>
  <c r="J119" i="57"/>
  <c r="E154" i="35"/>
  <c r="G154" i="35"/>
  <c r="M154" i="35"/>
  <c r="G137" i="35"/>
  <c r="K137" i="35"/>
  <c r="E487" i="57"/>
  <c r="E486" i="57"/>
  <c r="L486" i="57"/>
  <c r="E547" i="57"/>
  <c r="E546" i="57"/>
  <c r="L546" i="57"/>
  <c r="M546" i="57"/>
  <c r="N546" i="57"/>
  <c r="N96" i="35"/>
  <c r="E80" i="62"/>
  <c r="G170" i="35"/>
  <c r="K170" i="35"/>
  <c r="E188" i="35"/>
  <c r="N39" i="40"/>
  <c r="N14" i="40"/>
  <c r="N45" i="39"/>
  <c r="N81" i="60"/>
  <c r="M208" i="60"/>
  <c r="N208" i="60"/>
  <c r="N84" i="35"/>
  <c r="I170" i="35"/>
  <c r="N170" i="35"/>
  <c r="H113" i="62"/>
  <c r="N116" i="35"/>
  <c r="E171" i="35"/>
  <c r="G171" i="35"/>
  <c r="M180" i="57"/>
  <c r="N180" i="57"/>
  <c r="L79" i="62"/>
  <c r="L80" i="62"/>
  <c r="E206" i="35"/>
  <c r="G206" i="35"/>
  <c r="M206" i="35"/>
  <c r="G188" i="35"/>
  <c r="I188" i="35"/>
  <c r="L181" i="59"/>
  <c r="K188" i="35"/>
  <c r="M79" i="62"/>
  <c r="M80" i="62"/>
  <c r="M181" i="59"/>
  <c r="N181" i="59"/>
  <c r="N79" i="62"/>
  <c r="N80" i="62"/>
  <c r="L40" i="60"/>
  <c r="M40" i="60"/>
  <c r="N40" i="60"/>
  <c r="M486" i="57"/>
  <c r="N486" i="57"/>
  <c r="N206" i="35"/>
  <c r="E193" i="35"/>
  <c r="G175" i="35"/>
  <c r="K175" i="35"/>
  <c r="N175" i="35"/>
  <c r="M123" i="60"/>
  <c r="N123" i="60"/>
  <c r="M429" i="57"/>
  <c r="N429" i="57"/>
  <c r="M310" i="57"/>
  <c r="N310" i="57"/>
  <c r="N83" i="60"/>
  <c r="M83" i="60"/>
  <c r="N137" i="35"/>
  <c r="M248" i="57"/>
  <c r="N248" i="57"/>
  <c r="H221" i="60"/>
  <c r="M80" i="59"/>
  <c r="N80" i="59"/>
  <c r="L81" i="57"/>
  <c r="M80" i="57"/>
  <c r="M81" i="57"/>
  <c r="N188" i="35"/>
  <c r="I171" i="35"/>
  <c r="K171" i="35"/>
  <c r="N154" i="35"/>
  <c r="N40" i="40"/>
  <c r="N41" i="40"/>
  <c r="M41" i="40"/>
  <c r="M43" i="40"/>
  <c r="L44" i="40"/>
  <c r="L34" i="39"/>
  <c r="G35" i="39"/>
  <c r="M100" i="35"/>
  <c r="I100" i="35"/>
  <c r="N100" i="35"/>
  <c r="M693" i="57"/>
  <c r="N693" i="57"/>
  <c r="E59" i="57"/>
  <c r="E58" i="62"/>
  <c r="E159" i="57"/>
  <c r="E154" i="62"/>
  <c r="E41" i="57"/>
  <c r="E40" i="62"/>
  <c r="E186" i="57"/>
  <c r="E181" i="62"/>
  <c r="K67" i="35"/>
  <c r="N62" i="35"/>
  <c r="N67" i="35"/>
  <c r="J35" i="40"/>
  <c r="L33" i="40"/>
  <c r="E189" i="35"/>
  <c r="N368" i="57"/>
  <c r="I20" i="57"/>
  <c r="H55" i="60"/>
  <c r="H140" i="60"/>
  <c r="H448" i="59"/>
  <c r="G21" i="36"/>
  <c r="J572" i="57"/>
  <c r="J560" i="57"/>
  <c r="J726" i="57"/>
  <c r="J714" i="57"/>
  <c r="K135" i="60"/>
  <c r="K136" i="60"/>
  <c r="G44" i="39"/>
  <c r="L43" i="39"/>
  <c r="L47" i="40"/>
  <c r="M45" i="40"/>
  <c r="I16" i="57"/>
  <c r="I15" i="62"/>
  <c r="I19" i="62"/>
  <c r="I17" i="62"/>
  <c r="I18" i="57"/>
  <c r="M31" i="18"/>
  <c r="I16" i="62"/>
  <c r="I20" i="62"/>
  <c r="I18" i="62"/>
  <c r="J223" i="57"/>
  <c r="J211" i="57"/>
  <c r="J340" i="57"/>
  <c r="J328" i="57"/>
  <c r="J225" i="57"/>
  <c r="J213" i="57"/>
  <c r="J338" i="57"/>
  <c r="J326" i="57"/>
  <c r="J457" i="57"/>
  <c r="J445" i="57"/>
  <c r="J455" i="57"/>
  <c r="J443" i="57"/>
  <c r="J461" i="57"/>
  <c r="J449" i="57"/>
  <c r="J222" i="57"/>
  <c r="J210" i="57"/>
  <c r="J454" i="57"/>
  <c r="J442" i="57"/>
  <c r="J459" i="57"/>
  <c r="J447" i="57"/>
  <c r="J221" i="57"/>
  <c r="J209" i="57"/>
  <c r="J336" i="57"/>
  <c r="J324" i="57"/>
  <c r="J339" i="57"/>
  <c r="J327" i="57"/>
  <c r="J337" i="57"/>
  <c r="J325" i="57"/>
  <c r="J220" i="57"/>
  <c r="J208" i="57"/>
  <c r="J345" i="57"/>
  <c r="J333" i="57"/>
  <c r="J341" i="57"/>
  <c r="J329" i="57"/>
  <c r="J219" i="57"/>
  <c r="J207" i="57"/>
  <c r="J344" i="57"/>
  <c r="J332" i="57"/>
  <c r="M36" i="39"/>
  <c r="L38" i="39"/>
  <c r="F294" i="7"/>
  <c r="H294" i="7"/>
  <c r="E421" i="57"/>
  <c r="F372" i="7"/>
  <c r="H372" i="7"/>
  <c r="E540" i="57"/>
  <c r="F373" i="7"/>
  <c r="H373" i="7"/>
  <c r="E541" i="57"/>
  <c r="F371" i="7"/>
  <c r="H371" i="7"/>
  <c r="E539" i="57"/>
  <c r="F468" i="7"/>
  <c r="H468" i="7"/>
  <c r="E690" i="57"/>
  <c r="F419" i="7"/>
  <c r="H419" i="7"/>
  <c r="E614" i="57"/>
  <c r="F998" i="7"/>
  <c r="H998" i="7"/>
  <c r="E292" i="60"/>
  <c r="F961" i="7"/>
  <c r="H961" i="7"/>
  <c r="F858" i="7"/>
  <c r="H858" i="7"/>
  <c r="E441" i="59"/>
  <c r="F1065" i="7"/>
  <c r="H1065" i="7"/>
  <c r="E376" i="60"/>
  <c r="F792" i="7"/>
  <c r="H792" i="7"/>
  <c r="E357" i="59"/>
  <c r="F793" i="7"/>
  <c r="H793" i="7"/>
  <c r="E358" i="59"/>
  <c r="F1031" i="7"/>
  <c r="H1031" i="7"/>
  <c r="E333" i="60"/>
  <c r="F583" i="7"/>
  <c r="H583" i="7"/>
  <c r="E74" i="59"/>
  <c r="F586" i="7"/>
  <c r="H586" i="7"/>
  <c r="E77" i="59"/>
  <c r="F963" i="7"/>
  <c r="H963" i="7"/>
  <c r="F825" i="7"/>
  <c r="H825" i="7"/>
  <c r="E399" i="59"/>
  <c r="F584" i="7"/>
  <c r="H584" i="7"/>
  <c r="E75" i="59"/>
  <c r="F137" i="7"/>
  <c r="H137" i="7"/>
  <c r="F64" i="7"/>
  <c r="H64" i="7"/>
  <c r="F221" i="7"/>
  <c r="H221" i="7"/>
  <c r="E305" i="57"/>
  <c r="F139" i="7"/>
  <c r="H139" i="7"/>
  <c r="F62" i="7"/>
  <c r="H62" i="7"/>
  <c r="F296" i="7"/>
  <c r="H296" i="7"/>
  <c r="E423" i="57"/>
  <c r="F514" i="7"/>
  <c r="H514" i="7"/>
  <c r="E764" i="57"/>
  <c r="F515" i="7"/>
  <c r="H515" i="7"/>
  <c r="E765" i="57"/>
  <c r="F513" i="7"/>
  <c r="H513" i="7"/>
  <c r="E763" i="57"/>
  <c r="F370" i="7"/>
  <c r="H370" i="7"/>
  <c r="E538" i="57"/>
  <c r="F896" i="7"/>
  <c r="H896" i="7"/>
  <c r="F895" i="7"/>
  <c r="H895" i="7"/>
  <c r="F1030" i="7"/>
  <c r="H1030" i="7"/>
  <c r="E332" i="60"/>
  <c r="F732" i="7"/>
  <c r="H732" i="7"/>
  <c r="E274" i="59"/>
  <c r="F697" i="7"/>
  <c r="H697" i="7"/>
  <c r="E228" i="59"/>
  <c r="F962" i="7"/>
  <c r="H962" i="7"/>
  <c r="F857" i="7"/>
  <c r="H857" i="7"/>
  <c r="E440" i="59"/>
  <c r="F860" i="7"/>
  <c r="H860" i="7"/>
  <c r="E443" i="59"/>
  <c r="F662" i="7"/>
  <c r="H662" i="7"/>
  <c r="E177" i="59"/>
  <c r="F964" i="7"/>
  <c r="H964" i="7"/>
  <c r="F826" i="7"/>
  <c r="H826" i="7"/>
  <c r="E400" i="59"/>
  <c r="F827" i="7"/>
  <c r="H827" i="7"/>
  <c r="E401" i="59"/>
  <c r="F794" i="7"/>
  <c r="H794" i="7"/>
  <c r="E359" i="59"/>
  <c r="F762" i="7"/>
  <c r="H762" i="7"/>
  <c r="E316" i="59"/>
  <c r="F930" i="7"/>
  <c r="H930" i="7"/>
  <c r="F1029" i="7"/>
  <c r="H1029" i="7"/>
  <c r="E331" i="60"/>
  <c r="F297" i="7"/>
  <c r="H297" i="7"/>
  <c r="E424" i="57"/>
  <c r="F295" i="7"/>
  <c r="H295" i="7"/>
  <c r="E422" i="57"/>
  <c r="F466" i="7"/>
  <c r="H466" i="7"/>
  <c r="E688" i="57"/>
  <c r="F467" i="7"/>
  <c r="H467" i="7"/>
  <c r="E689" i="57"/>
  <c r="F465" i="7"/>
  <c r="H465" i="7"/>
  <c r="E687" i="57"/>
  <c r="F219" i="7"/>
  <c r="H219" i="7"/>
  <c r="E303" i="57"/>
  <c r="F661" i="7"/>
  <c r="H661" i="7"/>
  <c r="E176" i="59"/>
  <c r="F585" i="7"/>
  <c r="H585" i="7"/>
  <c r="E76" i="59"/>
  <c r="F928" i="7"/>
  <c r="H928" i="7"/>
  <c r="F761" i="7"/>
  <c r="H761" i="7"/>
  <c r="E315" i="59"/>
  <c r="F1032" i="7"/>
  <c r="H1032" i="7"/>
  <c r="E334" i="60"/>
  <c r="F698" i="7"/>
  <c r="H698" i="7"/>
  <c r="E229" i="59"/>
  <c r="F699" i="7"/>
  <c r="H699" i="7"/>
  <c r="E230" i="59"/>
  <c r="F997" i="7"/>
  <c r="H997" i="7"/>
  <c r="E291" i="60"/>
  <c r="F996" i="7"/>
  <c r="H996" i="7"/>
  <c r="E290" i="60"/>
  <c r="F995" i="7"/>
  <c r="H995" i="7"/>
  <c r="E289" i="60"/>
  <c r="F660" i="7"/>
  <c r="H660" i="7"/>
  <c r="E175" i="59"/>
  <c r="F859" i="7"/>
  <c r="H859" i="7"/>
  <c r="E442" i="59"/>
  <c r="F700" i="7"/>
  <c r="H700" i="7"/>
  <c r="E231" i="59"/>
  <c r="F220" i="7"/>
  <c r="H220" i="7"/>
  <c r="E304" i="57"/>
  <c r="F61" i="7"/>
  <c r="H61" i="7"/>
  <c r="F418" i="7"/>
  <c r="H418" i="7"/>
  <c r="E613" i="57"/>
  <c r="F894" i="7"/>
  <c r="H894" i="7"/>
  <c r="F763" i="7"/>
  <c r="H763" i="7"/>
  <c r="E317" i="59"/>
  <c r="F218" i="7"/>
  <c r="H218" i="7"/>
  <c r="E302" i="57"/>
  <c r="F421" i="7"/>
  <c r="H421" i="7"/>
  <c r="E616" i="57"/>
  <c r="F512" i="7"/>
  <c r="H512" i="7"/>
  <c r="E762" i="57"/>
  <c r="F663" i="7"/>
  <c r="H663" i="7"/>
  <c r="E178" i="59"/>
  <c r="F760" i="7"/>
  <c r="H760" i="7"/>
  <c r="E314" i="59"/>
  <c r="F929" i="7"/>
  <c r="H929" i="7"/>
  <c r="F729" i="7"/>
  <c r="H729" i="7"/>
  <c r="E271" i="59"/>
  <c r="F138" i="7"/>
  <c r="H138" i="7"/>
  <c r="F893" i="7"/>
  <c r="H893" i="7"/>
  <c r="F828" i="7"/>
  <c r="H828" i="7"/>
  <c r="E402" i="59"/>
  <c r="F791" i="7"/>
  <c r="H791" i="7"/>
  <c r="E356" i="59"/>
  <c r="F731" i="7"/>
  <c r="H731" i="7"/>
  <c r="E273" i="59"/>
  <c r="F140" i="7"/>
  <c r="H140" i="7"/>
  <c r="F1063" i="7"/>
  <c r="H1063" i="7"/>
  <c r="E374" i="60"/>
  <c r="F1062" i="7"/>
  <c r="H1062" i="7"/>
  <c r="E373" i="60"/>
  <c r="F1064" i="7"/>
  <c r="H1064" i="7"/>
  <c r="E375" i="60"/>
  <c r="F63" i="7"/>
  <c r="H63" i="7"/>
  <c r="F420" i="7"/>
  <c r="H420" i="7"/>
  <c r="E615" i="57"/>
  <c r="F730" i="7"/>
  <c r="H730" i="7"/>
  <c r="E272" i="59"/>
  <c r="L37" i="39"/>
  <c r="M37" i="39"/>
  <c r="N37" i="39"/>
  <c r="G38" i="39"/>
  <c r="E159" i="60"/>
  <c r="E116" i="60"/>
  <c r="E56" i="57"/>
  <c r="E55" i="62"/>
  <c r="E198" i="60"/>
  <c r="E241" i="60"/>
  <c r="O19" i="39"/>
  <c r="O21" i="39"/>
  <c r="G19" i="39"/>
  <c r="K238" i="18"/>
  <c r="F247" i="18"/>
  <c r="H247" i="18"/>
  <c r="H251" i="18"/>
  <c r="M242" i="31"/>
  <c r="H246" i="31"/>
  <c r="J246" i="31"/>
  <c r="J249" i="31"/>
  <c r="J209" i="31"/>
  <c r="L209" i="31"/>
  <c r="H209" i="31"/>
  <c r="G158" i="35"/>
  <c r="M158" i="35"/>
  <c r="N158" i="35"/>
  <c r="H54" i="60"/>
  <c r="H50" i="60"/>
  <c r="H224" i="60"/>
  <c r="H220" i="60"/>
  <c r="P280" i="31"/>
  <c r="K107" i="59"/>
  <c r="G25" i="36"/>
  <c r="N405" i="59"/>
  <c r="M11" i="39"/>
  <c r="E102" i="60"/>
  <c r="K100" i="35"/>
  <c r="H374" i="59"/>
  <c r="M10" i="40"/>
  <c r="L12" i="40"/>
  <c r="M23" i="40"/>
  <c r="L24" i="40"/>
  <c r="M46" i="39"/>
  <c r="L47" i="39"/>
  <c r="N446" i="59"/>
  <c r="E119" i="60"/>
  <c r="E162" i="60"/>
  <c r="F240" i="7"/>
  <c r="H240" i="7"/>
  <c r="E353" i="57"/>
  <c r="F316" i="7"/>
  <c r="H316" i="7"/>
  <c r="E471" i="57"/>
  <c r="F164" i="7"/>
  <c r="H164" i="7"/>
  <c r="E233" i="57"/>
  <c r="O11" i="57"/>
  <c r="H83" i="60"/>
  <c r="H168" i="60"/>
  <c r="N181" i="57"/>
  <c r="H139" i="60"/>
  <c r="K110" i="59"/>
  <c r="O65" i="31"/>
  <c r="J648" i="57"/>
  <c r="J637" i="57"/>
  <c r="J723" i="57"/>
  <c r="J711" i="57"/>
  <c r="J646" i="57"/>
  <c r="J635" i="57"/>
  <c r="J650" i="57"/>
  <c r="J639" i="57"/>
  <c r="J727" i="57"/>
  <c r="J715" i="57"/>
  <c r="J652" i="57"/>
  <c r="J641" i="57"/>
  <c r="J577" i="57"/>
  <c r="J565" i="57"/>
  <c r="P84" i="35"/>
  <c r="J724" i="57"/>
  <c r="J712" i="57"/>
  <c r="J728" i="57"/>
  <c r="J716" i="57"/>
  <c r="J653" i="57"/>
  <c r="J642" i="57"/>
  <c r="J578" i="57"/>
  <c r="J566" i="57"/>
  <c r="J571" i="57"/>
  <c r="J559" i="57"/>
  <c r="J575" i="57"/>
  <c r="J563" i="57"/>
  <c r="J721" i="57"/>
  <c r="J709" i="57"/>
  <c r="J647" i="57"/>
  <c r="J636" i="57"/>
  <c r="J722" i="57"/>
  <c r="J710" i="57"/>
  <c r="J574" i="57"/>
  <c r="J562" i="57"/>
  <c r="J720" i="57"/>
  <c r="J708" i="57"/>
  <c r="J573" i="57"/>
  <c r="J561" i="57"/>
  <c r="J725" i="57"/>
  <c r="J713" i="57"/>
  <c r="J719" i="57"/>
  <c r="J707" i="57"/>
  <c r="J654" i="57"/>
  <c r="J643" i="57"/>
  <c r="J579" i="57"/>
  <c r="J567" i="57"/>
  <c r="L41" i="40"/>
  <c r="E119" i="35"/>
  <c r="G99" i="35"/>
  <c r="I770" i="57"/>
  <c r="I695" i="57"/>
  <c r="I621" i="57"/>
  <c r="L9" i="40"/>
  <c r="M7" i="40"/>
  <c r="L40" i="39"/>
  <c r="G41" i="39"/>
  <c r="H67" i="31"/>
  <c r="H66" i="31"/>
  <c r="H64" i="31"/>
  <c r="O46" i="57"/>
  <c r="H332" i="59"/>
  <c r="E151" i="60"/>
  <c r="E108" i="60"/>
  <c r="N619" i="57"/>
  <c r="E37" i="57"/>
  <c r="E36" i="62"/>
  <c r="J108" i="62"/>
  <c r="Q280" i="31"/>
  <c r="F190" i="7"/>
  <c r="H190" i="7"/>
  <c r="E274" i="57"/>
  <c r="F236" i="7"/>
  <c r="H236" i="7"/>
  <c r="E350" i="57"/>
  <c r="F334" i="7"/>
  <c r="H334" i="7"/>
  <c r="E485" i="57"/>
  <c r="F211" i="7"/>
  <c r="H211" i="7"/>
  <c r="E295" i="57"/>
  <c r="F289" i="7"/>
  <c r="H289" i="7"/>
  <c r="E416" i="57"/>
  <c r="F39" i="7"/>
  <c r="H39" i="7"/>
  <c r="F65" i="7"/>
  <c r="H65" i="7"/>
  <c r="F213" i="7"/>
  <c r="H213" i="7"/>
  <c r="E297" i="57"/>
  <c r="F261" i="7"/>
  <c r="H261" i="7"/>
  <c r="E388" i="57"/>
  <c r="F283" i="7"/>
  <c r="H283" i="7"/>
  <c r="E410" i="57"/>
  <c r="F342" i="7"/>
  <c r="H342" i="7"/>
  <c r="E510" i="57"/>
  <c r="F389" i="7"/>
  <c r="H389" i="7"/>
  <c r="E584" i="57"/>
  <c r="F470" i="7"/>
  <c r="H470" i="7"/>
  <c r="E692" i="57"/>
  <c r="F875" i="7"/>
  <c r="H875" i="7"/>
  <c r="F187" i="7"/>
  <c r="H187" i="7"/>
  <c r="E271" i="57"/>
  <c r="F363" i="7"/>
  <c r="H363" i="7"/>
  <c r="E531" i="57"/>
  <c r="F401" i="7"/>
  <c r="H401" i="7"/>
  <c r="E596" i="57"/>
  <c r="F1073" i="7"/>
  <c r="H1073" i="7"/>
  <c r="E11" i="36"/>
  <c r="F162" i="7"/>
  <c r="H162" i="7"/>
  <c r="E232" i="57"/>
  <c r="F263" i="7"/>
  <c r="F358" i="7"/>
  <c r="H358" i="7"/>
  <c r="E526" i="57"/>
  <c r="F359" i="7"/>
  <c r="H359" i="7"/>
  <c r="E527" i="57"/>
  <c r="F458" i="7"/>
  <c r="H458" i="7"/>
  <c r="E680" i="57"/>
  <c r="F507" i="7"/>
  <c r="H507" i="7"/>
  <c r="E757" i="57"/>
  <c r="F413" i="7"/>
  <c r="H413" i="7"/>
  <c r="E608" i="57"/>
  <c r="F1075" i="7"/>
  <c r="H1075" i="7"/>
  <c r="E13" i="36"/>
  <c r="F505" i="7"/>
  <c r="H505" i="7"/>
  <c r="E755" i="57"/>
  <c r="F356" i="7"/>
  <c r="H356" i="7"/>
  <c r="E524" i="57"/>
  <c r="F651" i="7"/>
  <c r="H651" i="7"/>
  <c r="E166" i="59"/>
  <c r="F1055" i="7"/>
  <c r="H1055" i="7"/>
  <c r="E366" i="60"/>
  <c r="F50" i="7"/>
  <c r="H50" i="7"/>
  <c r="F636" i="7"/>
  <c r="H636" i="7"/>
  <c r="E151" i="59"/>
  <c r="F851" i="7"/>
  <c r="H851" i="7"/>
  <c r="E434" i="59"/>
  <c r="F798" i="7"/>
  <c r="H798" i="7"/>
  <c r="E363" i="59"/>
  <c r="E362" i="59"/>
  <c r="L362" i="59"/>
  <c r="F423" i="7"/>
  <c r="H423" i="7"/>
  <c r="E618" i="57"/>
  <c r="F656" i="7"/>
  <c r="H656" i="7"/>
  <c r="E171" i="59"/>
  <c r="F1054" i="7"/>
  <c r="H1054" i="7"/>
  <c r="E365" i="60"/>
  <c r="F14" i="7"/>
  <c r="H14" i="7"/>
  <c r="F82" i="7"/>
  <c r="H82" i="7"/>
  <c r="F109" i="7"/>
  <c r="H109" i="7"/>
  <c r="F119" i="7"/>
  <c r="H119" i="7"/>
  <c r="F141" i="7"/>
  <c r="H141" i="7"/>
  <c r="F158" i="7"/>
  <c r="H158" i="7"/>
  <c r="E228" i="57"/>
  <c r="F191" i="7"/>
  <c r="H191" i="7"/>
  <c r="E275" i="57"/>
  <c r="F287" i="7"/>
  <c r="H287" i="7"/>
  <c r="E414" i="57"/>
  <c r="F34" i="7"/>
  <c r="H34" i="7"/>
  <c r="F43" i="7"/>
  <c r="H43" i="7"/>
  <c r="F15" i="7"/>
  <c r="H15" i="7"/>
  <c r="F115" i="7"/>
  <c r="H115" i="7"/>
  <c r="F142" i="7"/>
  <c r="H142" i="7"/>
  <c r="F159" i="7"/>
  <c r="H159" i="7"/>
  <c r="E229" i="57"/>
  <c r="F279" i="7"/>
  <c r="H279" i="7"/>
  <c r="E406" i="57"/>
  <c r="F314" i="7"/>
  <c r="H314" i="7"/>
  <c r="E470" i="57"/>
  <c r="F133" i="7"/>
  <c r="H133" i="7"/>
  <c r="F126" i="7"/>
  <c r="H126" i="7"/>
  <c r="F203" i="7"/>
  <c r="H203" i="7"/>
  <c r="E287" i="57"/>
  <c r="F238" i="7"/>
  <c r="H238" i="7"/>
  <c r="E352" i="57"/>
  <c r="F300" i="7"/>
  <c r="H300" i="7"/>
  <c r="E427" i="57"/>
  <c r="F312" i="7"/>
  <c r="H312" i="7"/>
  <c r="E468" i="57"/>
  <c r="E456" i="57"/>
  <c r="F343" i="7"/>
  <c r="H343" i="7"/>
  <c r="E511" i="57"/>
  <c r="F460" i="7"/>
  <c r="H460" i="7"/>
  <c r="E682" i="57"/>
  <c r="F1076" i="7"/>
  <c r="H1076" i="7"/>
  <c r="E14" i="36"/>
  <c r="F311" i="7"/>
  <c r="H311" i="7"/>
  <c r="E467" i="57"/>
  <c r="F422" i="7"/>
  <c r="H422" i="7"/>
  <c r="E617" i="57"/>
  <c r="F521" i="7"/>
  <c r="H521" i="7"/>
  <c r="E771" i="57"/>
  <c r="E770" i="57"/>
  <c r="L770" i="57"/>
  <c r="F482" i="7"/>
  <c r="H482" i="7"/>
  <c r="E732" i="57"/>
  <c r="F188" i="7"/>
  <c r="H188" i="7"/>
  <c r="E272" i="57"/>
  <c r="F339" i="7"/>
  <c r="H339" i="7"/>
  <c r="E507" i="57"/>
  <c r="F340" i="7"/>
  <c r="H340" i="7"/>
  <c r="E508" i="57"/>
  <c r="F436" i="7"/>
  <c r="H436" i="7"/>
  <c r="E658" i="57"/>
  <c r="F497" i="7"/>
  <c r="H497" i="7"/>
  <c r="E747" i="57"/>
  <c r="F337" i="7"/>
  <c r="H337" i="7"/>
  <c r="E505" i="57"/>
  <c r="F495" i="7"/>
  <c r="H495" i="7"/>
  <c r="E745" i="57"/>
  <c r="F887" i="7"/>
  <c r="H887" i="7"/>
  <c r="F435" i="7"/>
  <c r="H435" i="7"/>
  <c r="E657" i="57"/>
  <c r="F888" i="7"/>
  <c r="H888" i="7"/>
  <c r="F365" i="7"/>
  <c r="H365" i="7"/>
  <c r="E533" i="57"/>
  <c r="F885" i="7"/>
  <c r="H885" i="7"/>
  <c r="F665" i="7"/>
  <c r="H665" i="7"/>
  <c r="E180" i="59"/>
  <c r="F984" i="7"/>
  <c r="H984" i="7"/>
  <c r="E278" i="60"/>
  <c r="F776" i="7"/>
  <c r="H776" i="7"/>
  <c r="E341" i="59"/>
  <c r="F355" i="7"/>
  <c r="H355" i="7"/>
  <c r="E523" i="57"/>
  <c r="F49" i="7"/>
  <c r="H49" i="7"/>
  <c r="F934" i="7"/>
  <c r="H934" i="7"/>
  <c r="F1049" i="7"/>
  <c r="H1049" i="7"/>
  <c r="E360" i="60"/>
  <c r="F1000" i="7"/>
  <c r="H1000" i="7"/>
  <c r="E294" i="60"/>
  <c r="E293" i="60"/>
  <c r="L293" i="60"/>
  <c r="F225" i="7"/>
  <c r="H225" i="7"/>
  <c r="E309" i="57"/>
  <c r="F266" i="7"/>
  <c r="H266" i="7"/>
  <c r="E393" i="57"/>
  <c r="F181" i="7"/>
  <c r="H181" i="7"/>
  <c r="E246" i="57"/>
  <c r="F235" i="7"/>
  <c r="H235" i="7"/>
  <c r="E349" i="57"/>
  <c r="F280" i="7"/>
  <c r="H280" i="7"/>
  <c r="E407" i="57"/>
  <c r="F56" i="7"/>
  <c r="H56" i="7"/>
  <c r="F92" i="7"/>
  <c r="F185" i="7"/>
  <c r="H185" i="7"/>
  <c r="E269" i="57"/>
  <c r="F204" i="7"/>
  <c r="H204" i="7"/>
  <c r="E288" i="57"/>
  <c r="F290" i="7"/>
  <c r="H290" i="7"/>
  <c r="E417" i="57"/>
  <c r="F18" i="7"/>
  <c r="F207" i="7"/>
  <c r="H207" i="7"/>
  <c r="E291" i="57"/>
  <c r="F377" i="7"/>
  <c r="H377" i="7"/>
  <c r="E545" i="57"/>
  <c r="F447" i="7"/>
  <c r="H447" i="7"/>
  <c r="E669" i="57"/>
  <c r="F508" i="7"/>
  <c r="H508" i="7"/>
  <c r="E758" i="57"/>
  <c r="F66" i="7"/>
  <c r="H66" i="7"/>
  <c r="F267" i="7"/>
  <c r="H267" i="7"/>
  <c r="E394" i="57"/>
  <c r="F411" i="7"/>
  <c r="H411" i="7"/>
  <c r="E606" i="57"/>
  <c r="F483" i="7"/>
  <c r="H483" i="7"/>
  <c r="E733" i="57"/>
  <c r="F57" i="7"/>
  <c r="H57" i="7"/>
  <c r="F224" i="7"/>
  <c r="H224" i="7"/>
  <c r="E308" i="57"/>
  <c r="F376" i="7"/>
  <c r="H376" i="7"/>
  <c r="E544" i="57"/>
  <c r="F414" i="7"/>
  <c r="H414" i="7"/>
  <c r="E609" i="57"/>
  <c r="F448" i="7"/>
  <c r="H448" i="7"/>
  <c r="E670" i="57"/>
  <c r="F1078" i="7"/>
  <c r="H1078" i="7"/>
  <c r="E16" i="36"/>
  <c r="F494" i="7"/>
  <c r="H494" i="7"/>
  <c r="E744" i="57"/>
  <c r="F333" i="7"/>
  <c r="H333" i="7"/>
  <c r="E484" i="57"/>
  <c r="F474" i="7"/>
  <c r="H474" i="7"/>
  <c r="E696" i="57"/>
  <c r="E695" i="57"/>
  <c r="L695" i="57"/>
  <c r="F516" i="7"/>
  <c r="H516" i="7"/>
  <c r="E766" i="57"/>
  <c r="F55" i="7"/>
  <c r="H55" i="7"/>
  <c r="F968" i="7"/>
  <c r="H968" i="7"/>
  <c r="F1056" i="7"/>
  <c r="H1056" i="7"/>
  <c r="E367" i="60"/>
  <c r="F288" i="7"/>
  <c r="H288" i="7"/>
  <c r="E415" i="57"/>
  <c r="F877" i="7"/>
  <c r="H877" i="7"/>
  <c r="F712" i="7"/>
  <c r="H712" i="7"/>
  <c r="E254" i="59"/>
  <c r="F652" i="7"/>
  <c r="H652" i="7"/>
  <c r="E167" i="59"/>
  <c r="F982" i="7"/>
  <c r="H982" i="7"/>
  <c r="E276" i="60"/>
  <c r="E266" i="60"/>
  <c r="F983" i="7"/>
  <c r="H983" i="7"/>
  <c r="E277" i="60"/>
  <c r="F364" i="7"/>
  <c r="H364" i="7"/>
  <c r="E532" i="57"/>
  <c r="F719" i="7"/>
  <c r="H719" i="7"/>
  <c r="E261" i="59"/>
  <c r="F459" i="7"/>
  <c r="H459" i="7"/>
  <c r="E681" i="57"/>
  <c r="F785" i="7"/>
  <c r="H785" i="7"/>
  <c r="E350" i="59"/>
  <c r="F681" i="7"/>
  <c r="H681" i="7"/>
  <c r="E212" i="59"/>
  <c r="F538" i="7"/>
  <c r="H538" i="7"/>
  <c r="E30" i="59"/>
  <c r="F1023" i="7"/>
  <c r="H1023" i="7"/>
  <c r="E325" i="60"/>
  <c r="F956" i="7"/>
  <c r="H956" i="7"/>
  <c r="F866" i="7"/>
  <c r="H866" i="7"/>
  <c r="E449" i="59"/>
  <c r="E448" i="59"/>
  <c r="L448" i="59"/>
  <c r="F8" i="7"/>
  <c r="H8" i="7"/>
  <c r="F130" i="7"/>
  <c r="H130" i="7"/>
  <c r="F110" i="7"/>
  <c r="H110" i="7"/>
  <c r="F298" i="7"/>
  <c r="H298" i="7"/>
  <c r="E425" i="57"/>
  <c r="F125" i="7"/>
  <c r="H125" i="7"/>
  <c r="F282" i="7"/>
  <c r="H282" i="7"/>
  <c r="E409" i="57"/>
  <c r="F214" i="7"/>
  <c r="H214" i="7"/>
  <c r="E298" i="57"/>
  <c r="F461" i="7"/>
  <c r="H461" i="7"/>
  <c r="E683" i="57"/>
  <c r="F1079" i="7"/>
  <c r="H1079" i="7"/>
  <c r="E17" i="36"/>
  <c r="F469" i="7"/>
  <c r="H469" i="7"/>
  <c r="E691" i="57"/>
  <c r="F874" i="7"/>
  <c r="H874" i="7"/>
  <c r="F403" i="7"/>
  <c r="H403" i="7"/>
  <c r="E598" i="57"/>
  <c r="F923" i="7"/>
  <c r="H923" i="7"/>
  <c r="F579" i="7"/>
  <c r="H579" i="7"/>
  <c r="E70" i="59"/>
  <c r="F862" i="7"/>
  <c r="H862" i="7"/>
  <c r="E445" i="59"/>
  <c r="F570" i="7"/>
  <c r="H570" i="7"/>
  <c r="E61" i="59"/>
  <c r="F713" i="7"/>
  <c r="H713" i="7"/>
  <c r="E255" i="59"/>
  <c r="F610" i="7"/>
  <c r="H610" i="7"/>
  <c r="E127" i="59"/>
  <c r="F506" i="7"/>
  <c r="H506" i="7"/>
  <c r="E756" i="57"/>
  <c r="F840" i="7"/>
  <c r="H840" i="7"/>
  <c r="E423" i="59"/>
  <c r="F587" i="7"/>
  <c r="H587" i="7"/>
  <c r="E78" i="59"/>
  <c r="F702" i="7"/>
  <c r="H702" i="7"/>
  <c r="E233" i="59"/>
  <c r="F842" i="7"/>
  <c r="H842" i="7"/>
  <c r="E425" i="59"/>
  <c r="F575" i="7"/>
  <c r="H575" i="7"/>
  <c r="E66" i="59"/>
  <c r="F632" i="7"/>
  <c r="H632" i="7"/>
  <c r="E145" i="59"/>
  <c r="F542" i="7"/>
  <c r="H542" i="7"/>
  <c r="E32" i="59"/>
  <c r="F635" i="7"/>
  <c r="H635" i="7"/>
  <c r="E150" i="59"/>
  <c r="F810" i="7"/>
  <c r="H810" i="7"/>
  <c r="E384" i="59"/>
  <c r="F751" i="7"/>
  <c r="H751" i="7"/>
  <c r="E305" i="59"/>
  <c r="F611" i="7"/>
  <c r="H611" i="7"/>
  <c r="E128" i="59"/>
  <c r="F953" i="7"/>
  <c r="H953" i="7"/>
  <c r="F909" i="7"/>
  <c r="H909" i="7"/>
  <c r="F886" i="7"/>
  <c r="H886" i="7"/>
  <c r="F782" i="7"/>
  <c r="H782" i="7"/>
  <c r="E347" i="59"/>
  <c r="F733" i="7"/>
  <c r="H733" i="7"/>
  <c r="E275" i="59"/>
  <c r="F615" i="7"/>
  <c r="H615" i="7"/>
  <c r="E131" i="59"/>
  <c r="F736" i="7"/>
  <c r="H736" i="7"/>
  <c r="E278" i="59"/>
  <c r="E277" i="59"/>
  <c r="L277" i="59"/>
  <c r="F664" i="7"/>
  <c r="H664" i="7"/>
  <c r="E179" i="59"/>
  <c r="F349" i="7"/>
  <c r="H349" i="7"/>
  <c r="E517" i="57"/>
  <c r="F847" i="7"/>
  <c r="H847" i="7"/>
  <c r="E430" i="59"/>
  <c r="F540" i="7"/>
  <c r="H540" i="7"/>
  <c r="E31" i="59"/>
  <c r="F588" i="7"/>
  <c r="H588" i="7"/>
  <c r="E79" i="59"/>
  <c r="F726" i="7"/>
  <c r="H726" i="7"/>
  <c r="E268" i="59"/>
  <c r="F412" i="7"/>
  <c r="H412" i="7"/>
  <c r="E607" i="57"/>
  <c r="F272" i="7"/>
  <c r="H272" i="7"/>
  <c r="E399" i="57"/>
  <c r="F528" i="7"/>
  <c r="H528" i="7"/>
  <c r="E22" i="59"/>
  <c r="F757" i="7"/>
  <c r="H757" i="7"/>
  <c r="E311" i="59"/>
  <c r="F800" i="7"/>
  <c r="H800" i="7"/>
  <c r="E365" i="59"/>
  <c r="E364" i="59"/>
  <c r="L364" i="59"/>
  <c r="F394" i="7"/>
  <c r="H394" i="7"/>
  <c r="E589" i="57"/>
  <c r="F489" i="7"/>
  <c r="H489" i="7"/>
  <c r="E739" i="57"/>
  <c r="F486" i="7"/>
  <c r="H486" i="7"/>
  <c r="E736" i="57"/>
  <c r="F442" i="7"/>
  <c r="H442" i="7"/>
  <c r="E664" i="57"/>
  <c r="F1013" i="7"/>
  <c r="H1013" i="7"/>
  <c r="E315" i="60"/>
  <c r="F530" i="7"/>
  <c r="H530" i="7"/>
  <c r="E23" i="59"/>
  <c r="F33" i="7"/>
  <c r="H33" i="7"/>
  <c r="F114" i="7"/>
  <c r="H114" i="7"/>
  <c r="F16" i="7"/>
  <c r="H16" i="7"/>
  <c r="F132" i="7"/>
  <c r="H132" i="7"/>
  <c r="F258" i="7"/>
  <c r="H258" i="7"/>
  <c r="E367" i="57"/>
  <c r="F89" i="7"/>
  <c r="H89" i="7"/>
  <c r="F222" i="7"/>
  <c r="H222" i="7"/>
  <c r="E306" i="57"/>
  <c r="F400" i="7"/>
  <c r="H400" i="7"/>
  <c r="E595" i="57"/>
  <c r="F387" i="7"/>
  <c r="H387" i="7"/>
  <c r="E582" i="57"/>
  <c r="F880" i="7"/>
  <c r="H880" i="7"/>
  <c r="F234" i="7"/>
  <c r="H234" i="7"/>
  <c r="E348" i="57"/>
  <c r="F1067" i="7"/>
  <c r="H1067" i="7"/>
  <c r="E378" i="60"/>
  <c r="E377" i="60"/>
  <c r="L377" i="60"/>
  <c r="F830" i="7"/>
  <c r="H830" i="7"/>
  <c r="E404" i="59"/>
  <c r="F1050" i="7"/>
  <c r="H1050" i="7"/>
  <c r="E361" i="60"/>
  <c r="F949" i="7"/>
  <c r="H949" i="7"/>
  <c r="F841" i="7"/>
  <c r="H841" i="7"/>
  <c r="E424" i="59"/>
  <c r="F694" i="7"/>
  <c r="H694" i="7"/>
  <c r="E225" i="59"/>
  <c r="F809" i="7"/>
  <c r="H809" i="7"/>
  <c r="E383" i="59"/>
  <c r="F704" i="7"/>
  <c r="H704" i="7"/>
  <c r="E235" i="59"/>
  <c r="E234" i="59"/>
  <c r="L234" i="59"/>
  <c r="F619" i="7"/>
  <c r="H619" i="7"/>
  <c r="E133" i="59"/>
  <c r="F1018" i="7"/>
  <c r="H1018" i="7"/>
  <c r="E320" i="60"/>
  <c r="F120" i="7"/>
  <c r="H120" i="7"/>
  <c r="F569" i="7"/>
  <c r="H569" i="7"/>
  <c r="E60" i="59"/>
  <c r="F682" i="7"/>
  <c r="H682" i="7"/>
  <c r="E213" i="59"/>
  <c r="F948" i="7"/>
  <c r="H948" i="7"/>
  <c r="F941" i="7"/>
  <c r="H941" i="7"/>
  <c r="F881" i="7"/>
  <c r="H881" i="7"/>
  <c r="F795" i="7"/>
  <c r="H795" i="7"/>
  <c r="E360" i="59"/>
  <c r="F688" i="7"/>
  <c r="H688" i="7"/>
  <c r="E219" i="59"/>
  <c r="F1002" i="7"/>
  <c r="H1002" i="7"/>
  <c r="E296" i="60"/>
  <c r="E295" i="60"/>
  <c r="L295" i="60"/>
  <c r="F954" i="7"/>
  <c r="H954" i="7"/>
  <c r="F907" i="7"/>
  <c r="H907" i="7"/>
  <c r="F131" i="7"/>
  <c r="H131" i="7"/>
  <c r="F576" i="7"/>
  <c r="H576" i="7"/>
  <c r="E67" i="59"/>
  <c r="F692" i="7"/>
  <c r="H692" i="7"/>
  <c r="E223" i="59"/>
  <c r="F829" i="7"/>
  <c r="H829" i="7"/>
  <c r="E403" i="59"/>
  <c r="F765" i="7"/>
  <c r="H765" i="7"/>
  <c r="E319" i="59"/>
  <c r="F498" i="7"/>
  <c r="H498" i="7"/>
  <c r="E748" i="57"/>
  <c r="F536" i="7"/>
  <c r="H536" i="7"/>
  <c r="E28" i="59"/>
  <c r="F535" i="7"/>
  <c r="H535" i="7"/>
  <c r="E27" i="59"/>
  <c r="F653" i="7"/>
  <c r="H653" i="7"/>
  <c r="E168" i="59"/>
  <c r="F848" i="7"/>
  <c r="H848" i="7"/>
  <c r="E431" i="59"/>
  <c r="F559" i="7"/>
  <c r="H559" i="7"/>
  <c r="E50" i="59"/>
  <c r="F723" i="7"/>
  <c r="H723" i="7"/>
  <c r="E265" i="59"/>
  <c r="F574" i="7"/>
  <c r="H574" i="7"/>
  <c r="E65" i="59"/>
  <c r="F578" i="7"/>
  <c r="H578" i="7"/>
  <c r="E69" i="59"/>
  <c r="F10" i="7"/>
  <c r="H10" i="7"/>
  <c r="F397" i="7"/>
  <c r="H397" i="7"/>
  <c r="E592" i="57"/>
  <c r="F439" i="7"/>
  <c r="H439" i="7"/>
  <c r="E661" i="57"/>
  <c r="F488" i="7"/>
  <c r="H488" i="7"/>
  <c r="E738" i="57"/>
  <c r="F443" i="7"/>
  <c r="H443" i="7"/>
  <c r="E665" i="57"/>
  <c r="F604" i="7"/>
  <c r="H604" i="7"/>
  <c r="E123" i="59"/>
  <c r="F90" i="7"/>
  <c r="H90" i="7"/>
  <c r="F257" i="7"/>
  <c r="H257" i="7"/>
  <c r="E366" i="57"/>
  <c r="F37" i="7"/>
  <c r="H37" i="7"/>
  <c r="F160" i="7"/>
  <c r="H160" i="7"/>
  <c r="E230" i="57"/>
  <c r="F182" i="7"/>
  <c r="H182" i="7"/>
  <c r="E247" i="57"/>
  <c r="F427" i="7"/>
  <c r="H427" i="7"/>
  <c r="E622" i="57"/>
  <c r="E621" i="57"/>
  <c r="L621" i="57"/>
  <c r="F481" i="7"/>
  <c r="H481" i="7"/>
  <c r="E731" i="57"/>
  <c r="F301" i="7"/>
  <c r="H301" i="7"/>
  <c r="E428" i="57"/>
  <c r="F206" i="7"/>
  <c r="H206" i="7"/>
  <c r="E290" i="57"/>
  <c r="F366" i="7"/>
  <c r="H366" i="7"/>
  <c r="E534" i="57"/>
  <c r="F434" i="7"/>
  <c r="H434" i="7"/>
  <c r="E656" i="57"/>
  <c r="F88" i="7"/>
  <c r="H88" i="7"/>
  <c r="F655" i="7"/>
  <c r="H655" i="7"/>
  <c r="E170" i="59"/>
  <c r="F889" i="7"/>
  <c r="H889" i="7"/>
  <c r="F1017" i="7"/>
  <c r="H1017" i="7"/>
  <c r="E319" i="60"/>
  <c r="F908" i="7"/>
  <c r="H908" i="7"/>
  <c r="F563" i="7"/>
  <c r="H563" i="7"/>
  <c r="E54" i="59"/>
  <c r="F754" i="7"/>
  <c r="H754" i="7"/>
  <c r="E308" i="59"/>
  <c r="F834" i="7"/>
  <c r="H834" i="7"/>
  <c r="E408" i="59"/>
  <c r="E407" i="59"/>
  <c r="L407" i="59"/>
  <c r="F750" i="7"/>
  <c r="H750" i="7"/>
  <c r="E304" i="59"/>
  <c r="F451" i="7"/>
  <c r="H451" i="7"/>
  <c r="E673" i="57"/>
  <c r="F38" i="7"/>
  <c r="H38" i="7"/>
  <c r="F197" i="7"/>
  <c r="H197" i="7"/>
  <c r="E281" i="57"/>
  <c r="F796" i="7"/>
  <c r="H796" i="7"/>
  <c r="E361" i="59"/>
  <c r="F724" i="7"/>
  <c r="H724" i="7"/>
  <c r="E266" i="59"/>
  <c r="F450" i="7"/>
  <c r="H450" i="7"/>
  <c r="E672" i="57"/>
  <c r="F273" i="7"/>
  <c r="H273" i="7"/>
  <c r="E400" i="57"/>
  <c r="F720" i="7"/>
  <c r="H720" i="7"/>
  <c r="E262" i="59"/>
  <c r="F945" i="7"/>
  <c r="H945" i="7"/>
  <c r="F873" i="7"/>
  <c r="H873" i="7"/>
  <c r="F1034" i="7"/>
  <c r="H1034" i="7"/>
  <c r="E336" i="60"/>
  <c r="E335" i="60"/>
  <c r="L335" i="60"/>
  <c r="F1069" i="7"/>
  <c r="H1069" i="7"/>
  <c r="E380" i="60"/>
  <c r="E379" i="60"/>
  <c r="L379" i="60"/>
  <c r="F1036" i="7"/>
  <c r="H1036" i="7"/>
  <c r="E338" i="60"/>
  <c r="E337" i="60"/>
  <c r="L337" i="60"/>
  <c r="F987" i="7"/>
  <c r="H987" i="7"/>
  <c r="E281" i="60"/>
  <c r="F212" i="7"/>
  <c r="H212" i="7"/>
  <c r="E296" i="57"/>
  <c r="F558" i="7"/>
  <c r="H558" i="7"/>
  <c r="E49" i="59"/>
  <c r="E46" i="59"/>
  <c r="L46" i="59"/>
  <c r="F734" i="7"/>
  <c r="H734" i="7"/>
  <c r="E276" i="59"/>
  <c r="F943" i="7"/>
  <c r="H943" i="7"/>
  <c r="F957" i="7"/>
  <c r="H957" i="7"/>
  <c r="F922" i="7"/>
  <c r="H922" i="7"/>
  <c r="F852" i="7"/>
  <c r="H852" i="7"/>
  <c r="E435" i="59"/>
  <c r="F767" i="7"/>
  <c r="H767" i="7"/>
  <c r="E321" i="59"/>
  <c r="E320" i="59"/>
  <c r="L320" i="59"/>
  <c r="F745" i="7"/>
  <c r="H745" i="7"/>
  <c r="E299" i="59"/>
  <c r="F555" i="7"/>
  <c r="H555" i="7"/>
  <c r="E44" i="59"/>
  <c r="F911" i="7"/>
  <c r="H911" i="7"/>
  <c r="F921" i="7"/>
  <c r="H921" i="7"/>
  <c r="F743" i="7"/>
  <c r="H743" i="7"/>
  <c r="E297" i="59"/>
  <c r="F691" i="7"/>
  <c r="H691" i="7"/>
  <c r="E222" i="59"/>
  <c r="F775" i="7"/>
  <c r="H775" i="7"/>
  <c r="E340" i="59"/>
  <c r="F942" i="7"/>
  <c r="H942" i="7"/>
  <c r="F609" i="7"/>
  <c r="H609" i="7"/>
  <c r="E126" i="59"/>
  <c r="F861" i="7"/>
  <c r="H861" i="7"/>
  <c r="E444" i="59"/>
  <c r="F687" i="7"/>
  <c r="H687" i="7"/>
  <c r="E218" i="59"/>
  <c r="F396" i="7"/>
  <c r="H396" i="7"/>
  <c r="E591" i="57"/>
  <c r="F487" i="7"/>
  <c r="H487" i="7"/>
  <c r="E737" i="57"/>
  <c r="F491" i="7"/>
  <c r="H491" i="7"/>
  <c r="E741" i="57"/>
  <c r="F393" i="7"/>
  <c r="H393" i="7"/>
  <c r="E588" i="57"/>
  <c r="F441" i="7"/>
  <c r="H441" i="7"/>
  <c r="E663" i="57"/>
  <c r="F1046" i="7"/>
  <c r="H1046" i="7"/>
  <c r="E357" i="60"/>
  <c r="E351" i="60"/>
  <c r="O578" i="57"/>
  <c r="O725" i="57"/>
  <c r="O713" i="57"/>
  <c r="O728" i="57"/>
  <c r="O716" i="57"/>
  <c r="O722" i="57"/>
  <c r="O710" i="57"/>
  <c r="O720" i="57"/>
  <c r="O708" i="57"/>
  <c r="O727" i="57"/>
  <c r="O715" i="57"/>
  <c r="O648" i="57"/>
  <c r="O637" i="57"/>
  <c r="O653" i="57"/>
  <c r="O642" i="57"/>
  <c r="O350" i="60"/>
  <c r="O346" i="60"/>
  <c r="F244" i="7"/>
  <c r="H244" i="7"/>
  <c r="E355" i="57"/>
  <c r="F320" i="7"/>
  <c r="H320" i="7"/>
  <c r="E473" i="57"/>
  <c r="F242" i="7"/>
  <c r="H242" i="7"/>
  <c r="E354" i="57"/>
  <c r="F166" i="7"/>
  <c r="H166" i="7"/>
  <c r="E234" i="57"/>
  <c r="O21" i="40"/>
  <c r="M118" i="31"/>
  <c r="O143" i="59"/>
  <c r="O158" i="59"/>
  <c r="O154" i="59"/>
  <c r="M322" i="31"/>
  <c r="Q17" i="36"/>
  <c r="O17" i="36"/>
  <c r="O29" i="36"/>
  <c r="Q11" i="36"/>
  <c r="O11" i="36"/>
  <c r="Q16" i="36"/>
  <c r="O16" i="36"/>
  <c r="O28" i="36"/>
  <c r="Q13" i="36"/>
  <c r="O13" i="36"/>
  <c r="P503" i="57"/>
  <c r="Q503" i="57"/>
  <c r="J370" i="18"/>
  <c r="J371" i="18"/>
  <c r="F369" i="18"/>
  <c r="J153" i="18"/>
  <c r="J154" i="18"/>
  <c r="O723" i="57"/>
  <c r="O711" i="57"/>
  <c r="O719" i="57"/>
  <c r="O707" i="57"/>
  <c r="E117" i="35"/>
  <c r="G97" i="35"/>
  <c r="O266" i="60"/>
  <c r="O262" i="60"/>
  <c r="O267" i="60"/>
  <c r="O263" i="60"/>
  <c r="O308" i="60"/>
  <c r="O304" i="60"/>
  <c r="M196" i="31"/>
  <c r="H221" i="18"/>
  <c r="K200" i="18"/>
  <c r="O176" i="59"/>
  <c r="O147" i="59"/>
  <c r="H389" i="31"/>
  <c r="M296" i="31"/>
  <c r="J45" i="3"/>
  <c r="K45" i="3"/>
  <c r="J54" i="3"/>
  <c r="K54" i="3"/>
  <c r="J14" i="3"/>
  <c r="K14" i="3"/>
  <c r="O181" i="57"/>
  <c r="O267" i="57"/>
  <c r="O263" i="57"/>
  <c r="K336" i="59"/>
  <c r="K332" i="59"/>
  <c r="K421" i="59"/>
  <c r="K417" i="59"/>
  <c r="K337" i="59"/>
  <c r="K333" i="59"/>
  <c r="K378" i="59"/>
  <c r="K374" i="59"/>
  <c r="N108" i="37"/>
  <c r="O146" i="57"/>
  <c r="O80" i="59"/>
  <c r="M300" i="31"/>
  <c r="N9" i="35"/>
  <c r="L8" i="39"/>
  <c r="G9" i="39"/>
  <c r="O20" i="59"/>
  <c r="O18" i="59"/>
  <c r="O622" i="57"/>
  <c r="O621" i="57"/>
  <c r="P31" i="57"/>
  <c r="P41" i="57"/>
  <c r="P32" i="57"/>
  <c r="P28" i="57"/>
  <c r="Q131" i="59"/>
  <c r="O131" i="59"/>
  <c r="O456" i="57"/>
  <c r="O444" i="57"/>
  <c r="O47" i="59"/>
  <c r="O299" i="57"/>
  <c r="O330" i="60"/>
  <c r="H117" i="31"/>
  <c r="M117" i="31"/>
  <c r="J117" i="31"/>
  <c r="P60" i="57"/>
  <c r="O525" i="57"/>
  <c r="O37" i="59"/>
  <c r="O17" i="59"/>
  <c r="O10" i="59"/>
  <c r="I455" i="57"/>
  <c r="I443" i="57"/>
  <c r="I458" i="57"/>
  <c r="I446" i="57"/>
  <c r="I461" i="57"/>
  <c r="I449" i="57"/>
  <c r="I457" i="57"/>
  <c r="I445" i="57"/>
  <c r="I462" i="57"/>
  <c r="I450" i="57"/>
  <c r="I217" i="57"/>
  <c r="I205" i="57"/>
  <c r="I219" i="57"/>
  <c r="I207" i="57"/>
  <c r="I216" i="57"/>
  <c r="I204" i="57"/>
  <c r="I222" i="57"/>
  <c r="I210" i="57"/>
  <c r="I224" i="57"/>
  <c r="I212" i="57"/>
  <c r="I338" i="57"/>
  <c r="I326" i="57"/>
  <c r="I340" i="57"/>
  <c r="I328" i="57"/>
  <c r="I336" i="57"/>
  <c r="I324" i="57"/>
  <c r="I342" i="57"/>
  <c r="I330" i="57"/>
  <c r="I344" i="57"/>
  <c r="I332" i="57"/>
  <c r="O467" i="57"/>
  <c r="O612" i="57"/>
  <c r="O600" i="57"/>
  <c r="M58" i="31"/>
  <c r="J60" i="31"/>
  <c r="Q122" i="57"/>
  <c r="P122" i="57"/>
  <c r="P353" i="57"/>
  <c r="O353" i="57"/>
  <c r="P409" i="57"/>
  <c r="O409" i="57"/>
  <c r="P390" i="57"/>
  <c r="O390" i="57"/>
  <c r="P423" i="57"/>
  <c r="O423" i="57"/>
  <c r="P410" i="57"/>
  <c r="O410" i="57"/>
  <c r="P394" i="57"/>
  <c r="O394" i="57"/>
  <c r="P430" i="57"/>
  <c r="O430" i="57"/>
  <c r="O429" i="57"/>
  <c r="P418" i="57"/>
  <c r="O418" i="57"/>
  <c r="P407" i="57"/>
  <c r="O407" i="57"/>
  <c r="P352" i="57"/>
  <c r="O352" i="57"/>
  <c r="P406" i="57"/>
  <c r="O406" i="57"/>
  <c r="P421" i="57"/>
  <c r="O421" i="57"/>
  <c r="P402" i="57"/>
  <c r="O402" i="57"/>
  <c r="P388" i="57"/>
  <c r="O388" i="57"/>
  <c r="P427" i="57"/>
  <c r="O427" i="57"/>
  <c r="P416" i="57"/>
  <c r="O416" i="57"/>
  <c r="P397" i="57"/>
  <c r="O397" i="57"/>
  <c r="P354" i="57"/>
  <c r="O354" i="57"/>
  <c r="P368" i="57"/>
  <c r="P403" i="57"/>
  <c r="O403" i="57"/>
  <c r="P428" i="57"/>
  <c r="O428" i="57"/>
  <c r="P417" i="57"/>
  <c r="O417" i="57"/>
  <c r="P424" i="57"/>
  <c r="O424" i="57"/>
  <c r="P411" i="57"/>
  <c r="O411" i="57"/>
  <c r="P395" i="57"/>
  <c r="O395" i="57"/>
  <c r="P356" i="57"/>
  <c r="O356" i="57"/>
  <c r="P393" i="57"/>
  <c r="O393" i="57"/>
  <c r="P391" i="57"/>
  <c r="O391" i="57"/>
  <c r="P511" i="57"/>
  <c r="O511" i="57"/>
  <c r="P513" i="57"/>
  <c r="O513" i="57"/>
  <c r="P516" i="57"/>
  <c r="O516" i="57"/>
  <c r="P524" i="57"/>
  <c r="O524" i="57"/>
  <c r="P528" i="57"/>
  <c r="O528" i="57"/>
  <c r="P533" i="57"/>
  <c r="O533" i="57"/>
  <c r="P535" i="57"/>
  <c r="O535" i="57"/>
  <c r="P539" i="57"/>
  <c r="O539" i="57"/>
  <c r="P541" i="57"/>
  <c r="O541" i="57"/>
  <c r="P544" i="57"/>
  <c r="O544" i="57"/>
  <c r="P547" i="57"/>
  <c r="O547" i="57"/>
  <c r="O546" i="57"/>
  <c r="P363" i="57"/>
  <c r="O363" i="57"/>
  <c r="P351" i="57"/>
  <c r="O351" i="57"/>
  <c r="P361" i="57"/>
  <c r="O361" i="57"/>
  <c r="P367" i="57"/>
  <c r="O367" i="57"/>
  <c r="P532" i="57"/>
  <c r="O532" i="57"/>
  <c r="P522" i="57"/>
  <c r="O522" i="57"/>
  <c r="P515" i="57"/>
  <c r="O515" i="57"/>
  <c r="P501" i="57"/>
  <c r="P420" i="57"/>
  <c r="O420" i="57"/>
  <c r="P415" i="57"/>
  <c r="O415" i="57"/>
  <c r="P412" i="57"/>
  <c r="O412" i="57"/>
  <c r="P405" i="57"/>
  <c r="O405" i="57"/>
  <c r="P401" i="57"/>
  <c r="O401" i="57"/>
  <c r="P399" i="57"/>
  <c r="O399" i="57"/>
  <c r="P392" i="57"/>
  <c r="O392" i="57"/>
  <c r="P387" i="57"/>
  <c r="O387" i="57"/>
  <c r="P546" i="57"/>
  <c r="P425" i="57"/>
  <c r="O425" i="57"/>
  <c r="P510" i="57"/>
  <c r="O510" i="57"/>
  <c r="P523" i="57"/>
  <c r="O523" i="57"/>
  <c r="P505" i="57"/>
  <c r="O505" i="57"/>
  <c r="P350" i="57"/>
  <c r="O350" i="57"/>
  <c r="P360" i="57"/>
  <c r="O360" i="57"/>
  <c r="P366" i="57"/>
  <c r="O366" i="57"/>
  <c r="P429" i="57"/>
  <c r="P543" i="57"/>
  <c r="O543" i="57"/>
  <c r="P530" i="57"/>
  <c r="O530" i="57"/>
  <c r="P521" i="57"/>
  <c r="O521" i="57"/>
  <c r="P509" i="57"/>
  <c r="O509" i="57"/>
  <c r="P362" i="57"/>
  <c r="O362" i="57"/>
  <c r="P414" i="57"/>
  <c r="O414" i="57"/>
  <c r="P422" i="57"/>
  <c r="O422" i="57"/>
  <c r="P508" i="57"/>
  <c r="O508" i="57"/>
  <c r="P512" i="57"/>
  <c r="O512" i="57"/>
  <c r="P514" i="57"/>
  <c r="O514" i="57"/>
  <c r="P519" i="57"/>
  <c r="O519" i="57"/>
  <c r="P527" i="57"/>
  <c r="O527" i="57"/>
  <c r="P531" i="57"/>
  <c r="O531" i="57"/>
  <c r="P534" i="57"/>
  <c r="O534" i="57"/>
  <c r="P538" i="57"/>
  <c r="O538" i="57"/>
  <c r="P540" i="57"/>
  <c r="O540" i="57"/>
  <c r="P542" i="57"/>
  <c r="O542" i="57"/>
  <c r="P545" i="57"/>
  <c r="O545" i="57"/>
  <c r="P348" i="57"/>
  <c r="O348" i="57"/>
  <c r="P349" i="57"/>
  <c r="O349" i="57"/>
  <c r="P359" i="57"/>
  <c r="O359" i="57"/>
  <c r="P365" i="57"/>
  <c r="O365" i="57"/>
  <c r="P537" i="57"/>
  <c r="O537" i="57"/>
  <c r="P529" i="57"/>
  <c r="O529" i="57"/>
  <c r="P518" i="57"/>
  <c r="O518" i="57"/>
  <c r="P506" i="57"/>
  <c r="O506" i="57"/>
  <c r="P426" i="57"/>
  <c r="O426" i="57"/>
  <c r="P419" i="57"/>
  <c r="O419" i="57"/>
  <c r="P413" i="57"/>
  <c r="O413" i="57"/>
  <c r="P408" i="57"/>
  <c r="O408" i="57"/>
  <c r="P404" i="57"/>
  <c r="O404" i="57"/>
  <c r="P400" i="57"/>
  <c r="O400" i="57"/>
  <c r="P398" i="57"/>
  <c r="O398" i="57"/>
  <c r="P389" i="57"/>
  <c r="O389" i="57"/>
  <c r="P355" i="57"/>
  <c r="O355" i="57"/>
  <c r="O309" i="60"/>
  <c r="O305" i="60"/>
  <c r="O59" i="59"/>
  <c r="O49" i="59"/>
  <c r="O46" i="59"/>
  <c r="O19" i="59"/>
  <c r="O12" i="59"/>
  <c r="O691" i="57"/>
  <c r="O238" i="57"/>
  <c r="O357" i="60"/>
  <c r="O351" i="60"/>
  <c r="O347" i="60"/>
  <c r="P234" i="57"/>
  <c r="O234" i="57"/>
  <c r="P232" i="57"/>
  <c r="O232" i="57"/>
  <c r="P247" i="57"/>
  <c r="O247" i="57"/>
  <c r="P239" i="57"/>
  <c r="O239" i="57"/>
  <c r="P284" i="57"/>
  <c r="O284" i="57"/>
  <c r="P246" i="57"/>
  <c r="O246" i="57"/>
  <c r="P231" i="57"/>
  <c r="O231" i="57"/>
  <c r="P271" i="57"/>
  <c r="O271" i="57"/>
  <c r="P244" i="57"/>
  <c r="O244" i="57"/>
  <c r="P230" i="57"/>
  <c r="O230" i="57"/>
  <c r="P245" i="57"/>
  <c r="O245" i="57"/>
  <c r="P229" i="57"/>
  <c r="O229" i="57"/>
  <c r="P249" i="57"/>
  <c r="O249" i="57"/>
  <c r="O248" i="57"/>
  <c r="P240" i="57"/>
  <c r="O240" i="57"/>
  <c r="P287" i="57"/>
  <c r="O287" i="57"/>
  <c r="P235" i="57"/>
  <c r="O235" i="57"/>
  <c r="Q471" i="57"/>
  <c r="O471" i="57"/>
  <c r="O455" i="57"/>
  <c r="O443" i="57"/>
  <c r="Q474" i="57"/>
  <c r="O474" i="57"/>
  <c r="O458" i="57"/>
  <c r="O446" i="57"/>
  <c r="J17" i="31"/>
  <c r="H17" i="31"/>
  <c r="L17" i="31"/>
  <c r="O614" i="57"/>
  <c r="O85" i="59"/>
  <c r="Q760" i="57"/>
  <c r="O760" i="57"/>
  <c r="Q664" i="57"/>
  <c r="O664" i="57"/>
  <c r="Q663" i="57"/>
  <c r="O663" i="57"/>
  <c r="Q587" i="57"/>
  <c r="O587" i="57"/>
  <c r="O579" i="57"/>
  <c r="O567" i="57"/>
  <c r="Q588" i="57"/>
  <c r="O588" i="57"/>
  <c r="H9" i="37"/>
  <c r="K8" i="37"/>
  <c r="K9" i="37"/>
  <c r="F326" i="18"/>
  <c r="K326" i="18"/>
  <c r="H326" i="18"/>
  <c r="F323" i="18"/>
  <c r="H323" i="18"/>
  <c r="H340" i="18"/>
  <c r="J22" i="31"/>
  <c r="H22" i="31"/>
  <c r="Q319" i="60"/>
  <c r="O319" i="60"/>
  <c r="Q337" i="60"/>
  <c r="Q324" i="60"/>
  <c r="O324" i="60"/>
  <c r="Q330" i="60"/>
  <c r="O13" i="40"/>
  <c r="O15" i="40"/>
  <c r="G13" i="40"/>
  <c r="K117" i="18"/>
  <c r="K7" i="35"/>
  <c r="K14" i="35"/>
  <c r="I7" i="35"/>
  <c r="F120" i="37"/>
  <c r="K119" i="37"/>
  <c r="K120" i="37"/>
  <c r="F23" i="37"/>
  <c r="K22" i="37"/>
  <c r="K23" i="37"/>
  <c r="P136" i="57"/>
  <c r="O136" i="57"/>
  <c r="P172" i="57"/>
  <c r="O172" i="57"/>
  <c r="P157" i="57"/>
  <c r="O157" i="57"/>
  <c r="H109" i="18"/>
  <c r="H123" i="18"/>
  <c r="F109" i="18"/>
  <c r="Q20" i="40"/>
  <c r="O20" i="40"/>
  <c r="Q17" i="40"/>
  <c r="O17" i="40"/>
  <c r="O18" i="40"/>
  <c r="M11" i="35"/>
  <c r="N11" i="35"/>
  <c r="K98" i="35"/>
  <c r="I98" i="35"/>
  <c r="N98" i="35"/>
  <c r="P665" i="57"/>
  <c r="O665" i="57"/>
  <c r="P683" i="57"/>
  <c r="O683" i="57"/>
  <c r="P689" i="57"/>
  <c r="O689" i="57"/>
  <c r="P685" i="57"/>
  <c r="O685" i="57"/>
  <c r="M18" i="31"/>
  <c r="E35" i="40"/>
  <c r="I38" i="39"/>
  <c r="K181" i="60"/>
  <c r="K11" i="60"/>
  <c r="K180" i="57"/>
  <c r="K181" i="57"/>
  <c r="Q23" i="37"/>
  <c r="K44" i="40"/>
  <c r="F387" i="18"/>
  <c r="P739" i="57"/>
  <c r="O739" i="57"/>
  <c r="O721" i="57"/>
  <c r="O709" i="57"/>
  <c r="L170" i="31"/>
  <c r="H170" i="31"/>
  <c r="L168" i="31"/>
  <c r="M168" i="31"/>
  <c r="J168" i="31"/>
  <c r="J176" i="31"/>
  <c r="H51" i="18"/>
  <c r="F51" i="18"/>
  <c r="J91" i="31"/>
  <c r="H91" i="31"/>
  <c r="F86" i="31"/>
  <c r="E112" i="31"/>
  <c r="F112" i="31"/>
  <c r="M276" i="31"/>
  <c r="M107" i="31"/>
  <c r="Q22" i="39"/>
  <c r="O22" i="39"/>
  <c r="Q16" i="39"/>
  <c r="O16" i="39"/>
  <c r="O18" i="39"/>
  <c r="F114" i="18"/>
  <c r="K114" i="18"/>
  <c r="K334" i="18"/>
  <c r="G27" i="35"/>
  <c r="M23" i="31"/>
  <c r="H14" i="31"/>
  <c r="M14" i="31"/>
  <c r="L14" i="31"/>
  <c r="H9" i="31"/>
  <c r="J9" i="31"/>
  <c r="P761" i="57"/>
  <c r="O761" i="57"/>
  <c r="H302" i="31"/>
  <c r="J302" i="31"/>
  <c r="F458" i="57"/>
  <c r="F446" i="57"/>
  <c r="F463" i="57"/>
  <c r="F451" i="57"/>
  <c r="F454" i="57"/>
  <c r="F442" i="57"/>
  <c r="F459" i="57"/>
  <c r="F447" i="57"/>
  <c r="F216" i="57"/>
  <c r="F204" i="57"/>
  <c r="F221" i="57"/>
  <c r="F209" i="57"/>
  <c r="P428" i="59"/>
  <c r="O428" i="59"/>
  <c r="P386" i="59"/>
  <c r="O386" i="59"/>
  <c r="O379" i="59"/>
  <c r="O375" i="59"/>
  <c r="P341" i="59"/>
  <c r="O341" i="59"/>
  <c r="P319" i="59"/>
  <c r="O319" i="59"/>
  <c r="P216" i="59"/>
  <c r="O216" i="59"/>
  <c r="P395" i="59"/>
  <c r="O395" i="59"/>
  <c r="P353" i="59"/>
  <c r="O353" i="59"/>
  <c r="P256" i="59"/>
  <c r="O256" i="59"/>
  <c r="P436" i="59"/>
  <c r="O436" i="59"/>
  <c r="P224" i="59"/>
  <c r="O224" i="59"/>
  <c r="K180" i="18"/>
  <c r="J208" i="31"/>
  <c r="H208" i="31"/>
  <c r="J174" i="18"/>
  <c r="F174" i="18"/>
  <c r="H174" i="18"/>
  <c r="J170" i="18"/>
  <c r="F170" i="18"/>
  <c r="K170" i="18"/>
  <c r="J166" i="18"/>
  <c r="F166" i="18"/>
  <c r="K151" i="18"/>
  <c r="J200" i="31"/>
  <c r="H200" i="31"/>
  <c r="L200" i="31"/>
  <c r="L212" i="31"/>
  <c r="L173" i="31"/>
  <c r="H173" i="31"/>
  <c r="M173" i="31"/>
  <c r="L162" i="31"/>
  <c r="H162" i="31"/>
  <c r="J57" i="18"/>
  <c r="H57" i="18"/>
  <c r="K57" i="18"/>
  <c r="H135" i="31"/>
  <c r="L135" i="31"/>
  <c r="L147" i="31"/>
  <c r="E76" i="60"/>
  <c r="E33" i="60"/>
  <c r="L351" i="31"/>
  <c r="L361" i="31"/>
  <c r="H351" i="31"/>
  <c r="Q661" i="57"/>
  <c r="O661" i="57"/>
  <c r="O649" i="57"/>
  <c r="O638" i="57"/>
  <c r="J172" i="18"/>
  <c r="H172" i="18"/>
  <c r="J168" i="18"/>
  <c r="H168" i="18"/>
  <c r="H94" i="18"/>
  <c r="M142" i="31"/>
  <c r="J265" i="18"/>
  <c r="J281" i="18"/>
  <c r="F265" i="18"/>
  <c r="J22" i="18"/>
  <c r="J53" i="18"/>
  <c r="K53" i="18"/>
  <c r="F302" i="18"/>
  <c r="H302" i="18"/>
  <c r="H310" i="18"/>
  <c r="P211" i="59"/>
  <c r="O211" i="59"/>
  <c r="O208" i="59"/>
  <c r="O205" i="59"/>
  <c r="P230" i="59"/>
  <c r="O230" i="59"/>
  <c r="R385" i="57"/>
  <c r="K81" i="18"/>
  <c r="K94" i="18"/>
  <c r="J298" i="31"/>
  <c r="J307" i="31"/>
  <c r="P423" i="59"/>
  <c r="O423" i="59"/>
  <c r="P442" i="59"/>
  <c r="O442" i="59"/>
  <c r="J46" i="18"/>
  <c r="J64" i="18"/>
  <c r="H46" i="18"/>
  <c r="M298" i="31"/>
  <c r="P13" i="62"/>
  <c r="P212" i="59"/>
  <c r="O212" i="59"/>
  <c r="O209" i="59"/>
  <c r="O206" i="59"/>
  <c r="P274" i="59"/>
  <c r="O274" i="59"/>
  <c r="P424" i="59"/>
  <c r="O424" i="59"/>
  <c r="O421" i="59"/>
  <c r="O417" i="59"/>
  <c r="F457" i="57"/>
  <c r="F445" i="57"/>
  <c r="F462" i="57"/>
  <c r="F450" i="57"/>
  <c r="F340" i="57"/>
  <c r="F328" i="57"/>
  <c r="F345" i="57"/>
  <c r="F333" i="57"/>
  <c r="F218" i="57"/>
  <c r="F206" i="57"/>
  <c r="F223" i="57"/>
  <c r="F211" i="57"/>
  <c r="P8" i="62"/>
  <c r="P669" i="57"/>
  <c r="O669" i="57"/>
  <c r="P308" i="59"/>
  <c r="O308" i="59"/>
  <c r="P321" i="59"/>
  <c r="O321" i="59"/>
  <c r="O320" i="59"/>
  <c r="R266" i="57"/>
  <c r="P12" i="62"/>
  <c r="F461" i="57"/>
  <c r="F449" i="57"/>
  <c r="F456" i="57"/>
  <c r="F444" i="57"/>
  <c r="Q16" i="60"/>
  <c r="Q29" i="60"/>
  <c r="G16" i="62"/>
  <c r="G9" i="62"/>
  <c r="G15" i="62"/>
  <c r="G8" i="62"/>
  <c r="G17" i="62"/>
  <c r="G10" i="62"/>
  <c r="P675" i="57"/>
  <c r="O675" i="57"/>
  <c r="P135" i="57"/>
  <c r="O135" i="57"/>
  <c r="P382" i="59"/>
  <c r="O382" i="59"/>
  <c r="P401" i="59"/>
  <c r="O401" i="59"/>
  <c r="F455" i="57"/>
  <c r="F443" i="57"/>
  <c r="F460" i="57"/>
  <c r="F448" i="57"/>
  <c r="Q35" i="60"/>
  <c r="D21" i="38"/>
  <c r="P9" i="60"/>
  <c r="P39" i="60"/>
  <c r="O39" i="60"/>
  <c r="O38" i="60"/>
  <c r="F19" i="7"/>
  <c r="H19" i="7"/>
  <c r="F23" i="7"/>
  <c r="H23" i="7"/>
  <c r="E262" i="60"/>
  <c r="L266" i="60"/>
  <c r="E347" i="60"/>
  <c r="L351" i="60"/>
  <c r="H252" i="18"/>
  <c r="H253" i="18"/>
  <c r="J308" i="31"/>
  <c r="J309" i="31"/>
  <c r="J65" i="18"/>
  <c r="J66" i="18"/>
  <c r="L213" i="31"/>
  <c r="L214" i="31"/>
  <c r="J250" i="31"/>
  <c r="J251" i="31"/>
  <c r="I308" i="60"/>
  <c r="I350" i="60"/>
  <c r="I309" i="60"/>
  <c r="I266" i="60"/>
  <c r="I351" i="60"/>
  <c r="I267" i="60"/>
  <c r="K302" i="18"/>
  <c r="K310" i="18"/>
  <c r="F310" i="18"/>
  <c r="M351" i="31"/>
  <c r="H361" i="31"/>
  <c r="H125" i="18"/>
  <c r="H124" i="18"/>
  <c r="O463" i="57"/>
  <c r="O451" i="57"/>
  <c r="O460" i="57"/>
  <c r="O448" i="57"/>
  <c r="O461" i="57"/>
  <c r="O449" i="57"/>
  <c r="O462" i="57"/>
  <c r="O450" i="57"/>
  <c r="O459" i="57"/>
  <c r="O447" i="57"/>
  <c r="M8" i="39"/>
  <c r="L9" i="39"/>
  <c r="E138" i="35"/>
  <c r="G117" i="35"/>
  <c r="K117" i="35"/>
  <c r="O566" i="57"/>
  <c r="M46" i="59"/>
  <c r="N46" i="59"/>
  <c r="E143" i="60"/>
  <c r="E100" i="60"/>
  <c r="E142" i="60"/>
  <c r="E99" i="60"/>
  <c r="E208" i="59"/>
  <c r="M377" i="60"/>
  <c r="N377" i="60"/>
  <c r="E168" i="57"/>
  <c r="E163" i="62"/>
  <c r="E166" i="57"/>
  <c r="E161" i="62"/>
  <c r="E61" i="57"/>
  <c r="E60" i="62"/>
  <c r="E654" i="57"/>
  <c r="E652" i="57"/>
  <c r="E651" i="57"/>
  <c r="E653" i="57"/>
  <c r="E650" i="57"/>
  <c r="E463" i="57"/>
  <c r="E462" i="57"/>
  <c r="E459" i="57"/>
  <c r="E460" i="57"/>
  <c r="E461" i="57"/>
  <c r="L456" i="57"/>
  <c r="E444" i="57"/>
  <c r="E162" i="57"/>
  <c r="E157" i="62"/>
  <c r="E222" i="57"/>
  <c r="E221" i="57"/>
  <c r="E224" i="57"/>
  <c r="E223" i="57"/>
  <c r="E225" i="57"/>
  <c r="E55" i="57"/>
  <c r="E54" i="62"/>
  <c r="E217" i="57"/>
  <c r="E216" i="57"/>
  <c r="E219" i="57"/>
  <c r="E218" i="57"/>
  <c r="E220" i="57"/>
  <c r="E117" i="62"/>
  <c r="E122" i="57"/>
  <c r="E61" i="62"/>
  <c r="E62" i="57"/>
  <c r="E76" i="62"/>
  <c r="E77" i="57"/>
  <c r="H116" i="57"/>
  <c r="H111" i="62"/>
  <c r="O67" i="31"/>
  <c r="I99" i="35"/>
  <c r="K99" i="35"/>
  <c r="M99" i="35"/>
  <c r="M102" i="35"/>
  <c r="J80" i="59"/>
  <c r="G21" i="39"/>
  <c r="L19" i="39"/>
  <c r="E454" i="57"/>
  <c r="E35" i="60"/>
  <c r="E78" i="60"/>
  <c r="E165" i="60"/>
  <c r="E122" i="60"/>
  <c r="E74" i="57"/>
  <c r="E73" i="62"/>
  <c r="E173" i="57"/>
  <c r="E168" i="62"/>
  <c r="N36" i="39"/>
  <c r="N38" i="39"/>
  <c r="M38" i="39"/>
  <c r="I21" i="57"/>
  <c r="I19" i="57"/>
  <c r="L35" i="40"/>
  <c r="M33" i="40"/>
  <c r="E175" i="62"/>
  <c r="L175" i="62"/>
  <c r="E176" i="62"/>
  <c r="L176" i="62"/>
  <c r="P29" i="60"/>
  <c r="O29" i="60"/>
  <c r="O295" i="59"/>
  <c r="O291" i="59"/>
  <c r="O294" i="59"/>
  <c r="O290" i="59"/>
  <c r="K46" i="18"/>
  <c r="H64" i="18"/>
  <c r="O420" i="59"/>
  <c r="O416" i="59"/>
  <c r="K172" i="18"/>
  <c r="L362" i="31"/>
  <c r="L363" i="31"/>
  <c r="H147" i="31"/>
  <c r="M135" i="31"/>
  <c r="L176" i="31"/>
  <c r="M200" i="31"/>
  <c r="H212" i="31"/>
  <c r="J187" i="18"/>
  <c r="K174" i="18"/>
  <c r="O336" i="59"/>
  <c r="O332" i="59"/>
  <c r="O337" i="59"/>
  <c r="O333" i="59"/>
  <c r="J24" i="31"/>
  <c r="H112" i="31"/>
  <c r="J112" i="31"/>
  <c r="J120" i="31"/>
  <c r="K51" i="18"/>
  <c r="F64" i="18"/>
  <c r="M170" i="31"/>
  <c r="K115" i="57"/>
  <c r="K109" i="62"/>
  <c r="K108" i="62"/>
  <c r="K116" i="57"/>
  <c r="K113" i="57"/>
  <c r="K111" i="62"/>
  <c r="K110" i="62"/>
  <c r="M23" i="37"/>
  <c r="K114" i="57"/>
  <c r="R14" i="35"/>
  <c r="J45" i="62"/>
  <c r="J46" i="62"/>
  <c r="J46" i="57"/>
  <c r="J47" i="57"/>
  <c r="M22" i="31"/>
  <c r="M17" i="31"/>
  <c r="O225" i="57"/>
  <c r="O213" i="57"/>
  <c r="O222" i="57"/>
  <c r="O210" i="57"/>
  <c r="O223" i="57"/>
  <c r="O211" i="57"/>
  <c r="O224" i="57"/>
  <c r="O212" i="57"/>
  <c r="O221" i="57"/>
  <c r="O209" i="57"/>
  <c r="O266" i="57"/>
  <c r="O262" i="57"/>
  <c r="O341" i="57"/>
  <c r="O329" i="57"/>
  <c r="O343" i="57"/>
  <c r="O331" i="57"/>
  <c r="O342" i="57"/>
  <c r="O330" i="57"/>
  <c r="O345" i="57"/>
  <c r="O333" i="57"/>
  <c r="O344" i="57"/>
  <c r="O332" i="57"/>
  <c r="O503" i="57"/>
  <c r="O499" i="57"/>
  <c r="O502" i="57"/>
  <c r="O498" i="57"/>
  <c r="O122" i="57"/>
  <c r="O574" i="57"/>
  <c r="O562" i="57"/>
  <c r="G32" i="57"/>
  <c r="O32" i="57"/>
  <c r="O17" i="57"/>
  <c r="O10" i="57"/>
  <c r="O11" i="59"/>
  <c r="O16" i="59"/>
  <c r="O9" i="59"/>
  <c r="O571" i="57"/>
  <c r="O559" i="57"/>
  <c r="O8" i="36"/>
  <c r="O9" i="36"/>
  <c r="O148" i="59"/>
  <c r="O651" i="57"/>
  <c r="O640" i="57"/>
  <c r="O647" i="57"/>
  <c r="O636" i="57"/>
  <c r="E294" i="59"/>
  <c r="E295" i="59"/>
  <c r="E200" i="60"/>
  <c r="E243" i="60"/>
  <c r="M335" i="60"/>
  <c r="N335" i="60"/>
  <c r="M407" i="59"/>
  <c r="N407" i="59"/>
  <c r="E647" i="57"/>
  <c r="E648" i="57"/>
  <c r="E645" i="57"/>
  <c r="E649" i="57"/>
  <c r="E646" i="57"/>
  <c r="E723" i="57"/>
  <c r="E719" i="57"/>
  <c r="E721" i="57"/>
  <c r="E720" i="57"/>
  <c r="E722" i="57"/>
  <c r="E48" i="62"/>
  <c r="E45" i="62"/>
  <c r="L45" i="62"/>
  <c r="E49" i="57"/>
  <c r="E24" i="57"/>
  <c r="E23" i="62"/>
  <c r="E47" i="59"/>
  <c r="L47" i="59"/>
  <c r="E197" i="60"/>
  <c r="E240" i="60"/>
  <c r="E65" i="60"/>
  <c r="E22" i="60"/>
  <c r="M234" i="59"/>
  <c r="N234" i="59"/>
  <c r="E235" i="60"/>
  <c r="E192" i="60"/>
  <c r="E339" i="57"/>
  <c r="E336" i="57"/>
  <c r="E340" i="57"/>
  <c r="E337" i="57"/>
  <c r="E338" i="57"/>
  <c r="E29" i="57"/>
  <c r="E28" i="62"/>
  <c r="E309" i="60"/>
  <c r="E308" i="60"/>
  <c r="M277" i="59"/>
  <c r="N277" i="59"/>
  <c r="E70" i="60"/>
  <c r="E27" i="60"/>
  <c r="E252" i="59"/>
  <c r="E158" i="60"/>
  <c r="E115" i="60"/>
  <c r="E161" i="57"/>
  <c r="E156" i="62"/>
  <c r="E23" i="57"/>
  <c r="E22" i="62"/>
  <c r="M695" i="57"/>
  <c r="N695" i="57"/>
  <c r="E69" i="57"/>
  <c r="E68" i="62"/>
  <c r="E77" i="62"/>
  <c r="E78" i="57"/>
  <c r="E267" i="57"/>
  <c r="E266" i="57"/>
  <c r="E342" i="57"/>
  <c r="E341" i="57"/>
  <c r="E344" i="57"/>
  <c r="E343" i="57"/>
  <c r="E345" i="57"/>
  <c r="M293" i="60"/>
  <c r="N293" i="60"/>
  <c r="E26" i="60"/>
  <c r="E69" i="60"/>
  <c r="E28" i="60"/>
  <c r="E71" i="60"/>
  <c r="E724" i="57"/>
  <c r="E726" i="57"/>
  <c r="E728" i="57"/>
  <c r="E727" i="57"/>
  <c r="E725" i="57"/>
  <c r="E164" i="62"/>
  <c r="E169" i="57"/>
  <c r="E178" i="57"/>
  <c r="E173" i="62"/>
  <c r="E44" i="57"/>
  <c r="E43" i="62"/>
  <c r="E177" i="57"/>
  <c r="E172" i="62"/>
  <c r="E27" i="57"/>
  <c r="E26" i="62"/>
  <c r="M362" i="59"/>
  <c r="N362" i="59"/>
  <c r="E9" i="36"/>
  <c r="E8" i="36"/>
  <c r="E59" i="60"/>
  <c r="E16" i="60"/>
  <c r="E51" i="57"/>
  <c r="E50" i="62"/>
  <c r="J112" i="62"/>
  <c r="E267" i="60"/>
  <c r="E140" i="35"/>
  <c r="E139" i="35"/>
  <c r="G139" i="35"/>
  <c r="K139" i="35"/>
  <c r="N139" i="35"/>
  <c r="G119" i="35"/>
  <c r="N46" i="39"/>
  <c r="N47" i="39"/>
  <c r="M47" i="39"/>
  <c r="M209" i="31"/>
  <c r="M246" i="31"/>
  <c r="H249" i="31"/>
  <c r="K247" i="18"/>
  <c r="K251" i="18"/>
  <c r="K252" i="18"/>
  <c r="F251" i="18"/>
  <c r="E457" i="57"/>
  <c r="E121" i="60"/>
  <c r="E164" i="60"/>
  <c r="E207" i="60"/>
  <c r="E250" i="60"/>
  <c r="E248" i="60"/>
  <c r="E205" i="60"/>
  <c r="E79" i="60"/>
  <c r="E36" i="60"/>
  <c r="E175" i="57"/>
  <c r="E170" i="62"/>
  <c r="M47" i="40"/>
  <c r="N45" i="40"/>
  <c r="N47" i="40"/>
  <c r="H136" i="60"/>
  <c r="E207" i="35"/>
  <c r="G207" i="35"/>
  <c r="M207" i="35"/>
  <c r="G189" i="35"/>
  <c r="N43" i="40"/>
  <c r="N44" i="40"/>
  <c r="M44" i="40"/>
  <c r="N80" i="57"/>
  <c r="N81" i="57"/>
  <c r="J282" i="18"/>
  <c r="J283" i="18"/>
  <c r="M162" i="31"/>
  <c r="H176" i="31"/>
  <c r="K166" i="18"/>
  <c r="F187" i="18"/>
  <c r="O252" i="59"/>
  <c r="O249" i="59"/>
  <c r="O251" i="59"/>
  <c r="O248" i="59"/>
  <c r="F388" i="18"/>
  <c r="F389" i="18"/>
  <c r="K46" i="57"/>
  <c r="K45" i="62"/>
  <c r="O9" i="37"/>
  <c r="O15" i="59"/>
  <c r="O8" i="59"/>
  <c r="I651" i="57"/>
  <c r="I640" i="57"/>
  <c r="I647" i="57"/>
  <c r="I636" i="57"/>
  <c r="I654" i="57"/>
  <c r="I643" i="57"/>
  <c r="I572" i="57"/>
  <c r="I560" i="57"/>
  <c r="I578" i="57"/>
  <c r="I566" i="57"/>
  <c r="I727" i="57"/>
  <c r="I715" i="57"/>
  <c r="I653" i="57"/>
  <c r="I642" i="57"/>
  <c r="I577" i="57"/>
  <c r="I565" i="57"/>
  <c r="I724" i="57"/>
  <c r="I712" i="57"/>
  <c r="I580" i="57"/>
  <c r="I568" i="57"/>
  <c r="I650" i="57"/>
  <c r="I639" i="57"/>
  <c r="I649" i="57"/>
  <c r="I638" i="57"/>
  <c r="I721" i="57"/>
  <c r="I709" i="57"/>
  <c r="I648" i="57"/>
  <c r="I637" i="57"/>
  <c r="I719" i="57"/>
  <c r="I707" i="57"/>
  <c r="I722" i="57"/>
  <c r="I710" i="57"/>
  <c r="I576" i="57"/>
  <c r="I564" i="57"/>
  <c r="I574" i="57"/>
  <c r="I562" i="57"/>
  <c r="I726" i="57"/>
  <c r="I714" i="57"/>
  <c r="I723" i="57"/>
  <c r="I711" i="57"/>
  <c r="I645" i="57"/>
  <c r="I634" i="57"/>
  <c r="I579" i="57"/>
  <c r="I567" i="57"/>
  <c r="I571" i="57"/>
  <c r="I559" i="57"/>
  <c r="I646" i="57"/>
  <c r="I635" i="57"/>
  <c r="I728" i="57"/>
  <c r="I716" i="57"/>
  <c r="I575" i="57"/>
  <c r="I563" i="57"/>
  <c r="I720" i="57"/>
  <c r="I708" i="57"/>
  <c r="I573" i="57"/>
  <c r="I561" i="57"/>
  <c r="I725" i="57"/>
  <c r="I713" i="57"/>
  <c r="I652" i="57"/>
  <c r="I641" i="57"/>
  <c r="M379" i="60"/>
  <c r="N379" i="60"/>
  <c r="E20" i="59"/>
  <c r="E18" i="59"/>
  <c r="E19" i="59"/>
  <c r="E17" i="59"/>
  <c r="E15" i="59"/>
  <c r="E16" i="59"/>
  <c r="P266" i="57"/>
  <c r="Q266" i="57"/>
  <c r="K22" i="18"/>
  <c r="K29" i="18"/>
  <c r="J29" i="18"/>
  <c r="H95" i="18"/>
  <c r="H96" i="18"/>
  <c r="J212" i="31"/>
  <c r="H24" i="31"/>
  <c r="M9" i="31"/>
  <c r="K27" i="35"/>
  <c r="M27" i="35"/>
  <c r="M32" i="35"/>
  <c r="O45" i="39"/>
  <c r="O47" i="39"/>
  <c r="O33" i="39"/>
  <c r="O35" i="39"/>
  <c r="O36" i="39"/>
  <c r="O38" i="39"/>
  <c r="O39" i="39"/>
  <c r="O41" i="39"/>
  <c r="O24" i="39"/>
  <c r="O42" i="39"/>
  <c r="O44" i="39"/>
  <c r="H86" i="31"/>
  <c r="J86" i="31"/>
  <c r="J94" i="31"/>
  <c r="O572" i="57"/>
  <c r="O560" i="57"/>
  <c r="O580" i="57"/>
  <c r="O568" i="57"/>
  <c r="O337" i="57"/>
  <c r="O325" i="57"/>
  <c r="O339" i="57"/>
  <c r="O327" i="57"/>
  <c r="O336" i="57"/>
  <c r="O324" i="57"/>
  <c r="O338" i="57"/>
  <c r="O326" i="57"/>
  <c r="O340" i="57"/>
  <c r="O328" i="57"/>
  <c r="G60" i="57"/>
  <c r="O60" i="57"/>
  <c r="O41" i="57"/>
  <c r="G41" i="57"/>
  <c r="G18" i="57"/>
  <c r="G11" i="57"/>
  <c r="O726" i="57"/>
  <c r="O714" i="57"/>
  <c r="O575" i="57"/>
  <c r="O563" i="57"/>
  <c r="H222" i="18"/>
  <c r="H223" i="18"/>
  <c r="K221" i="18"/>
  <c r="J221" i="18"/>
  <c r="F370" i="18"/>
  <c r="F371" i="18"/>
  <c r="O120" i="59"/>
  <c r="O119" i="59"/>
  <c r="O654" i="57"/>
  <c r="O643" i="57"/>
  <c r="O577" i="57"/>
  <c r="O565" i="57"/>
  <c r="E228" i="60"/>
  <c r="E185" i="60"/>
  <c r="E113" i="60"/>
  <c r="E156" i="60"/>
  <c r="M320" i="59"/>
  <c r="N320" i="59"/>
  <c r="E229" i="60"/>
  <c r="E186" i="60"/>
  <c r="E14" i="60"/>
  <c r="E57" i="60"/>
  <c r="E49" i="62"/>
  <c r="E46" i="62"/>
  <c r="E50" i="57"/>
  <c r="E73" i="60"/>
  <c r="E30" i="60"/>
  <c r="M621" i="57"/>
  <c r="N621" i="57"/>
  <c r="M295" i="60"/>
  <c r="N295" i="60"/>
  <c r="E184" i="60"/>
  <c r="E227" i="60"/>
  <c r="E151" i="62"/>
  <c r="E156" i="57"/>
  <c r="E379" i="59"/>
  <c r="E21" i="60"/>
  <c r="E64" i="60"/>
  <c r="E127" i="57"/>
  <c r="E122" i="62"/>
  <c r="E150" i="57"/>
  <c r="E145" i="62"/>
  <c r="M364" i="59"/>
  <c r="N364" i="59"/>
  <c r="E101" i="60"/>
  <c r="E144" i="60"/>
  <c r="E378" i="59"/>
  <c r="E420" i="59"/>
  <c r="M448" i="59"/>
  <c r="N448" i="59"/>
  <c r="E209" i="59"/>
  <c r="E251" i="59"/>
  <c r="E254" i="60"/>
  <c r="E253" i="60"/>
  <c r="L253" i="60"/>
  <c r="E211" i="60"/>
  <c r="E210" i="60"/>
  <c r="L210" i="60"/>
  <c r="F20" i="7"/>
  <c r="H20" i="7"/>
  <c r="F22" i="7"/>
  <c r="H22" i="7"/>
  <c r="H18" i="7"/>
  <c r="F96" i="7"/>
  <c r="H96" i="7"/>
  <c r="H92" i="7"/>
  <c r="F94" i="7"/>
  <c r="H94" i="7"/>
  <c r="F98" i="7"/>
  <c r="H98" i="7"/>
  <c r="E336" i="59"/>
  <c r="M770" i="57"/>
  <c r="N770" i="57"/>
  <c r="E151" i="57"/>
  <c r="E146" i="57"/>
  <c r="L146" i="57"/>
  <c r="E146" i="62"/>
  <c r="E155" i="57"/>
  <c r="E150" i="62"/>
  <c r="E141" i="62"/>
  <c r="L141" i="62"/>
  <c r="E385" i="57"/>
  <c r="H108" i="62"/>
  <c r="O64" i="31"/>
  <c r="H113" i="57"/>
  <c r="M40" i="39"/>
  <c r="L41" i="39"/>
  <c r="H135" i="60"/>
  <c r="E455" i="57"/>
  <c r="O117" i="59"/>
  <c r="E75" i="57"/>
  <c r="E74" i="62"/>
  <c r="E176" i="57"/>
  <c r="E171" i="62"/>
  <c r="E34" i="60"/>
  <c r="E77" i="60"/>
  <c r="E73" i="57"/>
  <c r="E72" i="62"/>
  <c r="E120" i="60"/>
  <c r="E163" i="60"/>
  <c r="E37" i="60"/>
  <c r="E80" i="60"/>
  <c r="H416" i="59"/>
  <c r="H417" i="59"/>
  <c r="H51" i="60"/>
  <c r="E350" i="60"/>
  <c r="P41" i="60"/>
  <c r="O41" i="60"/>
  <c r="O40" i="60"/>
  <c r="P26" i="60"/>
  <c r="O26" i="60"/>
  <c r="P14" i="60"/>
  <c r="O14" i="60"/>
  <c r="P19" i="60"/>
  <c r="O19" i="60"/>
  <c r="P23" i="60"/>
  <c r="O23" i="60"/>
  <c r="P74" i="60"/>
  <c r="O74" i="60"/>
  <c r="P66" i="60"/>
  <c r="O66" i="60"/>
  <c r="P165" i="60"/>
  <c r="O165" i="60"/>
  <c r="P157" i="60"/>
  <c r="O157" i="60"/>
  <c r="P149" i="60"/>
  <c r="O149" i="60"/>
  <c r="P125" i="60"/>
  <c r="P245" i="60"/>
  <c r="O245" i="60"/>
  <c r="P251" i="60"/>
  <c r="P240" i="60"/>
  <c r="O240" i="60"/>
  <c r="P232" i="60"/>
  <c r="O232" i="60"/>
  <c r="P235" i="60"/>
  <c r="O235" i="60"/>
  <c r="P207" i="60"/>
  <c r="O207" i="60"/>
  <c r="P193" i="60"/>
  <c r="O193" i="60"/>
  <c r="P189" i="60"/>
  <c r="O189" i="60"/>
  <c r="P162" i="60"/>
  <c r="O162" i="60"/>
  <c r="P154" i="60"/>
  <c r="O154" i="60"/>
  <c r="P144" i="60"/>
  <c r="O144" i="60"/>
  <c r="P121" i="60"/>
  <c r="O121" i="60"/>
  <c r="P117" i="60"/>
  <c r="O117" i="60"/>
  <c r="P83" i="60"/>
  <c r="P79" i="60"/>
  <c r="O79" i="60"/>
  <c r="P71" i="60"/>
  <c r="O71" i="60"/>
  <c r="P63" i="60"/>
  <c r="O63" i="60"/>
  <c r="P237" i="60"/>
  <c r="O237" i="60"/>
  <c r="P208" i="60"/>
  <c r="P200" i="60"/>
  <c r="O200" i="60"/>
  <c r="P192" i="60"/>
  <c r="O192" i="60"/>
  <c r="P168" i="60"/>
  <c r="P120" i="60"/>
  <c r="O120" i="60"/>
  <c r="P112" i="60"/>
  <c r="O112" i="60"/>
  <c r="P104" i="60"/>
  <c r="O104" i="60"/>
  <c r="P62" i="60"/>
  <c r="O62" i="60"/>
  <c r="P20" i="60"/>
  <c r="O20" i="60"/>
  <c r="P32" i="60"/>
  <c r="O32" i="60"/>
  <c r="P80" i="60"/>
  <c r="O80" i="60"/>
  <c r="P72" i="60"/>
  <c r="O72" i="60"/>
  <c r="P64" i="60"/>
  <c r="O64" i="60"/>
  <c r="P163" i="60"/>
  <c r="O163" i="60"/>
  <c r="P155" i="60"/>
  <c r="O155" i="60"/>
  <c r="P147" i="60"/>
  <c r="O147" i="60"/>
  <c r="P145" i="60"/>
  <c r="O145" i="60"/>
  <c r="P243" i="60"/>
  <c r="O243" i="60"/>
  <c r="P246" i="60"/>
  <c r="O246" i="60"/>
  <c r="P238" i="60"/>
  <c r="O238" i="60"/>
  <c r="P230" i="60"/>
  <c r="O230" i="60"/>
  <c r="P227" i="60"/>
  <c r="O227" i="60"/>
  <c r="P209" i="60"/>
  <c r="O209" i="60"/>
  <c r="O208" i="60"/>
  <c r="P201" i="60"/>
  <c r="O201" i="60"/>
  <c r="P197" i="60"/>
  <c r="O197" i="60"/>
  <c r="P187" i="60"/>
  <c r="O187" i="60"/>
  <c r="P169" i="60"/>
  <c r="O169" i="60"/>
  <c r="O168" i="60"/>
  <c r="P160" i="60"/>
  <c r="O160" i="60"/>
  <c r="P152" i="60"/>
  <c r="O152" i="60"/>
  <c r="P142" i="60"/>
  <c r="O142" i="60"/>
  <c r="P111" i="60"/>
  <c r="O111" i="60"/>
  <c r="P107" i="60"/>
  <c r="O107" i="60"/>
  <c r="P101" i="60"/>
  <c r="O101" i="60"/>
  <c r="P82" i="60"/>
  <c r="O82" i="60"/>
  <c r="O81" i="60"/>
  <c r="P77" i="60"/>
  <c r="O77" i="60"/>
  <c r="P69" i="60"/>
  <c r="O69" i="60"/>
  <c r="P59" i="60"/>
  <c r="O59" i="60"/>
  <c r="P233" i="60"/>
  <c r="O233" i="60"/>
  <c r="P206" i="60"/>
  <c r="O206" i="60"/>
  <c r="P78" i="60"/>
  <c r="O78" i="60"/>
  <c r="P70" i="60"/>
  <c r="O70" i="60"/>
  <c r="P161" i="60"/>
  <c r="O161" i="60"/>
  <c r="P153" i="60"/>
  <c r="O153" i="60"/>
  <c r="P143" i="60"/>
  <c r="O143" i="60"/>
  <c r="P250" i="60"/>
  <c r="O250" i="60"/>
  <c r="P254" i="60"/>
  <c r="O254" i="60"/>
  <c r="O253" i="60"/>
  <c r="P249" i="60"/>
  <c r="O249" i="60"/>
  <c r="P241" i="60"/>
  <c r="O241" i="60"/>
  <c r="P244" i="60"/>
  <c r="O244" i="60"/>
  <c r="P236" i="60"/>
  <c r="O236" i="60"/>
  <c r="P228" i="60"/>
  <c r="O228" i="60"/>
  <c r="P211" i="60"/>
  <c r="O211" i="60"/>
  <c r="O210" i="60"/>
  <c r="P205" i="60"/>
  <c r="O205" i="60"/>
  <c r="P195" i="60"/>
  <c r="O195" i="60"/>
  <c r="P191" i="60"/>
  <c r="O191" i="60"/>
  <c r="P166" i="60"/>
  <c r="P158" i="60"/>
  <c r="O158" i="60"/>
  <c r="P150" i="60"/>
  <c r="O150" i="60"/>
  <c r="P126" i="60"/>
  <c r="O126" i="60"/>
  <c r="O125" i="60"/>
  <c r="P119" i="60"/>
  <c r="O119" i="60"/>
  <c r="P115" i="60"/>
  <c r="O115" i="60"/>
  <c r="P99" i="60"/>
  <c r="O99" i="60"/>
  <c r="P75" i="60"/>
  <c r="O75" i="60"/>
  <c r="P67" i="60"/>
  <c r="O67" i="60"/>
  <c r="P57" i="60"/>
  <c r="O57" i="60"/>
  <c r="P229" i="60"/>
  <c r="O229" i="60"/>
  <c r="P204" i="60"/>
  <c r="O204" i="60"/>
  <c r="P196" i="60"/>
  <c r="O196" i="60"/>
  <c r="P84" i="60"/>
  <c r="O84" i="60"/>
  <c r="O83" i="60"/>
  <c r="P242" i="60"/>
  <c r="O242" i="60"/>
  <c r="P148" i="60"/>
  <c r="O148" i="60"/>
  <c r="P109" i="60"/>
  <c r="O109" i="60"/>
  <c r="P73" i="60"/>
  <c r="O73" i="60"/>
  <c r="P202" i="60"/>
  <c r="O202" i="60"/>
  <c r="P186" i="60"/>
  <c r="O186" i="60"/>
  <c r="P122" i="60"/>
  <c r="O122" i="60"/>
  <c r="P110" i="60"/>
  <c r="O110" i="60"/>
  <c r="P100" i="60"/>
  <c r="O100" i="60"/>
  <c r="P15" i="60"/>
  <c r="O15" i="60"/>
  <c r="P33" i="60"/>
  <c r="O33" i="60"/>
  <c r="P252" i="60"/>
  <c r="O252" i="60"/>
  <c r="O251" i="60"/>
  <c r="P234" i="60"/>
  <c r="O234" i="60"/>
  <c r="P203" i="60"/>
  <c r="O203" i="60"/>
  <c r="P185" i="60"/>
  <c r="O185" i="60"/>
  <c r="P123" i="60"/>
  <c r="P105" i="60"/>
  <c r="O105" i="60"/>
  <c r="P65" i="60"/>
  <c r="O65" i="60"/>
  <c r="P198" i="60"/>
  <c r="O198" i="60"/>
  <c r="P184" i="60"/>
  <c r="O184" i="60"/>
  <c r="P118" i="60"/>
  <c r="O118" i="60"/>
  <c r="P108" i="60"/>
  <c r="O108" i="60"/>
  <c r="P81" i="60"/>
  <c r="P22" i="60"/>
  <c r="O22" i="60"/>
  <c r="P38" i="60"/>
  <c r="P231" i="60"/>
  <c r="O231" i="60"/>
  <c r="P61" i="60"/>
  <c r="O61" i="60"/>
  <c r="P76" i="60"/>
  <c r="O76" i="60"/>
  <c r="P159" i="60"/>
  <c r="O159" i="60"/>
  <c r="P248" i="60"/>
  <c r="O248" i="60"/>
  <c r="P247" i="60"/>
  <c r="O247" i="60"/>
  <c r="P239" i="60"/>
  <c r="O239" i="60"/>
  <c r="P199" i="60"/>
  <c r="O199" i="60"/>
  <c r="P164" i="60"/>
  <c r="O164" i="60"/>
  <c r="P194" i="60"/>
  <c r="O194" i="60"/>
  <c r="P167" i="60"/>
  <c r="O167" i="60"/>
  <c r="O166" i="60"/>
  <c r="P116" i="60"/>
  <c r="O116" i="60"/>
  <c r="P106" i="60"/>
  <c r="O106" i="60"/>
  <c r="P60" i="60"/>
  <c r="O60" i="60"/>
  <c r="P25" i="60"/>
  <c r="O25" i="60"/>
  <c r="P188" i="60"/>
  <c r="O188" i="60"/>
  <c r="P103" i="60"/>
  <c r="O103" i="60"/>
  <c r="P40" i="60"/>
  <c r="P151" i="60"/>
  <c r="O151" i="60"/>
  <c r="P210" i="60"/>
  <c r="P102" i="60"/>
  <c r="O102" i="60"/>
  <c r="P17" i="60"/>
  <c r="O17" i="60"/>
  <c r="P68" i="60"/>
  <c r="O68" i="60"/>
  <c r="P156" i="60"/>
  <c r="O156" i="60"/>
  <c r="P190" i="60"/>
  <c r="O190" i="60"/>
  <c r="P58" i="60"/>
  <c r="O58" i="60"/>
  <c r="P146" i="60"/>
  <c r="O146" i="60"/>
  <c r="P36" i="60"/>
  <c r="O36" i="60"/>
  <c r="P24" i="60"/>
  <c r="O24" i="60"/>
  <c r="P34" i="60"/>
  <c r="O34" i="60"/>
  <c r="P21" i="60"/>
  <c r="O21" i="60"/>
  <c r="P253" i="60"/>
  <c r="P113" i="60"/>
  <c r="O113" i="60"/>
  <c r="P124" i="60"/>
  <c r="O124" i="60"/>
  <c r="O123" i="60"/>
  <c r="P27" i="60"/>
  <c r="O27" i="60"/>
  <c r="P114" i="60"/>
  <c r="O114" i="60"/>
  <c r="P30" i="60"/>
  <c r="O30" i="60"/>
  <c r="P18" i="60"/>
  <c r="O18" i="60"/>
  <c r="P28" i="60"/>
  <c r="O28" i="60"/>
  <c r="P16" i="60"/>
  <c r="O16" i="60"/>
  <c r="Q385" i="57"/>
  <c r="P385" i="57"/>
  <c r="L148" i="31"/>
  <c r="L149" i="31"/>
  <c r="I14" i="35"/>
  <c r="N7" i="35"/>
  <c r="N14" i="35"/>
  <c r="K323" i="18"/>
  <c r="K340" i="18"/>
  <c r="F340" i="18"/>
  <c r="O28" i="57"/>
  <c r="G28" i="57"/>
  <c r="O103" i="59"/>
  <c r="O106" i="59"/>
  <c r="O105" i="59"/>
  <c r="E114" i="60"/>
  <c r="E157" i="60"/>
  <c r="E126" i="57"/>
  <c r="E121" i="62"/>
  <c r="E118" i="59"/>
  <c r="E114" i="59"/>
  <c r="E116" i="59"/>
  <c r="E117" i="59"/>
  <c r="E113" i="59"/>
  <c r="E115" i="59"/>
  <c r="E120" i="59"/>
  <c r="E119" i="59"/>
  <c r="E421" i="59"/>
  <c r="F33" i="57"/>
  <c r="F32" i="62"/>
  <c r="F31" i="57"/>
  <c r="F30" i="62"/>
  <c r="O378" i="59"/>
  <c r="O374" i="59"/>
  <c r="P35" i="60"/>
  <c r="O35" i="60"/>
  <c r="P31" i="60"/>
  <c r="O31" i="60"/>
  <c r="P37" i="60"/>
  <c r="O37" i="60"/>
  <c r="K95" i="18"/>
  <c r="K96" i="18"/>
  <c r="H311" i="18"/>
  <c r="H312" i="18"/>
  <c r="K265" i="18"/>
  <c r="K281" i="18"/>
  <c r="F281" i="18"/>
  <c r="K168" i="18"/>
  <c r="H187" i="18"/>
  <c r="O652" i="57"/>
  <c r="O641" i="57"/>
  <c r="M208" i="31"/>
  <c r="M302" i="31"/>
  <c r="H307" i="31"/>
  <c r="L24" i="31"/>
  <c r="M91" i="31"/>
  <c r="J177" i="31"/>
  <c r="J178" i="31"/>
  <c r="K109" i="18"/>
  <c r="K123" i="18"/>
  <c r="F123" i="18"/>
  <c r="K210" i="60"/>
  <c r="K178" i="60"/>
  <c r="K40" i="60"/>
  <c r="K8" i="60"/>
  <c r="K125" i="60"/>
  <c r="L13" i="40"/>
  <c r="G15" i="40"/>
  <c r="H341" i="18"/>
  <c r="H342" i="18"/>
  <c r="O216" i="57"/>
  <c r="O204" i="57"/>
  <c r="O218" i="57"/>
  <c r="O206" i="57"/>
  <c r="O220" i="57"/>
  <c r="O208" i="57"/>
  <c r="O217" i="57"/>
  <c r="O205" i="57"/>
  <c r="O219" i="57"/>
  <c r="O207" i="57"/>
  <c r="O385" i="57"/>
  <c r="O381" i="57"/>
  <c r="O386" i="57"/>
  <c r="O382" i="57"/>
  <c r="J61" i="31"/>
  <c r="J62" i="31"/>
  <c r="M60" i="31"/>
  <c r="O118" i="59"/>
  <c r="O114" i="59"/>
  <c r="O104" i="59"/>
  <c r="G31" i="57"/>
  <c r="O31" i="57"/>
  <c r="O16" i="57"/>
  <c r="O9" i="57"/>
  <c r="O13" i="59"/>
  <c r="O573" i="57"/>
  <c r="O561" i="57"/>
  <c r="M14" i="35"/>
  <c r="H390" i="31"/>
  <c r="H391" i="31"/>
  <c r="K97" i="35"/>
  <c r="I97" i="35"/>
  <c r="O650" i="57"/>
  <c r="O639" i="57"/>
  <c r="O645" i="57"/>
  <c r="O634" i="57"/>
  <c r="O646" i="57"/>
  <c r="O635" i="57"/>
  <c r="O576" i="57"/>
  <c r="O564" i="57"/>
  <c r="E337" i="59"/>
  <c r="E146" i="60"/>
  <c r="E103" i="60"/>
  <c r="M337" i="60"/>
  <c r="N337" i="60"/>
  <c r="E231" i="60"/>
  <c r="E188" i="60"/>
  <c r="E128" i="57"/>
  <c r="E123" i="62"/>
  <c r="E162" i="62"/>
  <c r="E167" i="57"/>
  <c r="E234" i="60"/>
  <c r="E191" i="60"/>
  <c r="E573" i="57"/>
  <c r="E574" i="57"/>
  <c r="E575" i="57"/>
  <c r="E571" i="57"/>
  <c r="E572" i="57"/>
  <c r="E43" i="57"/>
  <c r="E42" i="62"/>
  <c r="E239" i="60"/>
  <c r="E196" i="60"/>
  <c r="E147" i="59"/>
  <c r="L147" i="59"/>
  <c r="E58" i="60"/>
  <c r="E15" i="60"/>
  <c r="E12" i="60"/>
  <c r="E139" i="62"/>
  <c r="E144" i="57"/>
  <c r="E199" i="60"/>
  <c r="E242" i="60"/>
  <c r="E61" i="60"/>
  <c r="E18" i="60"/>
  <c r="E67" i="57"/>
  <c r="E66" i="62"/>
  <c r="E68" i="57"/>
  <c r="E67" i="62"/>
  <c r="E126" i="60"/>
  <c r="E125" i="60"/>
  <c r="L125" i="60"/>
  <c r="E169" i="60"/>
  <c r="E168" i="60"/>
  <c r="L168" i="60"/>
  <c r="E72" i="60"/>
  <c r="E29" i="60"/>
  <c r="E502" i="57"/>
  <c r="E503" i="57"/>
  <c r="E28" i="57"/>
  <c r="E27" i="62"/>
  <c r="E143" i="57"/>
  <c r="E138" i="62"/>
  <c r="E148" i="59"/>
  <c r="L148" i="59"/>
  <c r="F264" i="7"/>
  <c r="H264" i="7"/>
  <c r="E391" i="57"/>
  <c r="E386" i="57"/>
  <c r="H263" i="7"/>
  <c r="E390" i="57"/>
  <c r="E576" i="57"/>
  <c r="E580" i="57"/>
  <c r="E579" i="57"/>
  <c r="E577" i="57"/>
  <c r="E578" i="57"/>
  <c r="H110" i="62"/>
  <c r="O66" i="31"/>
  <c r="H115" i="57"/>
  <c r="M9" i="40"/>
  <c r="N7" i="40"/>
  <c r="N9" i="40"/>
  <c r="M24" i="40"/>
  <c r="N23" i="40"/>
  <c r="N24" i="40"/>
  <c r="M12" i="40"/>
  <c r="N10" i="40"/>
  <c r="N12" i="40"/>
  <c r="M12" i="39"/>
  <c r="N11" i="39"/>
  <c r="N12" i="39"/>
  <c r="E458" i="57"/>
  <c r="E174" i="57"/>
  <c r="E169" i="62"/>
  <c r="E76" i="57"/>
  <c r="E75" i="62"/>
  <c r="E206" i="60"/>
  <c r="E249" i="60"/>
  <c r="E247" i="60"/>
  <c r="E204" i="60"/>
  <c r="L44" i="39"/>
  <c r="M43" i="39"/>
  <c r="J385" i="57"/>
  <c r="J381" i="57"/>
  <c r="J503" i="57"/>
  <c r="J499" i="57"/>
  <c r="J267" i="57"/>
  <c r="J263" i="57"/>
  <c r="J502" i="57"/>
  <c r="J498" i="57"/>
  <c r="J266" i="57"/>
  <c r="J262" i="57"/>
  <c r="J386" i="57"/>
  <c r="J382" i="57"/>
  <c r="L35" i="39"/>
  <c r="M34" i="39"/>
  <c r="N171" i="35"/>
  <c r="G193" i="35"/>
  <c r="K193" i="35"/>
  <c r="N193" i="35"/>
  <c r="E211" i="35"/>
  <c r="G211" i="35"/>
  <c r="M211" i="35"/>
  <c r="N211" i="35"/>
  <c r="E382" i="57"/>
  <c r="L386" i="57"/>
  <c r="H9" i="36"/>
  <c r="H8" i="36"/>
  <c r="H308" i="60"/>
  <c r="H351" i="60"/>
  <c r="H266" i="60"/>
  <c r="H267" i="60"/>
  <c r="H309" i="60"/>
  <c r="H350" i="60"/>
  <c r="J65" i="31"/>
  <c r="M65" i="31"/>
  <c r="J64" i="31"/>
  <c r="J67" i="31"/>
  <c r="M67" i="31"/>
  <c r="J66" i="31"/>
  <c r="M66" i="31"/>
  <c r="I97" i="60"/>
  <c r="I96" i="60"/>
  <c r="I11" i="60"/>
  <c r="I12" i="60"/>
  <c r="I181" i="60"/>
  <c r="I182" i="60"/>
  <c r="M223" i="18"/>
  <c r="I147" i="59"/>
  <c r="H295" i="59"/>
  <c r="H209" i="59"/>
  <c r="H208" i="59"/>
  <c r="Q251" i="31"/>
  <c r="H252" i="59"/>
  <c r="H251" i="59"/>
  <c r="H294" i="59"/>
  <c r="H181" i="60"/>
  <c r="H12" i="60"/>
  <c r="H182" i="60"/>
  <c r="H97" i="60"/>
  <c r="H96" i="60"/>
  <c r="H11" i="60"/>
  <c r="J180" i="31"/>
  <c r="J181" i="31"/>
  <c r="J182" i="31"/>
  <c r="I379" i="60"/>
  <c r="I337" i="60"/>
  <c r="I304" i="60"/>
  <c r="I295" i="60"/>
  <c r="L216" i="31"/>
  <c r="L217" i="31"/>
  <c r="L218" i="31"/>
  <c r="L219" i="31"/>
  <c r="I209" i="59"/>
  <c r="I295" i="59"/>
  <c r="I251" i="59"/>
  <c r="I294" i="59"/>
  <c r="I208" i="59"/>
  <c r="I252" i="59"/>
  <c r="E566" i="57"/>
  <c r="L578" i="57"/>
  <c r="L12" i="60"/>
  <c r="E8" i="60"/>
  <c r="E111" i="62"/>
  <c r="E108" i="62"/>
  <c r="F16" i="57"/>
  <c r="F9" i="57"/>
  <c r="F19" i="57"/>
  <c r="F12" i="57"/>
  <c r="J16" i="57"/>
  <c r="J17" i="62"/>
  <c r="J19" i="62"/>
  <c r="J15" i="62"/>
  <c r="J8" i="62"/>
  <c r="J18" i="62"/>
  <c r="J11" i="62"/>
  <c r="J20" i="62"/>
  <c r="J18" i="57"/>
  <c r="J17" i="57"/>
  <c r="J16" i="62"/>
  <c r="J9" i="62"/>
  <c r="P14" i="35"/>
  <c r="E346" i="60"/>
  <c r="L350" i="60"/>
  <c r="M253" i="60"/>
  <c r="N253" i="60"/>
  <c r="E224" i="60"/>
  <c r="E10" i="59"/>
  <c r="L17" i="59"/>
  <c r="I8" i="36"/>
  <c r="I9" i="36"/>
  <c r="I378" i="59"/>
  <c r="I337" i="59"/>
  <c r="I421" i="59"/>
  <c r="I420" i="59"/>
  <c r="I336" i="59"/>
  <c r="I379" i="59"/>
  <c r="E715" i="57"/>
  <c r="L727" i="57"/>
  <c r="E17" i="57"/>
  <c r="E20" i="57"/>
  <c r="E637" i="57"/>
  <c r="L648" i="57"/>
  <c r="K106" i="57"/>
  <c r="K119" i="57"/>
  <c r="K110" i="57"/>
  <c r="E208" i="57"/>
  <c r="L220" i="57"/>
  <c r="L461" i="57"/>
  <c r="E449" i="57"/>
  <c r="L463" i="57"/>
  <c r="E451" i="57"/>
  <c r="E139" i="60"/>
  <c r="F311" i="18"/>
  <c r="F312" i="18"/>
  <c r="I347" i="60"/>
  <c r="E563" i="57"/>
  <c r="L575" i="57"/>
  <c r="N97" i="35"/>
  <c r="N102" i="35"/>
  <c r="I102" i="35"/>
  <c r="J80" i="57"/>
  <c r="J81" i="57"/>
  <c r="J79" i="62"/>
  <c r="J80" i="62"/>
  <c r="T14" i="35"/>
  <c r="G16" i="57"/>
  <c r="G9" i="57"/>
  <c r="M13" i="40"/>
  <c r="L15" i="40"/>
  <c r="F125" i="18"/>
  <c r="F124" i="18"/>
  <c r="F282" i="18"/>
  <c r="F283" i="18"/>
  <c r="F17" i="62"/>
  <c r="F10" i="62"/>
  <c r="F20" i="62"/>
  <c r="F13" i="62"/>
  <c r="E110" i="59"/>
  <c r="L120" i="59"/>
  <c r="L116" i="59"/>
  <c r="E106" i="59"/>
  <c r="F341" i="18"/>
  <c r="F342" i="18"/>
  <c r="H646" i="57"/>
  <c r="H578" i="57"/>
  <c r="H647" i="57"/>
  <c r="H720" i="57"/>
  <c r="H576" i="57"/>
  <c r="H721" i="57"/>
  <c r="H645" i="57"/>
  <c r="H574" i="57"/>
  <c r="H577" i="57"/>
  <c r="H726" i="57"/>
  <c r="H723" i="57"/>
  <c r="H728" i="57"/>
  <c r="H580" i="57"/>
  <c r="H727" i="57"/>
  <c r="H579" i="57"/>
  <c r="H719" i="57"/>
  <c r="S149" i="31"/>
  <c r="H650" i="57"/>
  <c r="H575" i="57"/>
  <c r="H652" i="57"/>
  <c r="H572" i="57"/>
  <c r="H651" i="57"/>
  <c r="H573" i="57"/>
  <c r="H653" i="57"/>
  <c r="H648" i="57"/>
  <c r="H654" i="57"/>
  <c r="H571" i="57"/>
  <c r="H724" i="57"/>
  <c r="H722" i="57"/>
  <c r="H725" i="57"/>
  <c r="H649" i="57"/>
  <c r="O97" i="60"/>
  <c r="O93" i="60"/>
  <c r="O96" i="60"/>
  <c r="O92" i="60"/>
  <c r="O139" i="60"/>
  <c r="O135" i="60"/>
  <c r="O224" i="60"/>
  <c r="O220" i="60"/>
  <c r="O11" i="60"/>
  <c r="O7" i="60"/>
  <c r="M141" i="62"/>
  <c r="N141" i="62"/>
  <c r="E131" i="57"/>
  <c r="E126" i="62"/>
  <c r="E109" i="62"/>
  <c r="E33" i="57"/>
  <c r="E18" i="57"/>
  <c r="E32" i="62"/>
  <c r="E20" i="62"/>
  <c r="E248" i="59"/>
  <c r="L251" i="59"/>
  <c r="L420" i="59"/>
  <c r="E416" i="59"/>
  <c r="L379" i="59"/>
  <c r="E375" i="59"/>
  <c r="E181" i="60"/>
  <c r="M24" i="31"/>
  <c r="E12" i="59"/>
  <c r="L19" i="59"/>
  <c r="K187" i="18"/>
  <c r="G140" i="35"/>
  <c r="E157" i="35"/>
  <c r="E28" i="36"/>
  <c r="L28" i="36"/>
  <c r="M28" i="36"/>
  <c r="N28" i="36"/>
  <c r="E20" i="36"/>
  <c r="L20" i="36"/>
  <c r="M20" i="36"/>
  <c r="N20" i="36"/>
  <c r="E24" i="36"/>
  <c r="L24" i="36"/>
  <c r="M24" i="36"/>
  <c r="N24" i="36"/>
  <c r="L8" i="36"/>
  <c r="M8" i="36"/>
  <c r="N8" i="36"/>
  <c r="L728" i="57"/>
  <c r="E716" i="57"/>
  <c r="L341" i="57"/>
  <c r="E329" i="57"/>
  <c r="E249" i="59"/>
  <c r="L252" i="59"/>
  <c r="L336" i="57"/>
  <c r="E324" i="57"/>
  <c r="E708" i="57"/>
  <c r="L720" i="57"/>
  <c r="L646" i="57"/>
  <c r="E635" i="57"/>
  <c r="L647" i="57"/>
  <c r="E636" i="57"/>
  <c r="E290" i="59"/>
  <c r="L294" i="59"/>
  <c r="O21" i="36"/>
  <c r="O25" i="36"/>
  <c r="O117" i="57"/>
  <c r="O108" i="57"/>
  <c r="O118" i="57"/>
  <c r="O109" i="57"/>
  <c r="O116" i="57"/>
  <c r="O107" i="57"/>
  <c r="O115" i="57"/>
  <c r="O106" i="57"/>
  <c r="O114" i="57"/>
  <c r="O105" i="57"/>
  <c r="O113" i="57"/>
  <c r="O104" i="57"/>
  <c r="O119" i="57"/>
  <c r="O110" i="57"/>
  <c r="O120" i="57"/>
  <c r="O111" i="57"/>
  <c r="K120" i="57"/>
  <c r="K111" i="57"/>
  <c r="K107" i="57"/>
  <c r="K177" i="60"/>
  <c r="J122" i="31"/>
  <c r="J121" i="31"/>
  <c r="H65" i="18"/>
  <c r="H66" i="18"/>
  <c r="N176" i="62"/>
  <c r="M176" i="62"/>
  <c r="L21" i="39"/>
  <c r="M19" i="39"/>
  <c r="N99" i="35"/>
  <c r="H120" i="57"/>
  <c r="E206" i="57"/>
  <c r="L218" i="57"/>
  <c r="L224" i="57"/>
  <c r="E212" i="57"/>
  <c r="E448" i="57"/>
  <c r="L460" i="57"/>
  <c r="E639" i="57"/>
  <c r="L650" i="57"/>
  <c r="L654" i="57"/>
  <c r="E643" i="57"/>
  <c r="E97" i="60"/>
  <c r="N8" i="39"/>
  <c r="N9" i="39"/>
  <c r="M9" i="39"/>
  <c r="K7" i="60"/>
  <c r="K312" i="18"/>
  <c r="K311" i="18"/>
  <c r="I262" i="60"/>
  <c r="I180" i="57"/>
  <c r="I181" i="57"/>
  <c r="I175" i="62"/>
  <c r="I176" i="62"/>
  <c r="E564" i="57"/>
  <c r="L576" i="57"/>
  <c r="M168" i="60"/>
  <c r="N168" i="60"/>
  <c r="M61" i="31"/>
  <c r="M62" i="31"/>
  <c r="L117" i="59"/>
  <c r="E107" i="59"/>
  <c r="O20" i="57"/>
  <c r="O13" i="57"/>
  <c r="O19" i="57"/>
  <c r="O12" i="57"/>
  <c r="O21" i="57"/>
  <c r="O14" i="57"/>
  <c r="O12" i="60"/>
  <c r="O8" i="60"/>
  <c r="M146" i="57"/>
  <c r="N146" i="57"/>
  <c r="E30" i="62"/>
  <c r="E15" i="62"/>
  <c r="E31" i="57"/>
  <c r="E19" i="57"/>
  <c r="E47" i="57"/>
  <c r="N27" i="35"/>
  <c r="N32" i="35"/>
  <c r="K32" i="35"/>
  <c r="L344" i="57"/>
  <c r="E332" i="57"/>
  <c r="L722" i="57"/>
  <c r="E710" i="57"/>
  <c r="M147" i="31"/>
  <c r="H148" i="31"/>
  <c r="H149" i="31"/>
  <c r="L454" i="57"/>
  <c r="E442" i="57"/>
  <c r="L217" i="57"/>
  <c r="E205" i="57"/>
  <c r="L652" i="57"/>
  <c r="E641" i="57"/>
  <c r="I266" i="57"/>
  <c r="I262" i="57"/>
  <c r="I267" i="57"/>
  <c r="I263" i="57"/>
  <c r="I502" i="57"/>
  <c r="I498" i="57"/>
  <c r="I385" i="57"/>
  <c r="I381" i="57"/>
  <c r="I503" i="57"/>
  <c r="I499" i="57"/>
  <c r="I386" i="57"/>
  <c r="I382" i="57"/>
  <c r="L502" i="57"/>
  <c r="E498" i="57"/>
  <c r="E55" i="60"/>
  <c r="L579" i="57"/>
  <c r="E567" i="57"/>
  <c r="E562" i="57"/>
  <c r="L574" i="57"/>
  <c r="K102" i="35"/>
  <c r="E105" i="59"/>
  <c r="L115" i="59"/>
  <c r="K342" i="18"/>
  <c r="K341" i="18"/>
  <c r="O181" i="60"/>
  <c r="O177" i="60"/>
  <c r="O54" i="60"/>
  <c r="O50" i="60"/>
  <c r="O107" i="59"/>
  <c r="N40" i="39"/>
  <c r="N41" i="39"/>
  <c r="M41" i="39"/>
  <c r="H112" i="62"/>
  <c r="E130" i="57"/>
  <c r="E125" i="62"/>
  <c r="E112" i="62"/>
  <c r="E31" i="62"/>
  <c r="E19" i="62"/>
  <c r="E32" i="57"/>
  <c r="L209" i="59"/>
  <c r="E206" i="59"/>
  <c r="E374" i="59"/>
  <c r="L378" i="59"/>
  <c r="E54" i="60"/>
  <c r="E182" i="60"/>
  <c r="O109" i="59"/>
  <c r="J222" i="18"/>
  <c r="J223" i="18"/>
  <c r="O223" i="18"/>
  <c r="H25" i="31"/>
  <c r="H26" i="31"/>
  <c r="J31" i="18"/>
  <c r="J30" i="18"/>
  <c r="E9" i="59"/>
  <c r="L16" i="59"/>
  <c r="E11" i="59"/>
  <c r="L18" i="59"/>
  <c r="K46" i="62"/>
  <c r="K10" i="62"/>
  <c r="K8" i="62"/>
  <c r="K9" i="62"/>
  <c r="M176" i="31"/>
  <c r="H178" i="31"/>
  <c r="H177" i="31"/>
  <c r="I189" i="35"/>
  <c r="K189" i="35"/>
  <c r="M249" i="31"/>
  <c r="H250" i="31"/>
  <c r="H251" i="31"/>
  <c r="E263" i="60"/>
  <c r="L267" i="60"/>
  <c r="E29" i="36"/>
  <c r="L29" i="36"/>
  <c r="M29" i="36"/>
  <c r="N29" i="36"/>
  <c r="E21" i="36"/>
  <c r="L21" i="36"/>
  <c r="M21" i="36"/>
  <c r="N21" i="36"/>
  <c r="E25" i="36"/>
  <c r="L25" i="36"/>
  <c r="M25" i="36"/>
  <c r="N25" i="36"/>
  <c r="L9" i="36"/>
  <c r="M9" i="36"/>
  <c r="N9" i="36"/>
  <c r="E714" i="57"/>
  <c r="L726" i="57"/>
  <c r="E333" i="57"/>
  <c r="L345" i="57"/>
  <c r="L342" i="57"/>
  <c r="E330" i="57"/>
  <c r="L308" i="60"/>
  <c r="E304" i="60"/>
  <c r="E326" i="57"/>
  <c r="L338" i="57"/>
  <c r="L339" i="57"/>
  <c r="E327" i="57"/>
  <c r="E46" i="57"/>
  <c r="L46" i="57"/>
  <c r="E709" i="57"/>
  <c r="L721" i="57"/>
  <c r="E638" i="57"/>
  <c r="L649" i="57"/>
  <c r="O24" i="36"/>
  <c r="O20" i="36"/>
  <c r="K114" i="62"/>
  <c r="K105" i="62"/>
  <c r="K101" i="62"/>
  <c r="K99" i="62"/>
  <c r="K112" i="62"/>
  <c r="K103" i="62"/>
  <c r="M112" i="31"/>
  <c r="H120" i="31"/>
  <c r="L177" i="31"/>
  <c r="L178" i="31"/>
  <c r="K64" i="18"/>
  <c r="M175" i="62"/>
  <c r="N175" i="62"/>
  <c r="E117" i="57"/>
  <c r="E113" i="57"/>
  <c r="E114" i="57"/>
  <c r="E118" i="57"/>
  <c r="L219" i="57"/>
  <c r="E207" i="57"/>
  <c r="L221" i="57"/>
  <c r="E209" i="57"/>
  <c r="L459" i="57"/>
  <c r="E447" i="57"/>
  <c r="E642" i="57"/>
  <c r="L653" i="57"/>
  <c r="E205" i="59"/>
  <c r="L208" i="59"/>
  <c r="E140" i="60"/>
  <c r="N117" i="35"/>
  <c r="H362" i="31"/>
  <c r="H363" i="31"/>
  <c r="M361" i="31"/>
  <c r="N266" i="60"/>
  <c r="N262" i="60"/>
  <c r="M266" i="60"/>
  <c r="M262" i="60"/>
  <c r="L262" i="60"/>
  <c r="N43" i="39"/>
  <c r="N44" i="39"/>
  <c r="M44" i="39"/>
  <c r="H119" i="57"/>
  <c r="L503" i="57"/>
  <c r="E499" i="57"/>
  <c r="L571" i="57"/>
  <c r="E559" i="57"/>
  <c r="E333" i="59"/>
  <c r="L337" i="59"/>
  <c r="L119" i="59"/>
  <c r="E109" i="59"/>
  <c r="O225" i="60"/>
  <c r="O221" i="60"/>
  <c r="L385" i="57"/>
  <c r="E381" i="57"/>
  <c r="E128" i="62"/>
  <c r="E115" i="62"/>
  <c r="E133" i="57"/>
  <c r="E120" i="57"/>
  <c r="E147" i="57"/>
  <c r="L147" i="57"/>
  <c r="K223" i="18"/>
  <c r="I181" i="59"/>
  <c r="K222" i="18"/>
  <c r="M86" i="31"/>
  <c r="H94" i="31"/>
  <c r="F189" i="18"/>
  <c r="F188" i="18"/>
  <c r="F252" i="18"/>
  <c r="F253" i="18"/>
  <c r="L267" i="57"/>
  <c r="E263" i="57"/>
  <c r="L340" i="57"/>
  <c r="E328" i="57"/>
  <c r="E711" i="57"/>
  <c r="L723" i="57"/>
  <c r="E291" i="59"/>
  <c r="L295" i="59"/>
  <c r="K105" i="57"/>
  <c r="K118" i="57"/>
  <c r="K109" i="57"/>
  <c r="K104" i="57"/>
  <c r="K117" i="57"/>
  <c r="K108" i="57"/>
  <c r="H213" i="31"/>
  <c r="H214" i="31"/>
  <c r="M212" i="31"/>
  <c r="E211" i="57"/>
  <c r="L223" i="57"/>
  <c r="M351" i="60"/>
  <c r="M347" i="60"/>
  <c r="L347" i="60"/>
  <c r="E565" i="57"/>
  <c r="L577" i="57"/>
  <c r="M125" i="60"/>
  <c r="N125" i="60"/>
  <c r="M147" i="59"/>
  <c r="N147" i="59"/>
  <c r="I225" i="60"/>
  <c r="I54" i="60"/>
  <c r="I139" i="60"/>
  <c r="I140" i="60"/>
  <c r="I55" i="60"/>
  <c r="I224" i="60"/>
  <c r="K92" i="60"/>
  <c r="K93" i="60"/>
  <c r="K124" i="18"/>
  <c r="K125" i="18"/>
  <c r="L25" i="31"/>
  <c r="L26" i="31"/>
  <c r="K282" i="18"/>
  <c r="K283" i="18"/>
  <c r="F21" i="57"/>
  <c r="F14" i="57"/>
  <c r="F18" i="57"/>
  <c r="F11" i="57"/>
  <c r="L114" i="59"/>
  <c r="E104" i="59"/>
  <c r="N34" i="39"/>
  <c r="N35" i="39"/>
  <c r="M35" i="39"/>
  <c r="L458" i="57"/>
  <c r="E446" i="57"/>
  <c r="H114" i="62"/>
  <c r="L580" i="57"/>
  <c r="E568" i="57"/>
  <c r="M148" i="59"/>
  <c r="N148" i="59"/>
  <c r="L572" i="57"/>
  <c r="E560" i="57"/>
  <c r="E561" i="57"/>
  <c r="L573" i="57"/>
  <c r="O108" i="59"/>
  <c r="M307" i="31"/>
  <c r="H308" i="31"/>
  <c r="H309" i="31"/>
  <c r="H189" i="18"/>
  <c r="H188" i="18"/>
  <c r="F15" i="62"/>
  <c r="F8" i="62"/>
  <c r="F18" i="62"/>
  <c r="F11" i="62"/>
  <c r="E417" i="59"/>
  <c r="L421" i="59"/>
  <c r="L113" i="59"/>
  <c r="E103" i="59"/>
  <c r="E108" i="59"/>
  <c r="L118" i="59"/>
  <c r="O55" i="60"/>
  <c r="O51" i="60"/>
  <c r="O182" i="60"/>
  <c r="O178" i="60"/>
  <c r="O140" i="60"/>
  <c r="O136" i="60"/>
  <c r="L455" i="57"/>
  <c r="E443" i="57"/>
  <c r="H117" i="57"/>
  <c r="E332" i="59"/>
  <c r="L336" i="59"/>
  <c r="E132" i="57"/>
  <c r="E119" i="57"/>
  <c r="E127" i="62"/>
  <c r="E110" i="62"/>
  <c r="M210" i="60"/>
  <c r="N210" i="60"/>
  <c r="E142" i="62"/>
  <c r="L142" i="62"/>
  <c r="E11" i="60"/>
  <c r="E225" i="60"/>
  <c r="O110" i="59"/>
  <c r="J95" i="31"/>
  <c r="J96" i="31"/>
  <c r="Q96" i="31"/>
  <c r="J180" i="57"/>
  <c r="J181" i="57"/>
  <c r="J175" i="62"/>
  <c r="J176" i="62"/>
  <c r="J213" i="31"/>
  <c r="J214" i="31"/>
  <c r="K30" i="18"/>
  <c r="K31" i="18"/>
  <c r="E8" i="59"/>
  <c r="L15" i="59"/>
  <c r="E13" i="59"/>
  <c r="L20" i="59"/>
  <c r="K47" i="57"/>
  <c r="K10" i="57"/>
  <c r="K9" i="57"/>
  <c r="K11" i="57"/>
  <c r="N207" i="35"/>
  <c r="E445" i="57"/>
  <c r="L457" i="57"/>
  <c r="K119" i="35"/>
  <c r="M119" i="35"/>
  <c r="M123" i="35"/>
  <c r="L725" i="57"/>
  <c r="E713" i="57"/>
  <c r="L724" i="57"/>
  <c r="E712" i="57"/>
  <c r="L343" i="57"/>
  <c r="E331" i="57"/>
  <c r="L266" i="57"/>
  <c r="E262" i="57"/>
  <c r="E305" i="60"/>
  <c r="L309" i="60"/>
  <c r="L337" i="57"/>
  <c r="E325" i="57"/>
  <c r="M47" i="59"/>
  <c r="N47" i="59"/>
  <c r="M45" i="62"/>
  <c r="M46" i="62"/>
  <c r="N45" i="62"/>
  <c r="N46" i="62"/>
  <c r="L46" i="62"/>
  <c r="L719" i="57"/>
  <c r="E707" i="57"/>
  <c r="E634" i="57"/>
  <c r="L645" i="57"/>
  <c r="G20" i="57"/>
  <c r="G13" i="57"/>
  <c r="G19" i="57"/>
  <c r="G12" i="57"/>
  <c r="G21" i="57"/>
  <c r="G14" i="57"/>
  <c r="G17" i="57"/>
  <c r="G10" i="57"/>
  <c r="K115" i="62"/>
  <c r="K106" i="62"/>
  <c r="K102" i="62"/>
  <c r="K100" i="62"/>
  <c r="K113" i="62"/>
  <c r="K104" i="62"/>
  <c r="F65" i="18"/>
  <c r="F66" i="18"/>
  <c r="J25" i="31"/>
  <c r="J26" i="31"/>
  <c r="J188" i="18"/>
  <c r="J189" i="18"/>
  <c r="I80" i="59"/>
  <c r="M35" i="40"/>
  <c r="N33" i="40"/>
  <c r="N35" i="40"/>
  <c r="H115" i="62"/>
  <c r="E204" i="57"/>
  <c r="L216" i="57"/>
  <c r="L225" i="57"/>
  <c r="E213" i="57"/>
  <c r="L222" i="57"/>
  <c r="E210" i="57"/>
  <c r="M456" i="57"/>
  <c r="M444" i="57"/>
  <c r="N456" i="57"/>
  <c r="N444" i="57"/>
  <c r="L444" i="57"/>
  <c r="L462" i="57"/>
  <c r="E450" i="57"/>
  <c r="E640" i="57"/>
  <c r="L651" i="57"/>
  <c r="E96" i="60"/>
  <c r="E156" i="35"/>
  <c r="G156" i="35"/>
  <c r="M156" i="35"/>
  <c r="N156" i="35"/>
  <c r="E155" i="35"/>
  <c r="G138" i="35"/>
  <c r="K138" i="35"/>
  <c r="I263" i="60"/>
  <c r="I346" i="60"/>
  <c r="E110" i="57"/>
  <c r="L119" i="57"/>
  <c r="L115" i="62"/>
  <c r="E106" i="62"/>
  <c r="L19" i="57"/>
  <c r="E12" i="57"/>
  <c r="L109" i="62"/>
  <c r="E100" i="62"/>
  <c r="L110" i="62"/>
  <c r="E101" i="62"/>
  <c r="H40" i="60"/>
  <c r="H210" i="60"/>
  <c r="H177" i="60"/>
  <c r="H125" i="60"/>
  <c r="J30" i="31"/>
  <c r="P30" i="31"/>
  <c r="J29" i="31"/>
  <c r="P29" i="31"/>
  <c r="J28" i="31"/>
  <c r="L29" i="31"/>
  <c r="Q29" i="31"/>
  <c r="L28" i="31"/>
  <c r="L30" i="31"/>
  <c r="Q30" i="31"/>
  <c r="L18" i="57"/>
  <c r="E11" i="57"/>
  <c r="I83" i="60"/>
  <c r="I253" i="60"/>
  <c r="I168" i="60"/>
  <c r="I135" i="60"/>
  <c r="L180" i="31"/>
  <c r="H80" i="59"/>
  <c r="L182" i="31"/>
  <c r="L181" i="31"/>
  <c r="H277" i="59"/>
  <c r="H249" i="59"/>
  <c r="H320" i="59"/>
  <c r="O251" i="31"/>
  <c r="H234" i="59"/>
  <c r="L19" i="62"/>
  <c r="E12" i="62"/>
  <c r="L15" i="62"/>
  <c r="E8" i="62"/>
  <c r="L120" i="57"/>
  <c r="E111" i="57"/>
  <c r="H379" i="60"/>
  <c r="H337" i="60"/>
  <c r="H295" i="60"/>
  <c r="H263" i="60"/>
  <c r="E103" i="62"/>
  <c r="L112" i="62"/>
  <c r="L20" i="62"/>
  <c r="E13" i="62"/>
  <c r="I407" i="59"/>
  <c r="I448" i="59"/>
  <c r="I364" i="59"/>
  <c r="J181" i="59"/>
  <c r="R123" i="35"/>
  <c r="L8" i="59"/>
  <c r="M15" i="59"/>
  <c r="M8" i="59"/>
  <c r="N15" i="59"/>
  <c r="N8" i="59"/>
  <c r="J218" i="31"/>
  <c r="M218" i="31"/>
  <c r="J217" i="31"/>
  <c r="J216" i="31"/>
  <c r="J219" i="31"/>
  <c r="L560" i="57"/>
  <c r="M572" i="57"/>
  <c r="M560" i="57"/>
  <c r="N114" i="59"/>
  <c r="N104" i="59"/>
  <c r="L104" i="59"/>
  <c r="M114" i="59"/>
  <c r="M104" i="59"/>
  <c r="I221" i="60"/>
  <c r="M213" i="31"/>
  <c r="M214" i="31"/>
  <c r="M94" i="31"/>
  <c r="H95" i="31"/>
  <c r="H96" i="31"/>
  <c r="L333" i="59"/>
  <c r="M337" i="59"/>
  <c r="M333" i="59"/>
  <c r="L113" i="57"/>
  <c r="E104" i="57"/>
  <c r="M115" i="59"/>
  <c r="M105" i="59"/>
  <c r="N115" i="59"/>
  <c r="N105" i="59"/>
  <c r="L105" i="59"/>
  <c r="N19" i="39"/>
  <c r="N21" i="39"/>
  <c r="M21" i="39"/>
  <c r="H502" i="57"/>
  <c r="H498" i="57"/>
  <c r="H386" i="57"/>
  <c r="H382" i="57"/>
  <c r="H503" i="57"/>
  <c r="H499" i="57"/>
  <c r="H266" i="57"/>
  <c r="H262" i="57"/>
  <c r="H267" i="57"/>
  <c r="H263" i="57"/>
  <c r="H385" i="57"/>
  <c r="H381" i="57"/>
  <c r="L416" i="59"/>
  <c r="M420" i="59"/>
  <c r="M416" i="59"/>
  <c r="N420" i="59"/>
  <c r="N416" i="59"/>
  <c r="M463" i="57"/>
  <c r="M451" i="57"/>
  <c r="N463" i="57"/>
  <c r="N451" i="57"/>
  <c r="L451" i="57"/>
  <c r="E16" i="62"/>
  <c r="I332" i="59"/>
  <c r="M578" i="57"/>
  <c r="M566" i="57"/>
  <c r="L566" i="57"/>
  <c r="H46" i="59"/>
  <c r="H47" i="59"/>
  <c r="M225" i="57"/>
  <c r="M213" i="57"/>
  <c r="L213" i="57"/>
  <c r="I108" i="62"/>
  <c r="I111" i="62"/>
  <c r="I116" i="57"/>
  <c r="M66" i="18"/>
  <c r="I110" i="62"/>
  <c r="I114" i="57"/>
  <c r="I115" i="57"/>
  <c r="I113" i="57"/>
  <c r="I109" i="62"/>
  <c r="M337" i="57"/>
  <c r="M325" i="57"/>
  <c r="L325" i="57"/>
  <c r="N266" i="57"/>
  <c r="N262" i="57"/>
  <c r="L262" i="57"/>
  <c r="M266" i="57"/>
  <c r="M262" i="57"/>
  <c r="L712" i="57"/>
  <c r="N724" i="57"/>
  <c r="N712" i="57"/>
  <c r="M724" i="57"/>
  <c r="M712" i="57"/>
  <c r="N119" i="35"/>
  <c r="K12" i="57"/>
  <c r="K13" i="57"/>
  <c r="K14" i="57"/>
  <c r="M142" i="62"/>
  <c r="N142" i="62"/>
  <c r="L561" i="57"/>
  <c r="M573" i="57"/>
  <c r="M561" i="57"/>
  <c r="L565" i="57"/>
  <c r="N577" i="57"/>
  <c r="N565" i="57"/>
  <c r="M577" i="57"/>
  <c r="M565" i="57"/>
  <c r="N351" i="60"/>
  <c r="N347" i="60"/>
  <c r="H217" i="31"/>
  <c r="H216" i="31"/>
  <c r="H219" i="31"/>
  <c r="M723" i="57"/>
  <c r="M711" i="57"/>
  <c r="L711" i="57"/>
  <c r="L499" i="57"/>
  <c r="M503" i="57"/>
  <c r="M499" i="57"/>
  <c r="I305" i="60"/>
  <c r="K123" i="35"/>
  <c r="L447" i="57"/>
  <c r="M459" i="57"/>
  <c r="M447" i="57"/>
  <c r="N219" i="57"/>
  <c r="N207" i="57"/>
  <c r="L207" i="57"/>
  <c r="M219" i="57"/>
  <c r="M207" i="57"/>
  <c r="E115" i="57"/>
  <c r="E108" i="57"/>
  <c r="L117" i="57"/>
  <c r="M721" i="57"/>
  <c r="M709" i="57"/>
  <c r="L709" i="57"/>
  <c r="N721" i="57"/>
  <c r="N709" i="57"/>
  <c r="L327" i="57"/>
  <c r="M339" i="57"/>
  <c r="M327" i="57"/>
  <c r="M308" i="60"/>
  <c r="M304" i="60"/>
  <c r="L304" i="60"/>
  <c r="M178" i="31"/>
  <c r="M177" i="31"/>
  <c r="K13" i="62"/>
  <c r="K12" i="62"/>
  <c r="K11" i="62"/>
  <c r="E178" i="60"/>
  <c r="L182" i="60"/>
  <c r="M217" i="57"/>
  <c r="M205" i="57"/>
  <c r="L205" i="57"/>
  <c r="M650" i="57"/>
  <c r="M639" i="57"/>
  <c r="L639" i="57"/>
  <c r="N650" i="57"/>
  <c r="N639" i="57"/>
  <c r="I146" i="57"/>
  <c r="I147" i="57"/>
  <c r="I141" i="62"/>
  <c r="I142" i="62"/>
  <c r="M647" i="57"/>
  <c r="M636" i="57"/>
  <c r="L636" i="57"/>
  <c r="L716" i="57"/>
  <c r="M728" i="57"/>
  <c r="M716" i="57"/>
  <c r="L12" i="59"/>
  <c r="M19" i="59"/>
  <c r="M12" i="59"/>
  <c r="M251" i="59"/>
  <c r="M248" i="59"/>
  <c r="N251" i="59"/>
  <c r="N248" i="59"/>
  <c r="L248" i="59"/>
  <c r="H707" i="57"/>
  <c r="N120" i="59"/>
  <c r="N110" i="59"/>
  <c r="L110" i="59"/>
  <c r="M120" i="59"/>
  <c r="M110" i="59"/>
  <c r="M575" i="57"/>
  <c r="M563" i="57"/>
  <c r="N575" i="57"/>
  <c r="N563" i="57"/>
  <c r="L563" i="57"/>
  <c r="E18" i="62"/>
  <c r="E21" i="57"/>
  <c r="M727" i="57"/>
  <c r="M715" i="57"/>
  <c r="L715" i="57"/>
  <c r="I416" i="59"/>
  <c r="I25" i="36"/>
  <c r="I21" i="36"/>
  <c r="I29" i="36"/>
  <c r="E220" i="60"/>
  <c r="L224" i="60"/>
  <c r="J21" i="57"/>
  <c r="J14" i="57"/>
  <c r="J11" i="57"/>
  <c r="J12" i="62"/>
  <c r="E114" i="62"/>
  <c r="E113" i="62"/>
  <c r="H7" i="60"/>
  <c r="H8" i="60"/>
  <c r="H291" i="59"/>
  <c r="I93" i="60"/>
  <c r="H21" i="36"/>
  <c r="H25" i="36"/>
  <c r="H29" i="36"/>
  <c r="E173" i="35"/>
  <c r="G173" i="35"/>
  <c r="K173" i="35"/>
  <c r="N173" i="35"/>
  <c r="G155" i="35"/>
  <c r="M155" i="35"/>
  <c r="E172" i="35"/>
  <c r="I46" i="59"/>
  <c r="I47" i="59"/>
  <c r="M580" i="57"/>
  <c r="M568" i="57"/>
  <c r="L568" i="57"/>
  <c r="N340" i="57"/>
  <c r="N328" i="57"/>
  <c r="M340" i="57"/>
  <c r="M328" i="57"/>
  <c r="L328" i="57"/>
  <c r="I320" i="59"/>
  <c r="I291" i="59"/>
  <c r="I234" i="59"/>
  <c r="I277" i="59"/>
  <c r="I248" i="59"/>
  <c r="K253" i="18"/>
  <c r="M208" i="59"/>
  <c r="M205" i="59"/>
  <c r="L205" i="59"/>
  <c r="L263" i="60"/>
  <c r="M267" i="60"/>
  <c r="M263" i="60"/>
  <c r="M16" i="59"/>
  <c r="M9" i="59"/>
  <c r="N16" i="59"/>
  <c r="N9" i="59"/>
  <c r="L9" i="59"/>
  <c r="L55" i="60"/>
  <c r="E51" i="60"/>
  <c r="M576" i="57"/>
  <c r="M564" i="57"/>
  <c r="N576" i="57"/>
  <c r="N564" i="57"/>
  <c r="L564" i="57"/>
  <c r="M654" i="57"/>
  <c r="M643" i="57"/>
  <c r="L643" i="57"/>
  <c r="N654" i="57"/>
  <c r="N643" i="57"/>
  <c r="E177" i="60"/>
  <c r="L181" i="60"/>
  <c r="I210" i="60"/>
  <c r="I177" i="60"/>
  <c r="I125" i="60"/>
  <c r="I40" i="60"/>
  <c r="E13" i="57"/>
  <c r="L20" i="57"/>
  <c r="J20" i="57"/>
  <c r="J13" i="57"/>
  <c r="J10" i="57"/>
  <c r="L111" i="62"/>
  <c r="E102" i="62"/>
  <c r="H141" i="62"/>
  <c r="H146" i="57"/>
  <c r="M64" i="31"/>
  <c r="L96" i="60"/>
  <c r="E92" i="60"/>
  <c r="M457" i="57"/>
  <c r="M445" i="57"/>
  <c r="N457" i="57"/>
  <c r="N445" i="57"/>
  <c r="L445" i="57"/>
  <c r="L13" i="59"/>
  <c r="M20" i="59"/>
  <c r="M13" i="59"/>
  <c r="M336" i="59"/>
  <c r="M332" i="59"/>
  <c r="L332" i="59"/>
  <c r="M113" i="59"/>
  <c r="M103" i="59"/>
  <c r="L103" i="59"/>
  <c r="M308" i="31"/>
  <c r="M309" i="31"/>
  <c r="L211" i="57"/>
  <c r="M223" i="57"/>
  <c r="M211" i="57"/>
  <c r="M267" i="57"/>
  <c r="M263" i="57"/>
  <c r="L263" i="57"/>
  <c r="M362" i="31"/>
  <c r="M363" i="31"/>
  <c r="N123" i="35"/>
  <c r="N653" i="57"/>
  <c r="N642" i="57"/>
  <c r="M653" i="57"/>
  <c r="M642" i="57"/>
  <c r="L642" i="57"/>
  <c r="E116" i="57"/>
  <c r="M338" i="57"/>
  <c r="M326" i="57"/>
  <c r="L326" i="57"/>
  <c r="M726" i="57"/>
  <c r="M714" i="57"/>
  <c r="L714" i="57"/>
  <c r="N189" i="35"/>
  <c r="N18" i="59"/>
  <c r="N11" i="59"/>
  <c r="M18" i="59"/>
  <c r="M11" i="59"/>
  <c r="L11" i="59"/>
  <c r="E50" i="60"/>
  <c r="L54" i="60"/>
  <c r="M209" i="59"/>
  <c r="M206" i="59"/>
  <c r="L206" i="59"/>
  <c r="J46" i="59"/>
  <c r="J47" i="59"/>
  <c r="L567" i="57"/>
  <c r="M579" i="57"/>
  <c r="M567" i="57"/>
  <c r="L498" i="57"/>
  <c r="M502" i="57"/>
  <c r="M498" i="57"/>
  <c r="M148" i="31"/>
  <c r="M149" i="31"/>
  <c r="M344" i="57"/>
  <c r="M332" i="57"/>
  <c r="L332" i="57"/>
  <c r="E93" i="60"/>
  <c r="L97" i="60"/>
  <c r="L212" i="57"/>
  <c r="M224" i="57"/>
  <c r="M212" i="57"/>
  <c r="M294" i="59"/>
  <c r="M290" i="59"/>
  <c r="L290" i="59"/>
  <c r="E174" i="35"/>
  <c r="G157" i="35"/>
  <c r="M157" i="35"/>
  <c r="N157" i="35"/>
  <c r="M379" i="59"/>
  <c r="M375" i="59"/>
  <c r="L375" i="59"/>
  <c r="H561" i="57"/>
  <c r="N13" i="40"/>
  <c r="N15" i="40"/>
  <c r="M15" i="40"/>
  <c r="E135" i="60"/>
  <c r="L139" i="60"/>
  <c r="L449" i="57"/>
  <c r="M461" i="57"/>
  <c r="M449" i="57"/>
  <c r="N461" i="57"/>
  <c r="N449" i="57"/>
  <c r="E17" i="62"/>
  <c r="I417" i="59"/>
  <c r="I24" i="36"/>
  <c r="I28" i="36"/>
  <c r="I20" i="36"/>
  <c r="J13" i="62"/>
  <c r="J10" i="62"/>
  <c r="I249" i="59"/>
  <c r="H181" i="59"/>
  <c r="Q216" i="31"/>
  <c r="H92" i="60"/>
  <c r="I148" i="59"/>
  <c r="I105" i="59"/>
  <c r="I104" i="59"/>
  <c r="I103" i="59"/>
  <c r="I106" i="59"/>
  <c r="I8" i="60"/>
  <c r="H346" i="60"/>
  <c r="H347" i="60"/>
  <c r="L382" i="57"/>
  <c r="M386" i="57"/>
  <c r="M382" i="57"/>
  <c r="L11" i="60"/>
  <c r="E7" i="60"/>
  <c r="N458" i="57"/>
  <c r="N446" i="57"/>
  <c r="L446" i="57"/>
  <c r="M458" i="57"/>
  <c r="M446" i="57"/>
  <c r="I51" i="60"/>
  <c r="N147" i="57"/>
  <c r="M147" i="57"/>
  <c r="M385" i="57"/>
  <c r="M381" i="57"/>
  <c r="L381" i="57"/>
  <c r="N385" i="57"/>
  <c r="N381" i="57"/>
  <c r="L114" i="57"/>
  <c r="E105" i="57"/>
  <c r="K65" i="18"/>
  <c r="K66" i="18"/>
  <c r="L333" i="57"/>
  <c r="M345" i="57"/>
  <c r="M333" i="57"/>
  <c r="N345" i="57"/>
  <c r="N333" i="57"/>
  <c r="M250" i="31"/>
  <c r="M251" i="31"/>
  <c r="H182" i="31"/>
  <c r="H180" i="31"/>
  <c r="H181" i="31"/>
  <c r="H29" i="31"/>
  <c r="H28" i="31"/>
  <c r="H30" i="31"/>
  <c r="H695" i="57"/>
  <c r="H636" i="57"/>
  <c r="O149" i="31"/>
  <c r="H770" i="57"/>
  <c r="H712" i="57"/>
  <c r="H621" i="57"/>
  <c r="H565" i="57"/>
  <c r="N722" i="57"/>
  <c r="N710" i="57"/>
  <c r="L710" i="57"/>
  <c r="M722" i="57"/>
  <c r="M710" i="57"/>
  <c r="M720" i="57"/>
  <c r="M708" i="57"/>
  <c r="L708" i="57"/>
  <c r="M252" i="59"/>
  <c r="M249" i="59"/>
  <c r="N252" i="59"/>
  <c r="N249" i="59"/>
  <c r="L249" i="59"/>
  <c r="K188" i="18"/>
  <c r="K189" i="18"/>
  <c r="H560" i="57"/>
  <c r="H568" i="57"/>
  <c r="L106" i="59"/>
  <c r="M116" i="59"/>
  <c r="M106" i="59"/>
  <c r="N116" i="59"/>
  <c r="N106" i="59"/>
  <c r="E10" i="57"/>
  <c r="L17" i="57"/>
  <c r="I374" i="59"/>
  <c r="L346" i="60"/>
  <c r="M350" i="60"/>
  <c r="M346" i="60"/>
  <c r="N350" i="60"/>
  <c r="N346" i="60"/>
  <c r="E99" i="62"/>
  <c r="L108" i="62"/>
  <c r="H206" i="59"/>
  <c r="I178" i="60"/>
  <c r="I92" i="60"/>
  <c r="H20" i="36"/>
  <c r="H24" i="36"/>
  <c r="H28" i="36"/>
  <c r="M462" i="57"/>
  <c r="M450" i="57"/>
  <c r="L450" i="57"/>
  <c r="N462" i="57"/>
  <c r="N450" i="57"/>
  <c r="L204" i="57"/>
  <c r="M216" i="57"/>
  <c r="M204" i="57"/>
  <c r="N719" i="57"/>
  <c r="N707" i="57"/>
  <c r="L707" i="57"/>
  <c r="M719" i="57"/>
  <c r="M707" i="57"/>
  <c r="N309" i="60"/>
  <c r="N305" i="60"/>
  <c r="L305" i="60"/>
  <c r="M309" i="60"/>
  <c r="M305" i="60"/>
  <c r="N138" i="35"/>
  <c r="N142" i="35"/>
  <c r="K142" i="35"/>
  <c r="L640" i="57"/>
  <c r="M651" i="57"/>
  <c r="M640" i="57"/>
  <c r="M222" i="57"/>
  <c r="M210" i="57"/>
  <c r="N222" i="57"/>
  <c r="N210" i="57"/>
  <c r="L210" i="57"/>
  <c r="M645" i="57"/>
  <c r="M634" i="57"/>
  <c r="L634" i="57"/>
  <c r="M343" i="57"/>
  <c r="M331" i="57"/>
  <c r="L331" i="57"/>
  <c r="N343" i="57"/>
  <c r="N331" i="57"/>
  <c r="L713" i="57"/>
  <c r="M725" i="57"/>
  <c r="M713" i="57"/>
  <c r="N725" i="57"/>
  <c r="N713" i="57"/>
  <c r="L225" i="60"/>
  <c r="E221" i="60"/>
  <c r="M455" i="57"/>
  <c r="M443" i="57"/>
  <c r="L443" i="57"/>
  <c r="N455" i="57"/>
  <c r="N443" i="57"/>
  <c r="M118" i="59"/>
  <c r="M108" i="59"/>
  <c r="L108" i="59"/>
  <c r="L417" i="59"/>
  <c r="N421" i="59"/>
  <c r="N417" i="59"/>
  <c r="M421" i="59"/>
  <c r="M417" i="59"/>
  <c r="I220" i="60"/>
  <c r="I50" i="60"/>
  <c r="L291" i="59"/>
  <c r="M295" i="59"/>
  <c r="M291" i="59"/>
  <c r="I19" i="59"/>
  <c r="I12" i="59"/>
  <c r="I15" i="59"/>
  <c r="I8" i="59"/>
  <c r="I17" i="59"/>
  <c r="I16" i="59"/>
  <c r="I18" i="59"/>
  <c r="I11" i="59"/>
  <c r="I20" i="59"/>
  <c r="I13" i="59"/>
  <c r="L109" i="59"/>
  <c r="M119" i="59"/>
  <c r="M109" i="59"/>
  <c r="L559" i="57"/>
  <c r="M571" i="57"/>
  <c r="M559" i="57"/>
  <c r="N571" i="57"/>
  <c r="N559" i="57"/>
  <c r="E136" i="60"/>
  <c r="L140" i="60"/>
  <c r="M221" i="57"/>
  <c r="M209" i="57"/>
  <c r="L209" i="57"/>
  <c r="N221" i="57"/>
  <c r="N209" i="57"/>
  <c r="L118" i="57"/>
  <c r="E109" i="57"/>
  <c r="H121" i="31"/>
  <c r="H122" i="31"/>
  <c r="M120" i="31"/>
  <c r="M649" i="57"/>
  <c r="M638" i="57"/>
  <c r="L638" i="57"/>
  <c r="L47" i="57"/>
  <c r="M46" i="57"/>
  <c r="M47" i="57"/>
  <c r="N46" i="57"/>
  <c r="N47" i="57"/>
  <c r="N342" i="57"/>
  <c r="N330" i="57"/>
  <c r="L330" i="57"/>
  <c r="M342" i="57"/>
  <c r="M330" i="57"/>
  <c r="I80" i="57"/>
  <c r="Q31" i="18"/>
  <c r="I79" i="62"/>
  <c r="M378" i="59"/>
  <c r="M374" i="59"/>
  <c r="N378" i="59"/>
  <c r="N374" i="59"/>
  <c r="L374" i="59"/>
  <c r="M574" i="57"/>
  <c r="M562" i="57"/>
  <c r="N574" i="57"/>
  <c r="N562" i="57"/>
  <c r="L562" i="57"/>
  <c r="N652" i="57"/>
  <c r="N641" i="57"/>
  <c r="M652" i="57"/>
  <c r="M641" i="57"/>
  <c r="L641" i="57"/>
  <c r="N454" i="57"/>
  <c r="N442" i="57"/>
  <c r="L442" i="57"/>
  <c r="M454" i="57"/>
  <c r="M442" i="57"/>
  <c r="J146" i="57"/>
  <c r="J141" i="62"/>
  <c r="L107" i="59"/>
  <c r="M117" i="59"/>
  <c r="M107" i="59"/>
  <c r="N117" i="59"/>
  <c r="N107" i="59"/>
  <c r="M460" i="57"/>
  <c r="M448" i="57"/>
  <c r="N460" i="57"/>
  <c r="N448" i="57"/>
  <c r="L448" i="57"/>
  <c r="M218" i="57"/>
  <c r="M206" i="57"/>
  <c r="L206" i="57"/>
  <c r="N218" i="57"/>
  <c r="N206" i="57"/>
  <c r="M646" i="57"/>
  <c r="M635" i="57"/>
  <c r="L635" i="57"/>
  <c r="N646" i="57"/>
  <c r="N635" i="57"/>
  <c r="L324" i="57"/>
  <c r="M336" i="57"/>
  <c r="M324" i="57"/>
  <c r="N336" i="57"/>
  <c r="N324" i="57"/>
  <c r="L329" i="57"/>
  <c r="N341" i="57"/>
  <c r="N329" i="57"/>
  <c r="M341" i="57"/>
  <c r="M329" i="57"/>
  <c r="M25" i="31"/>
  <c r="M26" i="31"/>
  <c r="H713" i="57"/>
  <c r="H715" i="57"/>
  <c r="H714" i="57"/>
  <c r="H709" i="57"/>
  <c r="H566" i="57"/>
  <c r="J16" i="59"/>
  <c r="J9" i="59"/>
  <c r="J19" i="59"/>
  <c r="J12" i="59"/>
  <c r="J18" i="59"/>
  <c r="J11" i="59"/>
  <c r="J17" i="59"/>
  <c r="J15" i="59"/>
  <c r="J8" i="59"/>
  <c r="J20" i="59"/>
  <c r="J13" i="59"/>
  <c r="L208" i="57"/>
  <c r="M220" i="57"/>
  <c r="M208" i="57"/>
  <c r="L637" i="57"/>
  <c r="M648" i="57"/>
  <c r="M637" i="57"/>
  <c r="E16" i="57"/>
  <c r="I375" i="59"/>
  <c r="I333" i="59"/>
  <c r="N17" i="59"/>
  <c r="N10" i="59"/>
  <c r="L10" i="59"/>
  <c r="M17" i="59"/>
  <c r="M10" i="59"/>
  <c r="J19" i="57"/>
  <c r="J12" i="57"/>
  <c r="J9" i="57"/>
  <c r="M12" i="60"/>
  <c r="M8" i="60"/>
  <c r="L8" i="60"/>
  <c r="I205" i="59"/>
  <c r="I206" i="59"/>
  <c r="H93" i="60"/>
  <c r="H290" i="59"/>
  <c r="H205" i="59"/>
  <c r="I7" i="60"/>
  <c r="H305" i="60"/>
  <c r="H304" i="60"/>
  <c r="H223" i="57"/>
  <c r="H211" i="57"/>
  <c r="H216" i="57"/>
  <c r="H204" i="57"/>
  <c r="H457" i="57"/>
  <c r="H445" i="57"/>
  <c r="H461" i="57"/>
  <c r="H449" i="57"/>
  <c r="H217" i="57"/>
  <c r="H205" i="57"/>
  <c r="H343" i="57"/>
  <c r="H331" i="57"/>
  <c r="H340" i="57"/>
  <c r="H328" i="57"/>
  <c r="H459" i="57"/>
  <c r="H447" i="57"/>
  <c r="H220" i="57"/>
  <c r="H208" i="57"/>
  <c r="H224" i="57"/>
  <c r="H212" i="57"/>
  <c r="H460" i="57"/>
  <c r="H448" i="57"/>
  <c r="H463" i="57"/>
  <c r="H451" i="57"/>
  <c r="H336" i="57"/>
  <c r="H324" i="57"/>
  <c r="H338" i="57"/>
  <c r="H326" i="57"/>
  <c r="H219" i="57"/>
  <c r="H207" i="57"/>
  <c r="H345" i="57"/>
  <c r="H333" i="57"/>
  <c r="H458" i="57"/>
  <c r="H446" i="57"/>
  <c r="H455" i="57"/>
  <c r="H443" i="57"/>
  <c r="H454" i="57"/>
  <c r="H442" i="57"/>
  <c r="H456" i="57"/>
  <c r="H444" i="57"/>
  <c r="H462" i="57"/>
  <c r="H450" i="57"/>
  <c r="O96" i="31"/>
  <c r="H222" i="57"/>
  <c r="H210" i="57"/>
  <c r="H221" i="57"/>
  <c r="H209" i="57"/>
  <c r="H218" i="57"/>
  <c r="H206" i="57"/>
  <c r="H337" i="57"/>
  <c r="H325" i="57"/>
  <c r="H339" i="57"/>
  <c r="H327" i="57"/>
  <c r="H225" i="57"/>
  <c r="H213" i="57"/>
  <c r="H342" i="57"/>
  <c r="H330" i="57"/>
  <c r="H344" i="57"/>
  <c r="H332" i="57"/>
  <c r="H341" i="57"/>
  <c r="H329" i="57"/>
  <c r="N118" i="57"/>
  <c r="N109" i="57"/>
  <c r="L109" i="57"/>
  <c r="M118" i="57"/>
  <c r="M109" i="57"/>
  <c r="L13" i="57"/>
  <c r="M20" i="57"/>
  <c r="M13" i="57"/>
  <c r="H637" i="57"/>
  <c r="M19" i="62"/>
  <c r="M12" i="62"/>
  <c r="L12" i="62"/>
  <c r="N19" i="62"/>
  <c r="N12" i="62"/>
  <c r="L11" i="57"/>
  <c r="M18" i="57"/>
  <c r="M11" i="57"/>
  <c r="H45" i="62"/>
  <c r="H46" i="62"/>
  <c r="P28" i="31"/>
  <c r="H46" i="57"/>
  <c r="H47" i="57"/>
  <c r="J100" i="62"/>
  <c r="J101" i="62"/>
  <c r="J142" i="62"/>
  <c r="J102" i="62"/>
  <c r="J99" i="62"/>
  <c r="N119" i="59"/>
  <c r="N109" i="59"/>
  <c r="L221" i="60"/>
  <c r="M225" i="60"/>
  <c r="M221" i="60"/>
  <c r="N645" i="57"/>
  <c r="N634" i="57"/>
  <c r="J208" i="59"/>
  <c r="J205" i="59"/>
  <c r="J209" i="59"/>
  <c r="J206" i="59"/>
  <c r="Q142" i="35"/>
  <c r="J295" i="59"/>
  <c r="J291" i="59"/>
  <c r="J294" i="59"/>
  <c r="J290" i="59"/>
  <c r="J252" i="59"/>
  <c r="J249" i="59"/>
  <c r="J251" i="59"/>
  <c r="J248" i="59"/>
  <c r="M30" i="31"/>
  <c r="H18" i="57"/>
  <c r="O30" i="31"/>
  <c r="H17" i="62"/>
  <c r="M180" i="31"/>
  <c r="H15" i="59"/>
  <c r="H8" i="59"/>
  <c r="H711" i="57"/>
  <c r="H559" i="57"/>
  <c r="N379" i="59"/>
  <c r="N375" i="59"/>
  <c r="N579" i="57"/>
  <c r="N567" i="57"/>
  <c r="E107" i="57"/>
  <c r="L116" i="57"/>
  <c r="H147" i="57"/>
  <c r="H105" i="57"/>
  <c r="H106" i="57"/>
  <c r="H107" i="57"/>
  <c r="H104" i="57"/>
  <c r="L102" i="62"/>
  <c r="M111" i="62"/>
  <c r="M102" i="62"/>
  <c r="H710" i="57"/>
  <c r="E191" i="35"/>
  <c r="E190" i="35"/>
  <c r="G172" i="35"/>
  <c r="K172" i="35"/>
  <c r="E14" i="57"/>
  <c r="L21" i="57"/>
  <c r="H708" i="57"/>
  <c r="H641" i="57"/>
  <c r="L178" i="60"/>
  <c r="N182" i="60"/>
  <c r="N178" i="60"/>
  <c r="M182" i="60"/>
  <c r="M178" i="60"/>
  <c r="N459" i="57"/>
  <c r="N447" i="57"/>
  <c r="N503" i="57"/>
  <c r="N499" i="57"/>
  <c r="N723" i="57"/>
  <c r="N711" i="57"/>
  <c r="H114" i="59"/>
  <c r="M217" i="31"/>
  <c r="H118" i="59"/>
  <c r="N337" i="57"/>
  <c r="N325" i="57"/>
  <c r="I119" i="57"/>
  <c r="I110" i="57"/>
  <c r="I106" i="57"/>
  <c r="I107" i="57"/>
  <c r="I120" i="57"/>
  <c r="I111" i="57"/>
  <c r="N225" i="57"/>
  <c r="N213" i="57"/>
  <c r="M96" i="31"/>
  <c r="M95" i="31"/>
  <c r="O216" i="31"/>
  <c r="H147" i="59"/>
  <c r="M20" i="62"/>
  <c r="M13" i="62"/>
  <c r="L13" i="62"/>
  <c r="L100" i="62"/>
  <c r="M109" i="62"/>
  <c r="M100" i="62"/>
  <c r="L106" i="62"/>
  <c r="M115" i="62"/>
  <c r="M106" i="62"/>
  <c r="M54" i="60"/>
  <c r="M50" i="60"/>
  <c r="L50" i="60"/>
  <c r="L220" i="60"/>
  <c r="N224" i="60"/>
  <c r="N220" i="60"/>
  <c r="M224" i="60"/>
  <c r="M220" i="60"/>
  <c r="H117" i="59"/>
  <c r="M216" i="31"/>
  <c r="H113" i="59"/>
  <c r="H103" i="59"/>
  <c r="H12" i="59"/>
  <c r="H11" i="59"/>
  <c r="H13" i="59"/>
  <c r="L111" i="57"/>
  <c r="M120" i="57"/>
  <c r="M111" i="57"/>
  <c r="N220" i="57"/>
  <c r="N208" i="57"/>
  <c r="H639" i="57"/>
  <c r="I81" i="57"/>
  <c r="I10" i="57"/>
  <c r="I11" i="57"/>
  <c r="I9" i="57"/>
  <c r="I9" i="59"/>
  <c r="N216" i="57"/>
  <c r="N204" i="57"/>
  <c r="H178" i="60"/>
  <c r="N17" i="57"/>
  <c r="N10" i="57"/>
  <c r="L10" i="57"/>
  <c r="M17" i="57"/>
  <c r="M10" i="57"/>
  <c r="H16" i="57"/>
  <c r="O28" i="31"/>
  <c r="M28" i="31"/>
  <c r="H15" i="62"/>
  <c r="H17" i="59"/>
  <c r="H10" i="59"/>
  <c r="M182" i="31"/>
  <c r="N386" i="57"/>
  <c r="N382" i="57"/>
  <c r="I107" i="59"/>
  <c r="I108" i="59"/>
  <c r="I110" i="59"/>
  <c r="I109" i="59"/>
  <c r="H567" i="57"/>
  <c r="H638" i="57"/>
  <c r="N294" i="59"/>
  <c r="N290" i="59"/>
  <c r="N97" i="60"/>
  <c r="N93" i="60"/>
  <c r="M97" i="60"/>
  <c r="M93" i="60"/>
  <c r="L93" i="60"/>
  <c r="N344" i="57"/>
  <c r="N332" i="57"/>
  <c r="N209" i="59"/>
  <c r="N206" i="59"/>
  <c r="N267" i="57"/>
  <c r="N263" i="57"/>
  <c r="N223" i="57"/>
  <c r="N211" i="57"/>
  <c r="N336" i="59"/>
  <c r="N332" i="59"/>
  <c r="N20" i="59"/>
  <c r="N13" i="59"/>
  <c r="H142" i="62"/>
  <c r="H100" i="62"/>
  <c r="H102" i="62"/>
  <c r="H101" i="62"/>
  <c r="H99" i="62"/>
  <c r="M181" i="60"/>
  <c r="M177" i="60"/>
  <c r="L177" i="60"/>
  <c r="N580" i="57"/>
  <c r="N568" i="57"/>
  <c r="N155" i="35"/>
  <c r="N159" i="35"/>
  <c r="M159" i="35"/>
  <c r="N727" i="57"/>
  <c r="N715" i="57"/>
  <c r="L18" i="62"/>
  <c r="E11" i="62"/>
  <c r="H562" i="57"/>
  <c r="H642" i="57"/>
  <c r="N728" i="57"/>
  <c r="N716" i="57"/>
  <c r="N647" i="57"/>
  <c r="N636" i="57"/>
  <c r="N308" i="60"/>
  <c r="N304" i="60"/>
  <c r="N339" i="57"/>
  <c r="N327" i="57"/>
  <c r="L108" i="57"/>
  <c r="M117" i="57"/>
  <c r="M108" i="57"/>
  <c r="I136" i="60"/>
  <c r="N573" i="57"/>
  <c r="N561" i="57"/>
  <c r="I118" i="57"/>
  <c r="I109" i="57"/>
  <c r="I105" i="57"/>
  <c r="I102" i="62"/>
  <c r="I115" i="62"/>
  <c r="I106" i="62"/>
  <c r="L16" i="62"/>
  <c r="E9" i="62"/>
  <c r="H635" i="57"/>
  <c r="N337" i="59"/>
  <c r="N333" i="59"/>
  <c r="N572" i="57"/>
  <c r="N560" i="57"/>
  <c r="M112" i="62"/>
  <c r="M103" i="62"/>
  <c r="L103" i="62"/>
  <c r="M15" i="62"/>
  <c r="M8" i="62"/>
  <c r="L8" i="62"/>
  <c r="H80" i="57"/>
  <c r="H81" i="57"/>
  <c r="Q28" i="31"/>
  <c r="H79" i="62"/>
  <c r="H80" i="62"/>
  <c r="M119" i="57"/>
  <c r="M110" i="57"/>
  <c r="L110" i="57"/>
  <c r="N119" i="57"/>
  <c r="N110" i="57"/>
  <c r="E9" i="57"/>
  <c r="L16" i="57"/>
  <c r="I80" i="62"/>
  <c r="I10" i="62"/>
  <c r="I8" i="62"/>
  <c r="I9" i="62"/>
  <c r="M122" i="31"/>
  <c r="M121" i="31"/>
  <c r="L136" i="60"/>
  <c r="M140" i="60"/>
  <c r="M136" i="60"/>
  <c r="N140" i="60"/>
  <c r="N136" i="60"/>
  <c r="L99" i="62"/>
  <c r="M108" i="62"/>
  <c r="M99" i="62"/>
  <c r="M181" i="31"/>
  <c r="H16" i="59"/>
  <c r="H9" i="59"/>
  <c r="H634" i="57"/>
  <c r="E105" i="62"/>
  <c r="L114" i="62"/>
  <c r="E106" i="57"/>
  <c r="L115" i="57"/>
  <c r="I117" i="57"/>
  <c r="I108" i="57"/>
  <c r="I104" i="57"/>
  <c r="M113" i="57"/>
  <c r="M104" i="57"/>
  <c r="N113" i="57"/>
  <c r="N104" i="57"/>
  <c r="L104" i="57"/>
  <c r="J10" i="59"/>
  <c r="N648" i="57"/>
  <c r="N637" i="57"/>
  <c r="H640" i="57"/>
  <c r="J147" i="57"/>
  <c r="J106" i="57"/>
  <c r="J107" i="57"/>
  <c r="J105" i="57"/>
  <c r="J104" i="57"/>
  <c r="N12" i="60"/>
  <c r="N8" i="60"/>
  <c r="H643" i="57"/>
  <c r="N649" i="57"/>
  <c r="N638" i="57"/>
  <c r="I10" i="59"/>
  <c r="N295" i="59"/>
  <c r="N291" i="59"/>
  <c r="N118" i="59"/>
  <c r="N108" i="59"/>
  <c r="N651" i="57"/>
  <c r="N640" i="57"/>
  <c r="I290" i="59"/>
  <c r="H564" i="57"/>
  <c r="N720" i="57"/>
  <c r="N708" i="57"/>
  <c r="H16" i="62"/>
  <c r="H17" i="57"/>
  <c r="O29" i="31"/>
  <c r="M29" i="31"/>
  <c r="L105" i="57"/>
  <c r="M114" i="57"/>
  <c r="M105" i="57"/>
  <c r="M11" i="60"/>
  <c r="M7" i="60"/>
  <c r="L7" i="60"/>
  <c r="E10" i="62"/>
  <c r="L17" i="62"/>
  <c r="M139" i="60"/>
  <c r="M135" i="60"/>
  <c r="L135" i="60"/>
  <c r="H563" i="57"/>
  <c r="E192" i="35"/>
  <c r="G174" i="35"/>
  <c r="N224" i="57"/>
  <c r="N212" i="57"/>
  <c r="N502" i="57"/>
  <c r="N498" i="57"/>
  <c r="N726" i="57"/>
  <c r="N714" i="57"/>
  <c r="N338" i="57"/>
  <c r="N326" i="57"/>
  <c r="N113" i="59"/>
  <c r="N103" i="59"/>
  <c r="L92" i="60"/>
  <c r="N96" i="60"/>
  <c r="N92" i="60"/>
  <c r="M96" i="60"/>
  <c r="M92" i="60"/>
  <c r="H248" i="59"/>
  <c r="L51" i="60"/>
  <c r="M55" i="60"/>
  <c r="M51" i="60"/>
  <c r="N267" i="60"/>
  <c r="N263" i="60"/>
  <c r="N208" i="59"/>
  <c r="N205" i="59"/>
  <c r="H262" i="60"/>
  <c r="L113" i="62"/>
  <c r="E104" i="62"/>
  <c r="H716" i="57"/>
  <c r="N19" i="59"/>
  <c r="N12" i="59"/>
  <c r="N217" i="57"/>
  <c r="N205" i="57"/>
  <c r="J147" i="59"/>
  <c r="P123" i="35"/>
  <c r="H116" i="59"/>
  <c r="H106" i="59"/>
  <c r="H120" i="59"/>
  <c r="M219" i="31"/>
  <c r="I113" i="62"/>
  <c r="I104" i="62"/>
  <c r="I100" i="62"/>
  <c r="I114" i="62"/>
  <c r="I105" i="62"/>
  <c r="I101" i="62"/>
  <c r="I99" i="62"/>
  <c r="I112" i="62"/>
  <c r="I103" i="62"/>
  <c r="N578" i="57"/>
  <c r="N566" i="57"/>
  <c r="M110" i="62"/>
  <c r="M101" i="62"/>
  <c r="L101" i="62"/>
  <c r="L12" i="57"/>
  <c r="M19" i="57"/>
  <c r="M12" i="57"/>
  <c r="L105" i="62"/>
  <c r="M114" i="62"/>
  <c r="M105" i="62"/>
  <c r="I13" i="62"/>
  <c r="I11" i="62"/>
  <c r="I12" i="62"/>
  <c r="L11" i="62"/>
  <c r="M18" i="62"/>
  <c r="M11" i="62"/>
  <c r="H104" i="62"/>
  <c r="H105" i="62"/>
  <c r="H106" i="62"/>
  <c r="H103" i="62"/>
  <c r="H19" i="57"/>
  <c r="H12" i="57"/>
  <c r="H9" i="57"/>
  <c r="N172" i="35"/>
  <c r="L107" i="57"/>
  <c r="M116" i="57"/>
  <c r="M107" i="57"/>
  <c r="H20" i="62"/>
  <c r="H13" i="62"/>
  <c r="H10" i="62"/>
  <c r="L104" i="62"/>
  <c r="M113" i="62"/>
  <c r="M104" i="62"/>
  <c r="N55" i="60"/>
  <c r="N51" i="60"/>
  <c r="K174" i="35"/>
  <c r="K176" i="35"/>
  <c r="I174" i="35"/>
  <c r="N139" i="60"/>
  <c r="N135" i="60"/>
  <c r="N114" i="57"/>
  <c r="N105" i="57"/>
  <c r="H10" i="57"/>
  <c r="H20" i="57"/>
  <c r="H13" i="57"/>
  <c r="J111" i="57"/>
  <c r="J108" i="57"/>
  <c r="J110" i="57"/>
  <c r="J109" i="57"/>
  <c r="N108" i="62"/>
  <c r="N99" i="62"/>
  <c r="M16" i="57"/>
  <c r="M9" i="57"/>
  <c r="L9" i="57"/>
  <c r="N112" i="62"/>
  <c r="N103" i="62"/>
  <c r="H18" i="62"/>
  <c r="H11" i="62"/>
  <c r="H8" i="62"/>
  <c r="N120" i="57"/>
  <c r="N111" i="57"/>
  <c r="N109" i="62"/>
  <c r="N100" i="62"/>
  <c r="H148" i="59"/>
  <c r="H109" i="59"/>
  <c r="H105" i="59"/>
  <c r="H104" i="59"/>
  <c r="E208" i="35"/>
  <c r="G208" i="35"/>
  <c r="M208" i="35"/>
  <c r="G190" i="35"/>
  <c r="K190" i="35"/>
  <c r="N20" i="57"/>
  <c r="N13" i="57"/>
  <c r="J103" i="59"/>
  <c r="J106" i="59"/>
  <c r="J104" i="59"/>
  <c r="J105" i="59"/>
  <c r="J148" i="59"/>
  <c r="E210" i="35"/>
  <c r="G210" i="35"/>
  <c r="M210" i="35"/>
  <c r="N210" i="35"/>
  <c r="G192" i="35"/>
  <c r="N11" i="60"/>
  <c r="N7" i="60"/>
  <c r="H19" i="62"/>
  <c r="H12" i="62"/>
  <c r="H9" i="62"/>
  <c r="M115" i="57"/>
  <c r="M106" i="57"/>
  <c r="N115" i="57"/>
  <c r="N106" i="57"/>
  <c r="L106" i="57"/>
  <c r="N117" i="57"/>
  <c r="N108" i="57"/>
  <c r="J337" i="59"/>
  <c r="J333" i="59"/>
  <c r="J421" i="59"/>
  <c r="J417" i="59"/>
  <c r="J378" i="59"/>
  <c r="J374" i="59"/>
  <c r="Q159" i="35"/>
  <c r="J336" i="59"/>
  <c r="J332" i="59"/>
  <c r="J379" i="59"/>
  <c r="J375" i="59"/>
  <c r="J420" i="59"/>
  <c r="J416" i="59"/>
  <c r="I13" i="57"/>
  <c r="I14" i="57"/>
  <c r="I12" i="57"/>
  <c r="N54" i="60"/>
  <c r="N50" i="60"/>
  <c r="N115" i="62"/>
  <c r="N106" i="62"/>
  <c r="N21" i="57"/>
  <c r="N14" i="57"/>
  <c r="L14" i="57"/>
  <c r="M21" i="57"/>
  <c r="M14" i="57"/>
  <c r="E209" i="35"/>
  <c r="G209" i="35"/>
  <c r="M209" i="35"/>
  <c r="N209" i="35"/>
  <c r="G191" i="35"/>
  <c r="K191" i="35"/>
  <c r="N191" i="35"/>
  <c r="N111" i="62"/>
  <c r="N102" i="62"/>
  <c r="H21" i="57"/>
  <c r="H14" i="57"/>
  <c r="H11" i="57"/>
  <c r="N225" i="60"/>
  <c r="N221" i="60"/>
  <c r="J104" i="62"/>
  <c r="J105" i="62"/>
  <c r="J106" i="62"/>
  <c r="J103" i="62"/>
  <c r="N18" i="57"/>
  <c r="N11" i="57"/>
  <c r="N19" i="57"/>
  <c r="N12" i="57"/>
  <c r="N110" i="62"/>
  <c r="N101" i="62"/>
  <c r="L10" i="62"/>
  <c r="M17" i="62"/>
  <c r="M10" i="62"/>
  <c r="N15" i="62"/>
  <c r="N8" i="62"/>
  <c r="M16" i="62"/>
  <c r="M9" i="62"/>
  <c r="L9" i="62"/>
  <c r="N181" i="60"/>
  <c r="N177" i="60"/>
  <c r="N20" i="62"/>
  <c r="N13" i="62"/>
  <c r="H108" i="59"/>
  <c r="H109" i="57"/>
  <c r="H111" i="57"/>
  <c r="H110" i="57"/>
  <c r="H108" i="57"/>
  <c r="J12" i="60"/>
  <c r="J182" i="60"/>
  <c r="J97" i="60"/>
  <c r="J96" i="60"/>
  <c r="J11" i="60"/>
  <c r="J181" i="60"/>
  <c r="K192" i="35"/>
  <c r="K194" i="35"/>
  <c r="I192" i="35"/>
  <c r="N208" i="35"/>
  <c r="N212" i="35"/>
  <c r="M212" i="35"/>
  <c r="N16" i="57"/>
  <c r="N9" i="57"/>
  <c r="H110" i="59"/>
  <c r="N114" i="62"/>
  <c r="N105" i="62"/>
  <c r="N174" i="35"/>
  <c r="I176" i="35"/>
  <c r="N190" i="35"/>
  <c r="N176" i="35"/>
  <c r="N16" i="62"/>
  <c r="N9" i="62"/>
  <c r="N17" i="62"/>
  <c r="N10" i="62"/>
  <c r="J107" i="59"/>
  <c r="J110" i="59"/>
  <c r="J109" i="59"/>
  <c r="J108" i="59"/>
  <c r="H107" i="59"/>
  <c r="N113" i="62"/>
  <c r="N104" i="62"/>
  <c r="N116" i="57"/>
  <c r="N107" i="57"/>
  <c r="N18" i="62"/>
  <c r="N11" i="62"/>
  <c r="J139" i="60"/>
  <c r="J140" i="60"/>
  <c r="J225" i="60"/>
  <c r="J224" i="60"/>
  <c r="J54" i="60"/>
  <c r="J55" i="60"/>
  <c r="N192" i="35"/>
  <c r="N194" i="35"/>
  <c r="I194" i="35"/>
  <c r="J351" i="60"/>
  <c r="J347" i="60"/>
  <c r="J308" i="60"/>
  <c r="J304" i="60"/>
  <c r="J266" i="60"/>
  <c r="J262" i="60"/>
  <c r="J350" i="60"/>
  <c r="J346" i="60"/>
  <c r="J267" i="60"/>
  <c r="J263" i="60"/>
  <c r="J309" i="60"/>
  <c r="J305" i="60"/>
  <c r="J177" i="60"/>
  <c r="J40" i="60"/>
  <c r="J7" i="60"/>
  <c r="J125" i="60"/>
  <c r="J92" i="60"/>
  <c r="J210" i="60"/>
  <c r="J178" i="60"/>
  <c r="J8" i="60"/>
  <c r="J220" i="60"/>
  <c r="J93" i="60"/>
  <c r="J136" i="60"/>
  <c r="J168" i="60"/>
  <c r="J253" i="60"/>
  <c r="J221" i="60"/>
  <c r="J83" i="60"/>
  <c r="J51" i="60"/>
  <c r="J50" i="60"/>
  <c r="J135" i="60"/>
</calcChain>
</file>

<file path=xl/comments1.xml><?xml version="1.0" encoding="utf-8"?>
<comments xmlns="http://schemas.openxmlformats.org/spreadsheetml/2006/main">
  <authors>
    <author>lamhong</author>
  </authors>
  <commentList>
    <comment ref="A553" authorId="0">
      <text>
        <r>
          <rPr>
            <sz val="9"/>
            <color indexed="81"/>
            <rFont val="Tahoma"/>
            <family val="2"/>
          </rPr>
          <t xml:space="preserve">MUC IV
</t>
        </r>
      </text>
    </comment>
  </commentList>
</comments>
</file>

<file path=xl/comments2.xml><?xml version="1.0" encoding="utf-8"?>
<comments xmlns="http://schemas.openxmlformats.org/spreadsheetml/2006/main">
  <authors>
    <author>lamhong</author>
  </authors>
  <commentList>
    <comment ref="E16" authorId="0">
      <text>
        <r>
          <rPr>
            <b/>
            <sz val="9"/>
            <color indexed="81"/>
            <rFont val="Tahoma"/>
            <family val="2"/>
          </rPr>
          <t>lamhong:</t>
        </r>
        <r>
          <rPr>
            <sz val="9"/>
            <color indexed="81"/>
            <rFont val="Tahoma"/>
            <family val="2"/>
          </rPr>
          <t xml:space="preserve">
</t>
        </r>
      </text>
    </comment>
    <comment ref="P16" authorId="0">
      <text>
        <r>
          <rPr>
            <b/>
            <sz val="9"/>
            <color indexed="81"/>
            <rFont val="Tahoma"/>
            <family val="2"/>
          </rPr>
          <t>lamhong:</t>
        </r>
        <r>
          <rPr>
            <sz val="9"/>
            <color indexed="81"/>
            <rFont val="Tahoma"/>
            <family val="2"/>
          </rPr>
          <t xml:space="preserve">
</t>
        </r>
      </text>
    </comment>
    <comment ref="E19" authorId="0">
      <text>
        <r>
          <rPr>
            <b/>
            <sz val="9"/>
            <color indexed="81"/>
            <rFont val="Tahoma"/>
            <family val="2"/>
          </rPr>
          <t>lamhong:</t>
        </r>
        <r>
          <rPr>
            <sz val="9"/>
            <color indexed="81"/>
            <rFont val="Tahoma"/>
            <family val="2"/>
          </rPr>
          <t xml:space="preserve">
</t>
        </r>
      </text>
    </comment>
    <comment ref="P19" authorId="0">
      <text>
        <r>
          <rPr>
            <b/>
            <sz val="9"/>
            <color indexed="81"/>
            <rFont val="Tahoma"/>
            <family val="2"/>
          </rPr>
          <t>lamhong:</t>
        </r>
        <r>
          <rPr>
            <sz val="9"/>
            <color indexed="81"/>
            <rFont val="Tahoma"/>
            <family val="2"/>
          </rPr>
          <t xml:space="preserve">
</t>
        </r>
      </text>
    </comment>
  </commentList>
</comments>
</file>

<file path=xl/comments3.xml><?xml version="1.0" encoding="utf-8"?>
<comments xmlns="http://schemas.openxmlformats.org/spreadsheetml/2006/main">
  <authors>
    <author>lamhong</author>
  </authors>
  <commentList>
    <comment ref="S2" authorId="0">
      <text>
        <r>
          <rPr>
            <sz val="9"/>
            <color indexed="81"/>
            <rFont val="Tahoma"/>
            <family val="2"/>
          </rPr>
          <t xml:space="preserve">MỤC V
</t>
        </r>
      </text>
    </comment>
    <comment ref="S199" authorId="0">
      <text>
        <r>
          <rPr>
            <b/>
            <sz val="9"/>
            <color indexed="81"/>
            <rFont val="Tahoma"/>
            <family val="2"/>
          </rPr>
          <t>MUC VII</t>
        </r>
        <r>
          <rPr>
            <sz val="9"/>
            <color indexed="81"/>
            <rFont val="Tahoma"/>
            <family val="2"/>
          </rPr>
          <t xml:space="preserve">
</t>
        </r>
      </text>
    </comment>
    <comment ref="A413" authorId="0">
      <text>
        <r>
          <rPr>
            <b/>
            <sz val="9"/>
            <color indexed="81"/>
            <rFont val="Tahoma"/>
            <charset val="1"/>
          </rPr>
          <t>lamhong:</t>
        </r>
        <r>
          <rPr>
            <sz val="9"/>
            <color indexed="81"/>
            <rFont val="Tahoma"/>
            <charset val="1"/>
          </rPr>
          <t xml:space="preserve">
</t>
        </r>
      </text>
    </comment>
  </commentList>
</comments>
</file>

<file path=xl/sharedStrings.xml><?xml version="1.0" encoding="utf-8"?>
<sst xmlns="http://schemas.openxmlformats.org/spreadsheetml/2006/main" count="11223" uniqueCount="1085">
  <si>
    <t>Nhận thông báo, chuyển thông báo nghĩa vụ tài chính cho người sử dụng đất (sau khi cấp huyện xác định nghĩa vụ tài chính và gửi cho phường để thông báo cho người sử dụng đất)</t>
  </si>
  <si>
    <t>Tiếp nhận hồ sơ đề nghị đăng ký, cấp GCN của người sử dụng đất từ phường chuyển đến</t>
  </si>
  <si>
    <t>Nhập ý kiến nội dung xác nhận của cấp huyện vào tệp (File) dữ liệu hồ sơ số</t>
  </si>
  <si>
    <t>Theo hình thức trực tiếp (gửi về phường để thông báo cho người sử dụng đất)</t>
  </si>
  <si>
    <t>Quét giấy tờ pháp lý và xử lý tệp tin</t>
  </si>
  <si>
    <t>7- Trường hợp phải chuẩn bị hợp đồng cho thuê đất, mức dụng cụ tính bằng 0,003% mức dụng cụ của VPĐK cấp huyện, mức vật liệu được tính là: 0,02 Ram giấy A4 và 0,004 hộp mực A4, giá vật liệu được lây theo bảng giá trong phần "Phụ lục đơn giá". (Các mức này được áp dụng chung cho các trường hợp lập hợp đồng cho thuê đất)</t>
  </si>
  <si>
    <t xml:space="preserve">-  Định mức tại bảng trên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1 hồ sơ đăng ký đối với đất. Trường hợp đăng ký riêng đối với tài sản thì định mức tính cho 1 hồ sơ đăng ký đối với tài sản bằng định mức cho 1 hồ sơ đăng ký đối với đất.
</t>
  </si>
  <si>
    <t xml:space="preserve"> - Mức thiết bị được tính chung cho các loại khó khăn.
</t>
  </si>
  <si>
    <t>- Định mức thiết bị trên áp dụng cho trường hợp đăng ký đất hoặc trường hợp đăng ký tài sản. Trường hợp đăng ký cả đất và tài sản thì mức thiết bị được tính bằng hệ số là 1,3 mức thiết bị của Bảng trên</t>
  </si>
  <si>
    <t>-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</si>
  <si>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 xml:space="preserve"> -  Mức thiết bị được tính chung cho các loại khó khăn.
</t>
  </si>
  <si>
    <t>-  Trường hợp đăng ký biến động đất đai mà thực hiện cấp mới GCN thì áp dụng mức thiết bị của Bảng trên. Trường hợp đăng ký biến động đất đai mà không thực hiện cấp mới GCN thì được tính bằng 0,6 lần mức thiết bị của Bảng trên</t>
  </si>
  <si>
    <t>-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</si>
  <si>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 Trường hợp đăng ký biến động đất đai mà thực hiện cấp mới GCN thì áp dụng mức thiết bị của Bảng trên. Trường hợp đăng ký biến động đất đai mà không thực hiện cấp mới GCN thì được tính bằng 0,6 lần mức thiết bị của Bảng  trên</t>
  </si>
  <si>
    <t>- Đối với phường xây dựng cơ sở dữ liệu địa chính thì trong công việc đăng ký, cấp đổi GCN không được tính mức thiết bị tại địa bàn cấp tỉnh quy định tại Bảng trên.</t>
  </si>
  <si>
    <t>- Trường hợp nhiều thửa đất nông nghiệp được cấp chung trong một GCN thì ngoài mức được tính ở trên cứ mỗi thửa đất tăng thêm được tính thêm 0,20 lần định mức tại địa bàn phường và tại địa bàn cấp huyện.</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</si>
  <si>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1 hồ sơ đăng ký đối với đất. Trường hợp đăng ký riêng đối với tài sản thì định mức tính cho 1 hồ sơ đăng ký đối với tài sản bằng định mức cho 1 hồ sơ đăng ký đối với đất.
</t>
  </si>
  <si>
    <t xml:space="preserve"> - Mức thiết bị được tính chung cho các loại khó khăn.
 </t>
  </si>
  <si>
    <t xml:space="preserve"> - Định mức thiết bị trên áp dụng cho trường hợp đăng ký đất hoặc trường hợp đăng ký tài sản. Trường hợp đăng ký cả đất và tài sản thì mức thiết bị được tính bằng hệ số là 1,3 mức thiết bị của trên</t>
  </si>
  <si>
    <t>n</t>
  </si>
  <si>
    <t>Đơn giá tiền công LĐPT khu vực nông thôn vùng IV</t>
  </si>
  <si>
    <t>ĐĂNG KÝ, CẤP ĐỔI GIẤY CHỨNG NHẬN QSD ĐẤT ĐỒNG LOẠT TẠI PHƯỜNG</t>
  </si>
  <si>
    <t>Nhận, trả hồ sơ, thu lệ phí</t>
  </si>
  <si>
    <t>Trích lục thửa đất</t>
  </si>
  <si>
    <t>Trích lục từ hồ sơ địa chính số</t>
  </si>
  <si>
    <t>Trích sao từ hồ sơ địa chính giấy</t>
  </si>
  <si>
    <t>Trích sao thông tin địa chính</t>
  </si>
  <si>
    <t>Trích sao từ hồ sơ địa chính số</t>
  </si>
  <si>
    <t xml:space="preserve"> Mực máy Photocopy (A3)</t>
  </si>
  <si>
    <t xml:space="preserve">Văn phòng ĐKQSD đất  cấp huyện </t>
  </si>
  <si>
    <t xml:space="preserve">Văn phòng ĐKQSD đất cấp tỉnh </t>
  </si>
  <si>
    <t xml:space="preserve"> Khó khăn 4</t>
  </si>
  <si>
    <t xml:space="preserve"> Khó khăn 5</t>
  </si>
  <si>
    <t xml:space="preserve"> Tổng cộng (KK 1 - 5)</t>
  </si>
  <si>
    <t>Văn phòng ĐKQSD                       đất cấp huyện</t>
  </si>
  <si>
    <t>TỔNG HỢP ĐƠN GIÁ SẢN PHẨM ĐĂNG KÝ, CẤP ĐỔI, CẤP LẠI GIẤY CHỨNG NHẬN QSD TÀI SẢN  RIÊNG LẺ - ĐỐI VỚI TỔ CHỨC</t>
  </si>
  <si>
    <t>TỔNG HỢP ĐƠN GIÁ SẢN PHẨM ĐĂNG KÝ, CẤP ĐỔI, CẤP LẠI GIẤY CHỨNG NHẬN QSD ĐỒNG THỜI CẢ ĐẤT VÀ TÀI SẢN  RIÊNG LẺ - ĐỐI VỚI TỔ CHỨC</t>
  </si>
  <si>
    <t>Mức lương cơ sở</t>
  </si>
  <si>
    <t>Mức lương cơ sở:</t>
  </si>
  <si>
    <t>Gỗ cốt pha dày 3 cm</t>
  </si>
  <si>
    <t>Đinh</t>
  </si>
  <si>
    <t>Sắt 10</t>
  </si>
  <si>
    <t>Búa đập đá, đóng cọc</t>
  </si>
  <si>
    <t>Bút kẻ thẳng</t>
  </si>
  <si>
    <t>Compa vòng tròn nhỏ</t>
  </si>
  <si>
    <t>Thước thép 30 m</t>
  </si>
  <si>
    <t>Kẹp sắt</t>
  </si>
  <si>
    <t>Mia</t>
  </si>
  <si>
    <t>Pin khô</t>
  </si>
  <si>
    <t>Đồng hồ báo thức</t>
  </si>
  <si>
    <t>Bút xoay đơn</t>
  </si>
  <si>
    <t>Thước bẹt nhựa 60 cm</t>
  </si>
  <si>
    <t>Cọc gỗ 4x30 cm +đinh 3cm</t>
  </si>
  <si>
    <t>Giấy can</t>
  </si>
  <si>
    <t>Mét</t>
  </si>
  <si>
    <t>Diamat</t>
  </si>
  <si>
    <t>Giấy gói hàng</t>
  </si>
  <si>
    <t>Tờ</t>
  </si>
  <si>
    <t>Mực màu</t>
  </si>
  <si>
    <t>Tuýp</t>
  </si>
  <si>
    <t>Đinh sắt 10,15cm &amp; đệm</t>
  </si>
  <si>
    <t>Lưu điện</t>
  </si>
  <si>
    <t>Chuột máy tính</t>
  </si>
  <si>
    <t>Đầu ghi CD</t>
  </si>
  <si>
    <t>USB 1GB</t>
  </si>
  <si>
    <t>Mực in Lazer A3</t>
  </si>
  <si>
    <t>Danh mục dụng cụ</t>
  </si>
  <si>
    <t>Phụ cấp khu vực      0,1</t>
  </si>
  <si>
    <t>Đơn giá sản phẩm</t>
  </si>
  <si>
    <t>Phụ cấp  khu vực      0,1</t>
  </si>
  <si>
    <t>Đơn giá  sản phẩm</t>
  </si>
  <si>
    <t>BẢNG GIÁ DỤNG CỤ VÀ ĐƠN GIÁ CA MÁY</t>
  </si>
  <si>
    <r>
      <t>Máy toàn đạc điện tử (ĐCX</t>
    </r>
    <r>
      <rPr>
        <sz val="10"/>
        <color indexed="8"/>
        <rFont val="Times New Roman"/>
        <family val="1"/>
      </rPr>
      <t xml:space="preserve"> </t>
    </r>
    <r>
      <rPr>
        <sz val="10"/>
        <color indexed="8"/>
        <rFont val="Symbol"/>
        <family val="1"/>
        <charset val="2"/>
      </rPr>
      <t>³ 5</t>
    </r>
    <r>
      <rPr>
        <sz val="10"/>
        <color indexed="8"/>
        <rFont val="Arial"/>
        <family val="2"/>
      </rPr>
      <t>')</t>
    </r>
  </si>
  <si>
    <t>Máy toàn đạc điện tử (ĐCX &lt; 5')</t>
  </si>
  <si>
    <t>Bảng thống kê hiện trạng đo đạc địa chính</t>
  </si>
  <si>
    <t xml:space="preserve">Bút bi </t>
  </si>
  <si>
    <t xml:space="preserve">Bút đánh dấu </t>
  </si>
  <si>
    <t xml:space="preserve">Bút xóa </t>
  </si>
  <si>
    <t>Nhập thông tin về nghĩa vụ tài chính, đăng ký vào hồ sơ địa chính</t>
  </si>
  <si>
    <t>Hợp đồng</t>
  </si>
  <si>
    <t>In GCN</t>
  </si>
  <si>
    <t>10.1</t>
  </si>
  <si>
    <t>Trực tiếp từ cơ sở dữ liệu dạng số</t>
  </si>
  <si>
    <t>10.2</t>
  </si>
  <si>
    <t>Đối với những nơi chưa có bản đồ dạng số</t>
  </si>
  <si>
    <t>Lập và gửi hồ sơ trình ký GCN, lập hồ sơ theo dõi việc gửi tài liệu</t>
  </si>
  <si>
    <t>Nhận lại hồ sơ, GCN, hợp đồng thuê đất; lập và sao sổ cấp GCN; gửi tài liệu về cấp tỉnh để lập hồ sơ địa chính</t>
  </si>
  <si>
    <t>Nhập bổ sung thông tin dữ liệu về GCN</t>
  </si>
  <si>
    <t>Quét giấy tờ pháp lý và xử lý tập tin</t>
  </si>
  <si>
    <t xml:space="preserve"> - Trường hợp đăng ký biến động đất đai mà thực hiện cấp mới GCN thì áp dụng mức vật liệu của bảng trên. Trường hợp đăng ký biến động đất đai mà không thực hiện cấp mới GCN thì được tính bằng 0,6 lần mức vật liệu của bảng trên và không được tính vật liệu là mẫu trích lục bản đồ và GCN, trừ trường hợp biến động có thay đổi diện tích mà cần phải trích lục bản đồ</t>
  </si>
  <si>
    <t>- Trường hợp đăng ký biến động đất đai mà thực hiện cấp mới GCN thì áp dụng mức vật liệu của bảng trên. Trường hợp đăng ký biến động đất đai mà không thực hiện cấp mới GCN thì được tính bằng 0,6 lần mức vật liệu của bảng trên và không được tính vật liệu là mẫu trích lục bản đồ và GCN, trừ trường hợp biến động có thay đổi diện tích mà cần phải trích lục bản đồ</t>
  </si>
  <si>
    <t>Trường hợp trích lục hồ sơ cho 01 khu đất (gồm nhiều thửa) mức áp dụng như sau:
- Dưới 05 thửa: Mức cho một thửa tính bằng 0,80 mức quy định tại Bảng 100.
- Từ 05 thửa đến 10 thửa: Mức cho một thửa tính bằng 0,65 mức quy định
tại Bảng 100.
- Trên 10 thửa: Mức cho một thửa tính bằng 0,50 mức quy định tại Bảng 100</t>
  </si>
  <si>
    <t xml:space="preserve">  - Mức dụng cụ được tính chung cho các loại khó khăn.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</si>
  <si>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</si>
  <si>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IX- ĐĂNG KÝ, CẤP ĐỔI, CẤP LẠI GIẤY CHỨNG NHẬN RIÊNG LẺ ĐỐI VỚI TỔ CHỨC</t>
  </si>
  <si>
    <t xml:space="preserve"> - Trường hợp đăng ký biến động đất đai mà thực hiện cấp mới GCN thì áp dụng mức dụng cụ của bảng trên. Trường hợp đăng ký biến động đất đai mà không thực hiện cấp mới GCN thì được tính bằng 0,6 lần mức dụng cụ của bảng trên</t>
  </si>
  <si>
    <t xml:space="preserve"> - Mức dụng cụ được tính chung cho các loại khó khăn</t>
  </si>
  <si>
    <t>3- Đối với các hồ sơ không đủ điều kiện cấp GCN thì được tính định mức đối với Mục 1, 2, 3, 4, 5, 6, 7, 8, 9 các nội dung thực hiện tại địa bàn xã, thị trấn; Mục 1, 2, 3, 4, 8, 12, 14, 16 các nội dung thực hiện tại địa bàn cấp huyện; Mục 1, 2, 3 các nội dung thực hiện tại địa bàn cấp tỉnh</t>
  </si>
  <si>
    <t>4- Trường hợp có kê khai đăng ký nhưng không thuộc trường hợp phải cấp GCN thì đơn giá được tính bằng 50% mức đơn giá đối với trường hợp cấp GCN. Trường hợp có kê khai đăng ký, nhưng người sử dụng đất không có nhu cầu cấp GCN hoặc sau khi xét duyệt không đủ điều kiện được cấp GCN thì đơn giá được tính bằng 90% mức đơn giá đối với trường hợp cấp GCN (không bao gồm chi phí vật liệu).</t>
  </si>
  <si>
    <t xml:space="preserve">5- Trường hợp người sử dụng đất đã đăng ký đất đai theo quy định của pháp luật mà có nhu cầu cấp GCN thì được tính định mức đối với Mục 2, 3, 10, 11 các nội dung thực hiện tại địa bàn xã, thị trấn; Mục 1, 2, 6, 7, 8, 9, 10, 11, 12, 13,14, 15, 16 các nội dung thực hiện tại địa bàn cấp huyện; Mục 1, 2, 3 các nội dung thực hiện tại địa bàn cấp tỉnh </t>
  </si>
  <si>
    <t>Tổ chức phổ biến, tuyên truyền chủ trương, chính sách về đăng ký, cấp đổi GCN</t>
  </si>
  <si>
    <t>Hướng dẫn lập hồ sơ đề nghị đăng ký, cấp đổi GCN</t>
  </si>
  <si>
    <t>Kiểm tra xác định trường hợp biến động ranh giới thửa đất, hiện trạng sử dụng đất, tài sản gắn liền với đất (nếu có)</t>
  </si>
  <si>
    <t>Xác nhận vào đơn đề nghị đăng ký cấp đổi GCN với trường hợp biến động ranh giới thửa đất, hiện trạng sử dụng đất, tài sản gắn liền với đất (nếu có)</t>
  </si>
  <si>
    <t>Kiểm tra hồ sơ đề nghị đăng ký, cấp đổi GCN và xác nhận vào đơn, căn cứ pháp lý</t>
  </si>
  <si>
    <t>Lập (xuất) phiếu và chuyển thông tin địa chính đến cơ quan thuế để xác định nghĩa vụ tài chính (nếu có), nhận thông báo nghĩa vụ tài chính</t>
  </si>
  <si>
    <t>Chuyển thông tin nghĩa vụ tài chính để người sử dụng đất thực hiện nghĩa vụ tài chính (nếu có) và nhận lại hóa đơn nghĩa vụ tài chính đã thực hiện</t>
  </si>
  <si>
    <t>Nhận lại hồ sơ, GCN, hợp đồng thuê đất (nếu có); lập và sao sổ cấp GCN; gửi cho cơ quan quản lý tài sản</t>
  </si>
  <si>
    <t>Thông báo danh sách các trường hợp làm thủ tục cấp đổi GCN cho tổ chức tín dụng nơi nhận thế chấp quyền sử dụng đất, tài sản gắn liền với đất; xác nhận việc đăng ký thế chấp vào GCN sau khi được cơ quan có thẩm quyền ký cấp đổi</t>
  </si>
  <si>
    <t>Văn phòng đăng ký đất đai nhận lại GCN cũ đang thế chấp từ tổ chức tín dụng và trao GCN mới</t>
  </si>
  <si>
    <t>13.1</t>
  </si>
  <si>
    <t>13.1.1</t>
  </si>
  <si>
    <t>13.1.2</t>
  </si>
  <si>
    <t>13.2</t>
  </si>
  <si>
    <t>13.3</t>
  </si>
  <si>
    <t>Nhận hồ sơ địa chính từ cấp tỉnh và gửi về xã, thị trấn (01 bộ)</t>
  </si>
  <si>
    <t>Bộ/xã , thị trấn</t>
  </si>
  <si>
    <t>Sao Sổ địa chính, Sổ mục kê</t>
  </si>
  <si>
    <t>Bàn giao HSĐC cho cấp huyện/ xã, thị trấn để quản lý và khai thác sử dụng</t>
  </si>
  <si>
    <t xml:space="preserve"> - Trường hợp đăng ký nhưng không thuộc trường hợp phải cấp GCN thì được tính mức bằng 50% mức quy định tại bảng trên. Trường hợp đăng ký nhưng không có nhu cầu cấp GCN hoặc không đủ điều kiện được cấp GCN thì được tính mức bằng 90% mức quy định tại bảng trên.</t>
  </si>
  <si>
    <t>- Trường hợp nhiều thửa đất nông nghiệp được cấp chung trong một GCN thì ngoài mức được tính ở trên cứ mỗi thửa đất tăng thêm được tính thêm 0,30 lần định mức cho các nội dung thực hiện tại địa bàn phường và các nội dung thực hiện tại địa bàn cấp huyện.</t>
  </si>
  <si>
    <t xml:space="preserve"> - Định mức thiết bị được tính chung cho các loại khó khăn,</t>
  </si>
  <si>
    <t xml:space="preserve"> - Định mức thiết bị trên áp dụng cho trường hợp đăng ký đất hoặc trường hợp đăng ký tài sản; trường hợp đăng ký cả đất và tài sản thì mức thiết bị được tính bằng hệ số là 1,3 mức thiết bị ở bảng trên</t>
  </si>
  <si>
    <t xml:space="preserve"> -  Định mức thiết bị được tính chung cho các loại khó khăn,</t>
  </si>
  <si>
    <t>4.1</t>
  </si>
  <si>
    <t>4.2</t>
  </si>
  <si>
    <t xml:space="preserve">ĐĂNG KÝ, CẤP ĐỔI GIẤY CHỨNG NHẬN QSD ĐẤT ĐỒNG LOẠT TẠI XÃ, THỊ TRẤN (Mức tăng thêm cho 01 thửa trường hợp cấp đổi đồng loạt nhiều thửa đất nông nghiệp trên 01 GCN) </t>
  </si>
  <si>
    <t>ĐĂNG KÝ, CẤP ĐỔI GIẤY CHỨNG NHẬN QSD ĐẤTĐỒNG LOẠT TẠI PHƯỜNG (Mức tăng thêm cho 01 thửa trong trường hợp cấp đổi đồng loạt nhiều thửa đất nông nghiệp trên 01 GCN)</t>
  </si>
  <si>
    <t xml:space="preserve">TỔNG HỢP ĐƠN GIÁ SẢN PHẨM ĐĂNG KÝ, CẤP ĐỔI GIẤY CHỨNG NHẬN ĐỒNG LOẠT TẠI XÃ, THỊ TRẤN (mức kinh phí tăng thêm cho 01 thửa trong trường hợp cấp nhiều thửa đất nông nghiệp trên 01 GCN) </t>
  </si>
  <si>
    <t>TỔNG HỢP ĐƠN GIÁ SẢN PHẨM ĐĂNG KÝ, CẤP ĐỔI, CẤP LẠI GIẤY CHỨNG NHẬN RIÊNG LẺ - ĐỐI VỚI HỘ GIA ĐÌNH CÁ NHÂN</t>
  </si>
  <si>
    <t xml:space="preserve"> ĐĂNG KÝ, CẤP ĐỔI, CẤP LẠI GIẤY CHỨNG NHẬN QSD ĐẤT RIÊNG LẺ - ĐỐI VỚI HỘ GIA ĐÌNH CÁ NHÂN</t>
  </si>
  <si>
    <t xml:space="preserve"> ĐĂNG KÝ, CẤP ĐỔI, CẤP LẠI GIẤY CHỨNG NHẬN QSD TÀI SẢN  RIÊNG LẺ - ĐỐI VỚI HỘ GIA ĐÌNH CÁ NHÂN</t>
  </si>
  <si>
    <t>ĐĂNG KÝ, CẤP ĐỔI, CẤP LẠI GIẤY CHỨNG NHẬN ĐỒNG THỜI CẢ ĐẤT VÀ TÀI SẢN, THỰC HIỆN RIÊNG LẺ -ĐỐI VỚI HỘ GIA ĐÌNH CÁ NHÂN</t>
  </si>
  <si>
    <t>VIII.2- ĐĂNG KÝ, CẤP ĐỔI, CẤP LẠI GIẤY CHỨNG NHẬN RIÊNGTÀI SẢN ĐỐI VỚI TỔ CHỨC (bảng 13)</t>
  </si>
  <si>
    <t>VIII.3- ĐĂNG KÝ, CẤP ĐỔI, CẤP LẠI GIẤY CHỨNG NHẬN RIÊNG THỜI ĐẤT VÀ TÀI SẢN ĐỐI VỚI TỔ CHỨC (bảng 13)</t>
  </si>
  <si>
    <t xml:space="preserve"> ĐĂNG KÝ, CẤP ĐỔI, CẤP LẠI GIẤY CHỨNG NHẬN QSD ĐẤT RIÊNG LẺ - ĐỐI VỚI TỔ CHỨC</t>
  </si>
  <si>
    <t>TỔNG HỢP ĐƠN GIÁ SẢN PHẨM ĐĂNG KÝ, CẤP ĐỔI, CẤP LẠI GIẤY CHỨNG NHẬN QSD ĐẤT RIÊNG LẺ - ĐỐI VỚI TỔ CHỨC</t>
  </si>
  <si>
    <t xml:space="preserve"> ĐĂNG KÝ, CẤP ĐỔI, CẤP LẠI GIẤY CHỨNG NHẬN QSD TÀI SẢN RIÊNG LẺ - ĐỐI VỚI TỔ CHỨC</t>
  </si>
  <si>
    <t xml:space="preserve"> ĐĂNG KÝ, CẤP ĐỔI, CẤP LẠI GIẤY CHỨNG NHẬN QSD ĐỒNG THỜI CẢ ĐẤT VÀ TÀI SẢN RIÊNG LẺ - ĐỐI VỚI TỔ CHỨC</t>
  </si>
  <si>
    <t>X- TRÍCH LỤC HỒ SƠ ĐỊA CHÍNH (bảng 18)</t>
  </si>
  <si>
    <t>Văn phòng ĐKQSD đất cấp huyện</t>
  </si>
  <si>
    <t>Đm</t>
  </si>
  <si>
    <t xml:space="preserve"> Mực máy Photocopy A3 </t>
  </si>
  <si>
    <t xml:space="preserve"> Chiếc </t>
  </si>
  <si>
    <t xml:space="preserve"> Bìa sổ A3 (2 tờ/sổ = cặp) </t>
  </si>
  <si>
    <t xml:space="preserve"> Giấy in bản đồ A0 (120 gram/m2) </t>
  </si>
  <si>
    <t xml:space="preserve"> Cộng vật liệu chính (A) </t>
  </si>
  <si>
    <t xml:space="preserve"> VL phụ + hao hụt (B=8%A) </t>
  </si>
  <si>
    <t>Niêm yết công khai kết quả kiểm tra hồ sơ đề nghị đăng ký, cấp GCN</t>
  </si>
  <si>
    <t>Hoàn thiện hồ sơ sau niêm yết và chuyển về cấp huyện</t>
  </si>
  <si>
    <t>Nhận thông báo, chuyển thông báo nghĩa vụ tài chính cho người sử dụng đất (sau khi cấp huyện xác định nghĩa vụ tài chính và gửi cho cấp xã, thị trấn để thông báo cho người sử dụng đất)</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</si>
  <si>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</si>
  <si>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</si>
  <si>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tại địa bàn cấp huyện (mức này được áp dụng chung cho các trường hợp lập hợp đồng cho thuê đất).</t>
  </si>
  <si>
    <t xml:space="preserve">  - Đối với xã, thị trấn xây dựng cơ sở dữ liệu địa chính thì trong công việc đăng ký, cấp đổi GCN không được tính mức dụng cụ tại địa bàn cấp tỉnh quy định tại 2 bảng trên.</t>
  </si>
  <si>
    <t xml:space="preserve">  - Trường hợp nhiều thửa đất nông nghiệp được cấp chung trong một GCN thì ngoài mức được tính ở trên cứ mỗi thửa đất tăng thêm được tính bằng 0,20 đối với các nội dung thực hiện tại địa bàn xã, thị trấn và 0,30 đối với các nội dung thực hiện tại địa bàn cấp huyện.</t>
  </si>
  <si>
    <t xml:space="preserve">  - Trường hợp đăng ký nhưng không có nhu cầu đổi GCN hoặc không đủ điều kiện cấp đổi GCN thì được tính mức bằng 90% mức quy định tại 2 bảng trên.</t>
  </si>
  <si>
    <t>Cộng thành tiền (đ/phường)</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</si>
  <si>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</si>
  <si>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tại địa bàn cấp huyện.</t>
  </si>
  <si>
    <t xml:space="preserve"> - Đối với phường xây dựng cơ sở dữ liệu địa chính thì trong công việc đăng ký, cấp đổi GCN không được tính mức dụng cụ tại địa bàn cấp tỉnh quy định tại 2 bảng trên</t>
  </si>
  <si>
    <t xml:space="preserve"> - Trường hợp nhiều thửa đất nông nghiệp được cấp chung trong một GCN thì ngoài mức được tính ở trên cứ mỗi thửa đất tăng thêm được tính thêm 0,20 lần định mức tại địa bàn cấp huyện.</t>
  </si>
  <si>
    <t xml:space="preserve"> - Trường hợp đăng ký nhưng không có nhu cầu đổi GCN hoặc không đủ điều kiện cấp đổi GCN thì được tính mức bằng 90% mức quy định tại 2 bảng trên</t>
  </si>
  <si>
    <t>Trường hợp trích lục hồ sơ cho 01 khu đất (gồm nhiều thửa) mức áp dụng như sau:
- Dưới 05 thửa: Mức cho một thửa tính bằng 0,80 mức quy định tại bảng trên.
- Từ 05 thửa đến 10 thửa: Mức cho một thửa tính bằng 0,65 mức quy định tại bảng trên
- Trên 10 thửa: Mức cho một thửa tính bằng 0,50 mức quy định tại bảng trên</t>
  </si>
  <si>
    <t>Cấp xã, thị trấn</t>
  </si>
  <si>
    <t xml:space="preserve"> - Mức dụng cụ được tính chung cho các loại khó khăn.</t>
  </si>
  <si>
    <t>II- ĐĂNG KÝ, CẤP GIẤY CHỨNG NHẬN LẦN ĐẦU ĐỒNG LOẠT ĐỐI VỚI HỘ GIA ĐÌNH, CÁ NHÂN Ở PHƯỜNG</t>
  </si>
  <si>
    <t>Nhận các ý kiến góp ý, xem xét các ý kiến góp ý, trả lời ý kiến góp ý</t>
  </si>
  <si>
    <t>- Định mức vật liệu trên áp dụng cho các trường hợp đăng ký đất hoặc đăng ký tài sản hoặc đăng ký cả đất và tài sản.</t>
  </si>
  <si>
    <t>- Định mức vật liệu trên tính cho trường hợp đăng ký đất hoặc trường hợp đăng ký đồng thời cả đất và tài sản.</t>
  </si>
  <si>
    <t>- Đối với xã, thị trấn xây dựng cơ sở dữ liệu địa chính thì trong công việc đăng ký, cấp đổi GCN không được tính mức vật liệu tại địa bàn cấp tỉnh quy định tại bảng trên.</t>
  </si>
  <si>
    <t>II- ĐĂNG KÝ, CẤP GIẤY CHỨNG NHẬN LẦN ĐẦU ĐỒNG LOẠT ĐỐI VỚI HỘ GIA ĐÌNH, CÁ NHÂN Ở PHƯỜNG (Bảng 68)</t>
  </si>
  <si>
    <t>III,1- ĐĂNG KÝ, CẤP GIẤY CHỨNG NHẬN LẦN ĐẦU ĐƠN LẺ TỪNG HỘ GIA ĐÌNH, CÁ NHÂN TRƯỜNG HỢP NỘP TẠI XÃ (Bảng 72)</t>
  </si>
  <si>
    <t>IV- ĐĂNG KÝ, CẤP GIẤY CHỨNG NHẬN LẦN ĐẦU ĐỐI VỚI TỔ CHỨC (Bảng 75)</t>
  </si>
  <si>
    <t>V- ĐĂNG KÝ, CẤP ĐỔI GIẤY CHỨNG NHẬN ĐỒNG LOẠT TẠI XÃ, THỊ TRẤN (Bảng 78)</t>
  </si>
  <si>
    <t>VI- ĐĂNG KÝ, CẤP ĐỔI GIẤY CHỨNG NHẬN ĐỒNG LOẠT TẠI PHƯỜNG (Bảng 82)</t>
  </si>
  <si>
    <t>VII- ĐĂNG KÝ, CẤP ĐỔI, CẤP LẠI GIẤY CHỨNG NHẬN RIÊNG LẺ ĐỐI VỚI HỘ GIA ĐÌNH CÁ NHÂN (Bảng 86)</t>
  </si>
  <si>
    <r>
      <t xml:space="preserve">IX- ĐĂNG KÝ, CẤP ĐỔI, CẤP LẠI GIẤY CHỨNG NHẬN RIÊNG LẺ ĐỐI VỚI TỔ CHỨC </t>
    </r>
    <r>
      <rPr>
        <sz val="11"/>
        <rFont val="Arial"/>
        <family val="2"/>
      </rPr>
      <t>(Bảng 89)</t>
    </r>
  </si>
  <si>
    <t>IX.1- ĐĂNG KÝ BIẾN ĐỘNG ĐỐI VỚI HỘ GIA ĐÌNH, CÁ NHÂN - TRƯỜNG HỢP NỘP HỒ SƠ TẠI XÃ (Bảng 92)</t>
  </si>
  <si>
    <t>XI.2- ĐĂNG KÝ BIẾN ĐỘNG ĐỐI VỚI HỘ GIA ĐÌNH, CÁ NHÂN - TRƯỜNG HỢP NỘP HỒ SƠ TẠI VĂN PHÒNG ĐĂNG KÝ CẤP HUYỆN (Bảng 92)</t>
  </si>
  <si>
    <t>XII- ĐĂNG KÝ BIẾN ĐỘNG ĐỐI VỚI TỔ CHỨC (Bảng 95)</t>
  </si>
  <si>
    <t>VII- ĐĂNG KÝ, CẤP ĐỔI, CẤP LẠI GIẤY CHỨNG NHẬN RIÊNG LẺ ĐỐI VỚI HỘ GIA ĐÌNH, CÁ NHÂN (Bảng 87)</t>
  </si>
  <si>
    <t>VIII- ĐĂNG KÝ, CẤP ĐỔI, CẤP LẠI GIẤY CHỨNG NHẬN RIÊNG LẺ ĐỐI VỚI TỔ CHỨC(Bảng 90)</t>
  </si>
  <si>
    <t>IX.1- ĐĂNG KÝ BIẾN ĐỘNG ĐỐI VỚI HỘ GIA ĐÌNH, CÁ NHÂN - TRƯỜNG HỢP NỘP HỒ SƠ TẠI XÃ (Bảng 93)</t>
  </si>
  <si>
    <t>IX.2- ĐĂNG KÝ BIẾN ĐỘNG ĐỐI VỚI HỘ GIA ĐÌNH, CÁ NHÂN - TRƯỜNG HỢP NỘP HỒ SƠ TẠI VĂN PHÒNG ĐĂNG KÝ CẤP HUYỆN (Bảng 93)</t>
  </si>
  <si>
    <t>X- ĐĂNG KÝ BIẾN ĐỘNG ĐỐI VỚI TỔ CHỨC (Bảng 96)</t>
  </si>
  <si>
    <t xml:space="preserve">CHƯA THẤY </t>
  </si>
  <si>
    <t>1-3</t>
  </si>
  <si>
    <t>6</t>
  </si>
  <si>
    <t>7</t>
  </si>
  <si>
    <t>8</t>
  </si>
  <si>
    <t>8.1</t>
  </si>
  <si>
    <t>8.2</t>
  </si>
  <si>
    <t>9</t>
  </si>
  <si>
    <t>10</t>
  </si>
  <si>
    <t>11</t>
  </si>
  <si>
    <t>12</t>
  </si>
  <si>
    <t>13</t>
  </si>
  <si>
    <t>Nội dung công việc</t>
  </si>
  <si>
    <t>Loại KK</t>
  </si>
  <si>
    <t>Thành tiền            (đồng)</t>
  </si>
  <si>
    <t>Đồng hồ treo tường</t>
  </si>
  <si>
    <t>Cái</t>
  </si>
  <si>
    <t>Ghế tựa</t>
  </si>
  <si>
    <t>Bàn làm việc</t>
  </si>
  <si>
    <t>Tủ tài liệu</t>
  </si>
  <si>
    <t>Thước nhựa 30 cm</t>
  </si>
  <si>
    <t>Máy tính tay</t>
  </si>
  <si>
    <t>Bàn đục lỗ</t>
  </si>
  <si>
    <t>Bàn dập ghim bé</t>
  </si>
  <si>
    <t>Bàn dập ghim to</t>
  </si>
  <si>
    <t>Kéo cắt giấy</t>
  </si>
  <si>
    <t>áo blu</t>
  </si>
  <si>
    <t>Dép xốp</t>
  </si>
  <si>
    <t>III.2- ĐĂNG KÝ, CẤP GIẤY CHỨNG NHẬN LẦN ĐẦU ĐƠN LẺ TỪNG HỘ GIA ĐÌNH, CÁ NHÂN - TRƯỜNG HỢP NỘP HỒ SƠ TẠI VPĐK CẤP HUYỆN (Bảng 74)</t>
  </si>
  <si>
    <t>V- ĐĂNG KÝ, CẤP GIẤY CHỨNG NHẬN LẦN ĐẦU ĐỐI VỚI TỔ CHỨC (Bảng 77)</t>
  </si>
  <si>
    <t>V- ĐĂNG KÝ, CẤP ĐỔI GIẤY CHỨNG NHẬN ĐỒNG LOẠT TẠI XÃ, THỊ TRẤN (Bảng 81)</t>
  </si>
  <si>
    <t>VI- ĐĂNG KÝ, CẤP ĐỔI GIẤY CHỨNG NHẬN ĐỒNG LOẠT TẠI PHƯỜNG(Bảng 85)</t>
  </si>
  <si>
    <t>VII- ĐĂNG KÝ, CẤP ĐỔI, CẤP LẠI GIẤY CHỨNG NHẬN RIÊNG LẺ HỘ GIA ĐÌNH CÁ NHÂN (Bảng 88)</t>
  </si>
  <si>
    <t>IX- ĐĂNG KÝ, CẤP ĐỔI, CẤP LẠI GIẤY CHỨNG NHẬN RIÊNG LẺ ĐỐI VỚI TỔ CHỨC (Bảng 91)</t>
  </si>
  <si>
    <t>IX.1- ĐĂNG KÝ BIẾN ĐỘNG ĐỐI VỚI HỘ GIA ĐÌNH, CÁ NHÂN - TRƯỜNG HỢP NỘP HỒ SƠ TẠI XÃ, THỊ TRẤN (Bảng 94)</t>
  </si>
  <si>
    <t>XI.2- ĐĂNG KÝ BIẾN ĐỘNG ĐỐI VỚI HỘ GIA ĐÌNH, CÁ NHÂN - TRƯỜNG HỢP NỘP HỒ SƠ TẠI VĂN PHÒNG ĐĂNG KÝ CẤP HUYỆN (Bảng 94)</t>
  </si>
  <si>
    <t>X- ĐĂNG KÝ BIẾN ĐỘNG ĐỐI VỚI TỔ CHỨC (Bảng 97)</t>
  </si>
  <si>
    <t>CHƯA THẤY</t>
  </si>
  <si>
    <t>I- ĐĂNG KÝ, CẤP GIẤY CHỨNG NHẬN LẦN ĐẦU ĐỒNG LOẠT ĐỐI VỚI HỘ GIA ĐÌNH, CÁ NHÂN Ở XÃ, THỊ TRẤN (Bảng 66)</t>
  </si>
  <si>
    <t>Cộng thành tiền (đồng/xã)</t>
  </si>
  <si>
    <t>Cộng thành tiền (đồng/hồ sơ)</t>
  </si>
  <si>
    <t xml:space="preserve">  - Mức dụng cụ được tính chung cho các loại khó khăn.
</t>
  </si>
  <si>
    <t>Hệ số mức do thời tiết cho công tác ngoại nghiệp</t>
  </si>
  <si>
    <t>Hệ số mức do thời tiết cho công tác nội nghiệp</t>
  </si>
  <si>
    <t>(Không phân loại khó khăn)</t>
  </si>
  <si>
    <t>Đơn vị tính: đồng</t>
  </si>
  <si>
    <t>TRÍCH LỤC HỒ SƠ ĐỊA CHÍNH (TÍNH CHO HỒ SƠ CHỈ CÓ 01 THỬA ĐẤT)</t>
  </si>
  <si>
    <t>CHI PHÍ NHÂN CÔNG ĐĂNG KÝ ĐẤT ĐAI, TÀI SẢN GẮN LIỀN VỚI ĐẤT;
LẬP, CHỈNH LÝ, CẬP NHẬT HỒ SƠ ĐỊA CHÍNH; CẤP GIẤY CHỨNG NHẬN</t>
  </si>
  <si>
    <r>
      <t xml:space="preserve">Ghi chú: </t>
    </r>
    <r>
      <rPr>
        <sz val="10"/>
        <rFont val="Arial"/>
        <family val="2"/>
        <charset val="163"/>
      </rPr>
      <t>Định mức tính cho 1 hồ sơ</t>
    </r>
  </si>
  <si>
    <t>Thời hạn
sử dụng
(năm)</t>
  </si>
  <si>
    <t>Danh mục
máy móc thiết bị</t>
  </si>
  <si>
    <t>Đơn vị
tính</t>
  </si>
  <si>
    <t>Đơn giá
thiết bị
(đồng)</t>
  </si>
  <si>
    <t>Đơn giá
ca máy
(đồng/ca)</t>
  </si>
  <si>
    <t>Đơn giá
(đồng)</t>
  </si>
  <si>
    <t>Thời hạn
sử dụng
(tháng)</t>
  </si>
  <si>
    <t>Đơn giá
dụng cụ
(đồng)</t>
  </si>
  <si>
    <t>BẢNG ĐƠN GIÁ LƯƠNG NGÀY ĐO ĐẠC BẢN ĐỒ VÀ QUẢN LÝ ĐẤT ĐAI</t>
  </si>
  <si>
    <t>(Căn cứ Nghị định số 204/2004/NĐ-CP ngày 14/12/2004 của Chính phủ về chế độ tiền lương đối với cán bộ, công chức, viên chức và lực lượng vũ trang)</t>
  </si>
  <si>
    <t>Máy điều hòa công suất 1,1 kw</t>
  </si>
  <si>
    <t>Máy điều hòa công suất 2,2 kw</t>
  </si>
  <si>
    <t>Máy quét (Scan) A4</t>
  </si>
  <si>
    <t>ThiÕt bÞ nèi m¹ng</t>
  </si>
  <si>
    <t>Cộng             thành tiền (đồng/hồ sơ)</t>
  </si>
  <si>
    <t xml:space="preserve">Định mức (Kw)  </t>
  </si>
  <si>
    <t>Thành tiền (đồng)</t>
  </si>
  <si>
    <t>Đơn giá       (đồng/kw)</t>
  </si>
  <si>
    <t>Đơn giá          (đ/kw)</t>
  </si>
  <si>
    <t xml:space="preserve">Định mức (Ca/thửa)  </t>
  </si>
  <si>
    <t>Thành tiền (đ/thửa)</t>
  </si>
  <si>
    <t>ĐƠN GIÁ SẢN PHẨM TRÍCH ĐO ĐỊA CHÍNH THỬA ĐẤT - KHU VỰC NÔNG THÔN</t>
  </si>
  <si>
    <t>Máy ổn áp dùng chung 10 KVA</t>
  </si>
  <si>
    <t>BHXH -BH TNLĐ - BNN-  BHYT - BH thất nghiệp - KPCĐ</t>
  </si>
  <si>
    <t>BHXH, BH TNLĐ -BNN, BHYT,
KPCĐ, BHTN
(23,5%)</t>
  </si>
  <si>
    <t>Chuẩn bị hợp đồng cho thuê đất (nếu có)</t>
  </si>
  <si>
    <t>Hồ sơ</t>
  </si>
  <si>
    <t>Đơn vị tính: đồng/hồ sơ</t>
  </si>
  <si>
    <t>Đơn vị        tính</t>
  </si>
  <si>
    <t>Loại     KK</t>
  </si>
  <si>
    <t>Cộng                       thành tiền (đồng/hồ sơ)</t>
  </si>
  <si>
    <t>Cộng                     thành tiền (đồng/hồ sơ)</t>
  </si>
  <si>
    <t>Cộng                             thành tiền (đồng/hồ sơ)</t>
  </si>
  <si>
    <t>đồng/hồ sơ</t>
  </si>
  <si>
    <t>Cộng         thành tiền (đồng/hồ sơ)</t>
  </si>
  <si>
    <t>Cộng           thành tiền (đồng/hồ sơ)</t>
  </si>
  <si>
    <t>Cộng            thành tiền (đồng/hồ sơ)</t>
  </si>
  <si>
    <t xml:space="preserve">Công việc </t>
  </si>
  <si>
    <t>Đơn vị      tính</t>
  </si>
  <si>
    <t>Quy mô           diện tích          thửa đất         (m2)</t>
  </si>
  <si>
    <t>Chi phí chung    25% Ng.N 20% NN</t>
  </si>
  <si>
    <t xml:space="preserve">Đơn giá    sản phẩm </t>
  </si>
  <si>
    <t>Phụ cấp    khu vực      0,1</t>
  </si>
  <si>
    <t>PCKV 0,1</t>
  </si>
  <si>
    <t>ĐMức</t>
  </si>
  <si>
    <t>(CPTT)</t>
  </si>
  <si>
    <t>(CP chung)</t>
  </si>
  <si>
    <t>công</t>
  </si>
  <si>
    <t>LĐKT</t>
  </si>
  <si>
    <t>LĐPT</t>
  </si>
  <si>
    <t>PCKV</t>
  </si>
  <si>
    <t>Công cụ</t>
  </si>
  <si>
    <t>Năng lượng</t>
  </si>
  <si>
    <t>Cộng</t>
  </si>
  <si>
    <t>Nội Nghiệp</t>
  </si>
  <si>
    <t>&lt; 100</t>
  </si>
  <si>
    <t>100 ÷ 300</t>
  </si>
  <si>
    <t xml:space="preserve"> ĐĂNG KÝ, CẤP GIẤY CHỨNG NHẬN QUYỀN SỞ HỮU TÀI SẢN LẦN ĐẦU ĐỐI VỚI TỔ CHỨC</t>
  </si>
  <si>
    <t xml:space="preserve"> ĐĂNG KÝ, CẤP GIẤY CHỨNG NHẬN QUYỀN SỬ DỤNG ĐẤT LẦN ĐẦU ĐỐI VỚI TỔ CHỨC</t>
  </si>
  <si>
    <t>ĐĂNG KÝ, CẤP GIẤY CHỨNG NHẬN LẦN ĐẦU ĐỒNG THỜI CẢ ĐẤT VÀ TÀI SẢN ĐỐI VỚI TỔ CHỨC</t>
  </si>
  <si>
    <t>ĐĂNG KÝ, CẤP ĐỔI GIẤY CHỨNG NHẬN QSD ĐẤT ĐỒNG LOẠT TẠI XÃ, THỊ TRẤN</t>
  </si>
  <si>
    <t>ĐĂNG KÝ BIẾN ĐỘNG VỀ ĐẤT ĐỐI VỚI HỘ GIA ĐÌNH CÁ NHÂN - TRƯỜNG HỢP NỘP HỒ SƠ TẠI VĂN PHÒNG ĐĂNG KÝ QUYỀN SỬ DỤNG ĐẤT CẤP HUYỆN</t>
  </si>
  <si>
    <t xml:space="preserve"> ĐĂNG KÝ BIẾN ĐỘNG VỀ ĐẤT ĐỐI VỚI TỔ CHỨC</t>
  </si>
  <si>
    <t>ĐĂNG KÝ BIẾN ĐỘNG VỀ TÀI SẢN ĐỐI VỚI TỔ CHỨC</t>
  </si>
  <si>
    <t xml:space="preserve"> ĐĂNG KÝ BIẾN ĐỘNG ĐỒNG THỜI CẢ ĐẤT VÀ TÀI SẢN ĐỐI VỚI TỔ CHỨC</t>
  </si>
  <si>
    <t>&gt;300 ÷ 500</t>
  </si>
  <si>
    <t>&gt;500 ÷ 1000</t>
  </si>
  <si>
    <t>&gt;1000 ÷ 3000</t>
  </si>
  <si>
    <t>&gt;3000 ÷ 10000</t>
  </si>
  <si>
    <t xml:space="preserve">Quy mô                   diện tích               thửa đất        </t>
  </si>
  <si>
    <t>&gt;1 ha ÷ 10 ha</t>
  </si>
  <si>
    <t>&gt;10 ha ÷ 50 ha</t>
  </si>
  <si>
    <t>&gt;50 ha ÷ 100 ha</t>
  </si>
  <si>
    <t>&gt;100ha ÷ 500ha</t>
  </si>
  <si>
    <t>&gt;500ha÷1000ha</t>
  </si>
  <si>
    <t>- Đơn giá trên tính cho trường hợp trích đo độc lập. Trường hợp phải đo nối với lưới tọa độ nhà nước thì được tính thêm mức đo lưới khống chế</t>
  </si>
  <si>
    <t>đo vẽ trên nguyên tắc khoảng 5 km đường ranh giới sử dụng đất bố trí một cặp điểm đo bằng công nghệ GPS; mức tính bằng 0,50 mức đo ngắm</t>
  </si>
  <si>
    <t>lưới địa chính bằng công ngệ GPS (bao gồm: lao động, dụng cụ, vật liệu, thiết bị).</t>
  </si>
  <si>
    <t>- Trường hợp trích đo thửa đất có quy mô &gt;1.000 ha thì cứ 1 km đường ranh giới sử dụng đất được tính 0,4 công nhóm (1KTV4+2KTV6).</t>
  </si>
  <si>
    <t>ĐƠN GIÁ SẢN PHẨM TRÍCH ĐO ĐỊA CHÍNH THỬA ĐẤT - KHU VỰC ĐÔ THỊ</t>
  </si>
  <si>
    <t>Quy mô            diện tích                thửa đất           (m2)</t>
  </si>
  <si>
    <t xml:space="preserve">Quy mô                diện tích            thửa đất        </t>
  </si>
  <si>
    <t>Văn phòng ĐKQSD đất                  cấp tỉnh</t>
  </si>
  <si>
    <t>Văn phòng ĐKQSD đất                    cấp tỉnh</t>
  </si>
  <si>
    <t>Văn phòng ĐKQSD đất              cấp tỉnh</t>
  </si>
  <si>
    <t>Cộng                    thành tiền (đồng/xã)</t>
  </si>
  <si>
    <t>II- ĐĂNG KÝ, CẤP GIẤY CHỨNG NHẬN LẦN ĐẦU ĐỒNG LOẠT ĐỐI VỚI HỘ GIA ĐÌNH, CÁ NHÂN Ở PHƯỜNG(Bảng 70)</t>
  </si>
  <si>
    <t>III.1- ĐĂNG KÝ, CẤP GIẤY CHỨNG NHẬN LẦN ĐẦU ĐƠN LẺ TỪNG HỘ GIA ĐÌNH, CÁ NHÂN - TRƯỜNG HỢP NỘP HỒ SƠ TẠI XÃ, THỊ TRẤN(Bảng 73)</t>
  </si>
  <si>
    <t>III.2- ĐĂNG KÝ, CẤP GIẤY CHỨNG NHẬN LẦN ĐẦU ĐƠN LẺ TỪNG HỘ GIA ĐÌNH, CÁ NHÂN - TRƯỜNG HỢP NỘP HỒ SƠ TẠI VPĐK CẤP HUYỆN (Bảng 73)</t>
  </si>
  <si>
    <t>IV- ĐĂNG KÝ, CẤP GIẤY CHỨNG NHẬN LẦN ĐẦU ĐỐI VỚI TỔ CHỨC (Bảng 76)</t>
  </si>
  <si>
    <t>V- ĐĂNG KÝ, CẤP ĐỔI GIẤY CHỨNG NHẬN ĐỒNG LOẠT TẠI XÃ, THỊ TRẤN (Bảng 80)</t>
  </si>
  <si>
    <t>VI- ĐĂNG KÝ, CẤP ĐỔI GIẤY CHỨNG NHẬN ĐỒNG LOẠT TẠI PHƯỜNG (Bảng 84)</t>
  </si>
  <si>
    <t>ĐĂNG KÝ THEO HÌNH THỨC  TRỰC  TUYẾN</t>
  </si>
  <si>
    <t>CHƯA LÀM NHÂN CÔNG CHƯA TÁCH ĐƯỢC NỘP Ở TAIH XÃ HAY VPDK CẤP HUYỆN</t>
  </si>
  <si>
    <t>ĐĂNG KY THEO HÌNH THỨC TRỰC  TIẾP</t>
  </si>
  <si>
    <t>ĐĂNG KY THEO HÌNH THỨC TRỰC  TUYẾN</t>
  </si>
  <si>
    <t>ĐĂNG KÝ, CẤP GIẤY CHỨNG NHẬN TÀI SẢN LẦN ĐẦU ĐƠN LẺ TỪNG HỘ GIA ĐÌNH, CÁ NHÂN - TRƯỜNG HỢP NỘP TẠI XÃ</t>
  </si>
  <si>
    <t xml:space="preserve"> ĐĂNG KÝ, CẤP GIẤY CHỨNG NHẬN LẦN ĐẦU ĐỒNG THỜI CẢ ĐẤT VÀ TÀI SẢN THỰC HIỆN ĐƠN LẺ TỪNG HỘ GIA ĐÌNH, CÁ NHÂN - TRƯỜNG HỢP NỘP TẠI XÃ</t>
  </si>
  <si>
    <t>ĐĂNG KÝ THEO HÌNH THỨC TRỰC TUYÊN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</si>
  <si>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</si>
  <si>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 xml:space="preserve"> - Trường hợp đăng ký biến động đất đai mà thực hiện cấp mới GCN thì áp dụng mức dụng cụ của bảng trên. Trường hợp đăng ký biến động đất đai mà không thực hiện cấp mới GCN thì được tính bằng 0,6 lần mức dụng cụ của bảng trên.</t>
  </si>
  <si>
    <t>Chuyển GCN đã ký về cấp xã, thị trấn để trao cho người sử dụng đất, bản sao sổ cấp GCN, nhận phí, lệ phí cấp GCN, nộp kho bạc</t>
  </si>
  <si>
    <t>Nhận hồ sơ địa chính từ cấp tỉnh và gửi về cấp xã, thị trấn (01 bộ)</t>
  </si>
  <si>
    <t>Bộ/xã, thị trấn</t>
  </si>
  <si>
    <t>CÁC NỘI DUNG THỰC HIỆN TẠI ĐỊA BÀN CẤP TỈNH</t>
  </si>
  <si>
    <t>Hoàn thiện BĐĐC và Sổ mục kê đất đai theo kết quả đăng ký, cấp GCN</t>
  </si>
  <si>
    <t>Bộ/đĩa</t>
  </si>
  <si>
    <t>1KS4</t>
  </si>
  <si>
    <t>Lập, hoàn thiện sổ địa chính điện tử</t>
  </si>
  <si>
    <t>Sao, in ấn hồ sơ địa chính để cung cấp cho xã, thị trấn quản lý và khai thác sử dụng</t>
  </si>
  <si>
    <t>Bản đồ địa chính</t>
  </si>
  <si>
    <t>Sao Sổ địa chính, Sổ mục kê đất đai</t>
  </si>
  <si>
    <t>Bàn giao HSĐC cho cấp huyện/xã, thị trấn để quản lý và khai thác sử dụng</t>
  </si>
  <si>
    <t xml:space="preserve"> -  Định mức trên đây tính đối với việc đăng ký, cấp GCN về quyền sử dụng đất.Trường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 </t>
  </si>
  <si>
    <t xml:space="preserve"> - Đối với phường xây dựng cơ sở dữ liệu địa chính thì trong công việc đăng ký, cấp GCN không được tính mức thiết bị tại địa bàn cấp tỉnh quy định tại bảng trên</t>
  </si>
  <si>
    <t>Nhóm 2</t>
  </si>
  <si>
    <t>Nhóm 3 </t>
  </si>
  <si>
    <t>(1KS3, 1KS2, 1KTV4)</t>
  </si>
  <si>
    <t>Nhóm 2 </t>
  </si>
  <si>
    <t>(1KS2, 1KTV4)</t>
  </si>
  <si>
    <t>Nhận thông báo, chuyển thông báo nghĩa vụ tài chính cho người sử dụng đất (sau khi cấp huyện xác định nghĩa vụ tài chính và gửi về phường để thông báo cho người sử dụng đất)</t>
  </si>
  <si>
    <t>CÁC NỘI DUNG THỰC HIỆN TẠIĐỊA BÀN CẤP HUYỆN</t>
  </si>
  <si>
    <t>Tiếp nhận hồ sơ đề nghị đăng ký, cấp đổi GCN của người sử dụng đất từ phường chuyển đến</t>
  </si>
  <si>
    <t>Bộ/ Phường</t>
  </si>
  <si>
    <t>CÁC NỘI DUNG THỰC HIỆN TẠIĐỊA BÀN CẤP TỈNH</t>
  </si>
  <si>
    <t>Hướng dẫn lập hồ sơ đề nghị đăng ký, cấp đổi, cấp lại GCN</t>
  </si>
  <si>
    <t>Kiểm tra hồ sơ đề nghị đăng ký, cấp đổi, cấp lại GCN và xác nhận vào đơn, căn cứ pháp lý; niêm yết công khai thông báo các trường hợp mất GCN</t>
  </si>
  <si>
    <t>Nhập thông tin thửa đất, tài sản gắn liền với đất, đăng ký vào hồ sơ địa chính</t>
  </si>
  <si>
    <t>Trích sao số liệu địa chính, dự thảo quyết định hủy GCN bị mất, lập và gửi tờ trình đề nghị hủy GCN cũ và cấp lại GCN mới kèm theo hồ sơ đề nghị đăng ký cấp GCN đến cơ quan có thẩm quyền, lập sổ theo dõi hồ sơ</t>
  </si>
  <si>
    <t>Nhận lại hồ sơ, GCN, cập nhật chỉnh lý HSĐC, thu phí, lệ phí, nộp kho bạc, gửi cho cơ quan quản lý tài sản (nếu có); gửi thông báo biến động cho xã, thị trấn</t>
  </si>
  <si>
    <t>11.1.1</t>
  </si>
  <si>
    <t>11.1.2</t>
  </si>
  <si>
    <t>Nhận thông báo biến động, chỉnh lý vào HSĐC của xã, thị trấn</t>
  </si>
  <si>
    <t>Hướng dẫn lập hồ sơ đề nghị cấp lại hoặc đề nghị cấp đổi GCN</t>
  </si>
  <si>
    <t>Tạo tệp (File) dữ liệu hồ sơ số và nhập thông tin do người sử dụng đất quản lý kê khai, đăng ký</t>
  </si>
  <si>
    <t>Kiểm tra hồ sơ, đối chiếu với hồ sơ gốc, xác nhận vào đơn đề nghị cấp đổi, cấp lại GCN; niêm yết công khai thông báo các trường hợp mất GCN.</t>
  </si>
  <si>
    <t>Nhập ý kiến nội dung xác nhận của cấp tỉnh vào tệp (File) dữ liệu hồ sơ số</t>
  </si>
  <si>
    <t>Trích sao số liệu địa chính, dự thảo quyết định hủy GCN bị mất, lập và gửi tờ trình đề nghị hủy GCN cũ và cấp lại GCN mới kèm theo hồ sơ đề nghị cấp GCN đến cơ quan có thẩm quyền, lập sổ theo dõi hồ sơ</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</si>
  <si>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</si>
  <si>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tại địa bàn cấp huyện (mức này được áp dụng chung cho các trường hợp lập hợp đồng cho thuê đất).</t>
  </si>
  <si>
    <t>thửa</t>
  </si>
  <si>
    <t>hợp đồng</t>
  </si>
  <si>
    <t>trang</t>
  </si>
  <si>
    <r>
      <t>CÁC NỘI DUNG THỰC HIỆN TẠI</t>
    </r>
    <r>
      <rPr>
        <sz val="11"/>
        <color indexed="8"/>
        <rFont val="Arial"/>
        <family val="2"/>
      </rPr>
      <t> </t>
    </r>
    <r>
      <rPr>
        <b/>
        <sz val="11"/>
        <color indexed="8"/>
        <rFont val="Arial"/>
        <family val="2"/>
      </rPr>
      <t>ĐỊA BÀN CẤP TỈNH</t>
    </r>
  </si>
  <si>
    <t xml:space="preserve">Vật  liệu    </t>
  </si>
  <si>
    <t xml:space="preserve">  - Đối với xã, thị trấn xây dựng cơ sở dữ liệu địa chính thì trong công việc đăng ký, cấp GCN không được tính mức dụng cụ tại địa bàn cấp tỉnh quy định tại 2 bảng trên</t>
  </si>
  <si>
    <t>Đôi</t>
  </si>
  <si>
    <t>Cặp tài liệu (trình ký)</t>
  </si>
  <si>
    <t>Quạt trần 100 W</t>
  </si>
  <si>
    <t>Đèn neon 40 W</t>
  </si>
  <si>
    <t>Bộ</t>
  </si>
  <si>
    <t>Điện năng</t>
  </si>
  <si>
    <t>Đơn giá tiền công LĐPT khu vực đô thị vùng III</t>
  </si>
  <si>
    <t>7- Trường hợp cấp đổi GCN đối với thửa đất có biến động khác về quyền sử dụng đất, tài sản gắn liền với đất (chuyển quyền sử dụng đất, thay đổi về tài sản gắn liền với đất, v.v...) thì định mức lao động quy định tại Mục 2 các nội dung  thực hiện tại địa bàn cấp huyện Bảng 10 được tính bằng 1,5lần.</t>
  </si>
  <si>
    <t>Bé</t>
  </si>
  <si>
    <t>M¸y chñ</t>
  </si>
  <si>
    <t>C¸i</t>
  </si>
  <si>
    <r>
      <t>3-</t>
    </r>
    <r>
      <rPr>
        <sz val="7"/>
        <rFont val="Times New Roman"/>
        <family val="1"/>
      </rPr>
      <t xml:space="preserve">  </t>
    </r>
    <r>
      <rPr>
        <sz val="14"/>
        <rFont val="Times New Roman"/>
        <family val="1"/>
      </rPr>
      <t>Trường hợp nhiều thửa đất nông nghiệp lập chung trong 1 hồ sơ và cấp chung trong một GCN thì ngoài mức được tính ở trên, mỗi thửa đất tăng thêm được tính mức bằng 0,30 lần định mức quy định đối với Mục 2, 3, 4, 5, 6, 7, 8, 9 các nội dung thực hiện tại địa bàn phường; Mục 1, 2, 3, 4 các nội dung thực hiện tại địa bàn cấp huyện; Mục 1, 2 các nội dung thực hiện tại địa bàn cấp tỉnh</t>
    </r>
  </si>
  <si>
    <t>7- Trường hợp cấp đổi GCN đối với thửa đất có biến động khác về quyền sử dụng đất, tài sản gắn liền với đất (chuyển quyền sử dụng đất, thay đổi về tài sản gắn liền với đất, v.v...) thì định mức lao động quy định tại Mục 2 các nội dung  thực hiện tại địa bàn cấp huyện Bảng 11 được tính bằng 1,5lần</t>
  </si>
  <si>
    <t>2- Trường hợp nhiều thửa đất nông nghiệp lập chung trong 1 hồ sơ và cấp chung trong một GCN thì ngoài mức được tính ở trên, mỗi thửa đất tăng thêm được tính mức bằng 0,30 lần định mức quy định đối với Mục 1, 2, 3, 4, 5, 6, 7, 8, 9, 10, 11 các nội dung thực hiện tại địa bàn cấp huyện</t>
  </si>
  <si>
    <t>3- Trường hợp cấp đổi GCN đối với thửa đất có biến động khác về quyền sử dụng đất, tài sản gắn liền với đất (chuyển quyền sử dụng đất, thay đổi về tài sản gắn liền với đất, v.v...) thì định mức lao động quy định tại Mục 4 các nội dung  thực hiện tại địa bàn cấp huyện Bảng 12 được tính bằng 1,5lần</t>
  </si>
  <si>
    <t>4- Trường hợp có kê khai đăng ký, nhưng người sử dụng đất không đổi GCN thì định mức được tính bằng 90% định mức quy định đối với trường hợp cấp đổi GCN</t>
  </si>
  <si>
    <t xml:space="preserve"> - Định mức tại bảng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</si>
  <si>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nhiều thửa đất nông nghiệp được cấp chung trong một GCN thì ngoài mức được tính ở trên cứ mỗi thửa đất tăng thêm được tính bằng 0,20 đối với các nội dung thực hiện tại địa bàn xã, thị trấn, thị trấn và 0,30 đối với các nội dung thực hiện tại địa bàn cấp huyện.</t>
  </si>
  <si>
    <t xml:space="preserve"> - Đối với xã, thị trấn xây dựng cơ sở dữ liệu địa chính thì trong công việc đăng ký, cấp GCN không được tính mức thiết bị cho các nội dung thực hiện tại địa bàn cấp tỉnh quy định tại bảng trên</t>
  </si>
  <si>
    <t xml:space="preserve"> - Trường hợp đăng ký nhưng không thuộc trường hợp phải cấp GCN thì được tính mức bằng 50% mức quy định quy định tại bảng trên.
Trường hợp đăng ký nhưng không có nhu cầu cấp GCN hoặc không đủ điều kiện được cấp GCN thì được tính mức bằng 90% mức quy định tại bảng trên</t>
  </si>
  <si>
    <t>-  Định mức thiết bị trên áp dụng cho trường hợp đăng ký đất hoặc trường hợp đăng ký tài sản; trường hợp đăng ký cả đất và tài sản thì mức thiết bị được tính bằng hệ số là 1,3 mức thiết bị ở bảng trên</t>
  </si>
  <si>
    <t xml:space="preserve"> - Mức thiết bị được tính chung cho các loại khó khăn.</t>
  </si>
  <si>
    <t>-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</si>
  <si>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Trường hợp trích lục hồ sơ cho 01 khu đất (gồm nhiều thửa) mức áp dụng như sau:
- Dưới 05 thửa: Mức cho một thửa tính bằng 0,80 mức quy định tại Bảng trên
-Từ05 thửa đến 10 thửa: Mức cho một thửa tính bằng 0,65 mức quy định tại Bảng trên
- Trên 10 thửa: Mức cho một thửa tính bằng 0,50 mức quy định tại Bảng trên.</t>
  </si>
  <si>
    <t xml:space="preserve">- Mức thiết bị được tính chung cho các loại khó khăn.
</t>
  </si>
  <si>
    <t>I,1</t>
  </si>
  <si>
    <t>I,2</t>
  </si>
  <si>
    <t>Lập và gửi phiếu chuyển thông tin địa chính cho cơ quan thuế để xác định nghĩa vụ tài chính; nhận và gửi thông báo nghĩa vụ tài chính</t>
  </si>
  <si>
    <t>9.3</t>
  </si>
  <si>
    <t>Chỉnh lý GCN cũ trong trường hợp không cấp GCN mới; xác nhận nội dung biến động vào GCN đã cấp theo quy định</t>
  </si>
  <si>
    <t>Lập và gửi hồ sơ trình ký GCN (đối với trường hợp phải cấp GCN), lập hồ sơ theo dõi việc gửi tài liệu</t>
  </si>
  <si>
    <t>Ẩm kế</t>
  </si>
  <si>
    <t>Áp kế</t>
  </si>
  <si>
    <t>Ống nhòm</t>
  </si>
  <si>
    <t xml:space="preserve">Cặp để tài liệu </t>
  </si>
  <si>
    <t xml:space="preserve">Đơn xin đăng ký biến động </t>
  </si>
  <si>
    <t xml:space="preserve">Ghim dập </t>
  </si>
  <si>
    <t xml:space="preserve">Ghim vòng </t>
  </si>
  <si>
    <t xml:space="preserve">Giấy A3 </t>
  </si>
  <si>
    <t xml:space="preserve">Giấy làm bìa hồ sơ (A3) </t>
  </si>
  <si>
    <t xml:space="preserve">Mẫu trích lục bản đồ </t>
  </si>
  <si>
    <t xml:space="preserve">Mực in cho máy Plotter (4 màu) </t>
  </si>
  <si>
    <t xml:space="preserve">Mực photocoppy A0 </t>
  </si>
  <si>
    <t xml:space="preserve">Sổ công tác </t>
  </si>
  <si>
    <t xml:space="preserve">Túi đựng hồ sơ </t>
  </si>
  <si>
    <t>Danh mục vật liệu</t>
  </si>
  <si>
    <t>BẢNG GIÁ THIẾT BỊ VÀ ĐƠN GIÁ CA MÁY</t>
  </si>
  <si>
    <t>Qui phạm</t>
  </si>
  <si>
    <r>
      <t>Giấy in bản đồ A0 (120 gram/m</t>
    </r>
    <r>
      <rPr>
        <vertAlign val="superscript"/>
        <sz val="10"/>
        <rFont val="Arial"/>
        <family val="2"/>
      </rPr>
      <t>2</t>
    </r>
    <r>
      <rPr>
        <sz val="10"/>
        <rFont val="Arial"/>
        <family val="2"/>
      </rPr>
      <t xml:space="preserve">) </t>
    </r>
  </si>
  <si>
    <t/>
  </si>
  <si>
    <t xml:space="preserve"> CHI PHÍ DỤNG CỤ ĐĂNG KÝ QUYỀN SỬ DỤNG ĐẤT, LẬP HỒ SƠ ĐỊA CHÍNH, CẤP GIẤY CNQSD ĐẤT </t>
  </si>
  <si>
    <t xml:space="preserve"> CHI PHÍ VẬT LIỆU ĐĂNG KÝ QUYỀN SỬ DỤNG ĐẤT, LẬP HỒ SƠ ĐỊA CHÍNH, CẤP GIẤY CNQSD ĐẤT</t>
  </si>
  <si>
    <t xml:space="preserve"> CHI PHÍ THIẾT BỊ ĐĂNG KÝ QUYỀN SỬ DỤNG ĐẤT, LẬP HỒ SƠ ĐỊA CHÍNH, CẤP GIẤY CNQSD ĐẤT</t>
  </si>
  <si>
    <t>CHI PHÍ NĂNG LƯỢNG ĐĂNG KÝ QUYỀN SỬ DỤNG ĐẤT, LẬP HỒ SƠ ĐỊA CHÍNH, CẤP GIẤY CNQSD ĐẤT</t>
  </si>
  <si>
    <t>Chi phí chung</t>
  </si>
  <si>
    <t>2,67</t>
  </si>
  <si>
    <t>3,00</t>
  </si>
  <si>
    <t>3,33</t>
  </si>
  <si>
    <t>3,66</t>
  </si>
  <si>
    <t>3,99</t>
  </si>
  <si>
    <t>4,32</t>
  </si>
  <si>
    <t>4,65</t>
  </si>
  <si>
    <t>2,26</t>
  </si>
  <si>
    <t>2,46</t>
  </si>
  <si>
    <t>2,66</t>
  </si>
  <si>
    <t>2,86</t>
  </si>
  <si>
    <t>3,06</t>
  </si>
  <si>
    <t>3,26</t>
  </si>
  <si>
    <t>3,46</t>
  </si>
  <si>
    <t>3,86</t>
  </si>
  <si>
    <t>4,06</t>
  </si>
  <si>
    <t>2,41</t>
  </si>
  <si>
    <t>Công việc chuẩn bị</t>
  </si>
  <si>
    <t xml:space="preserve">I- ĐĂNG KÝ, CẤP GIẤY CHỨNG NHẬN LẦN ĐẦU ĐỒNG LOẠT ĐỐI VỚI HỘ GIA ĐÌNH, CÁ NHÂN Ở XÃ, THỊ TRẤN </t>
  </si>
  <si>
    <t>10,1</t>
  </si>
  <si>
    <t>10,2</t>
  </si>
  <si>
    <t>14</t>
  </si>
  <si>
    <t>15</t>
  </si>
  <si>
    <t>16</t>
  </si>
  <si>
    <t>CÁC NỘI DUNG THỰC HIỆN TẠI ĐỊA BÀN XÃ, THỊ TRẤN</t>
  </si>
  <si>
    <t>5.1</t>
  </si>
  <si>
    <t>5.2</t>
  </si>
  <si>
    <t xml:space="preserve">  -  Trường hợp phải chuẩn bị Hợp đồng cho thuê đất, mức vật liệu là: 0,02 Ram giấy A4 và 0,004 hộp mực A4 (mức này được áp dụng chung cho các trường hợp lập hợp đồng cho thuê đất).</t>
  </si>
  <si>
    <t xml:space="preserve"> - Đối với xã, thị trấn xây dựng cơ sở dữ liệu địa chính thì trong công việc đăng ký, cấp GCN không được tính mức vật liệu cho các nội dung thực hiện tại địa bàn cấp tỉnh quy định tại bảng trên.</t>
  </si>
  <si>
    <t xml:space="preserve">  - Định mức vật liệu trên áp dụng cho trường hợp đăng ký đất hoặc trường hợp đăng ký đồng thời cả đất và tài sản</t>
  </si>
  <si>
    <t xml:space="preserve"> - Đối với phường xây dựng cơ sở dữ liệu địa chính thì trong công việc đăng ký, cấp GCN không được tính mức vật liệu cho địa bàn cấp tỉnh quy định tại bảng trên.</t>
  </si>
  <si>
    <r>
      <t xml:space="preserve">Cộng thành tiền </t>
    </r>
    <r>
      <rPr>
        <b/>
        <sz val="9"/>
        <rFont val="Arial"/>
        <family val="2"/>
        <charset val="163"/>
      </rPr>
      <t>(đồng/phường)</t>
    </r>
  </si>
  <si>
    <t>- Định mức vật liệu tại bảng trên áp dụng cho các trường hợp đăng ký đất hoặc đăng ký tài sản hoặc đăng ký cả đất và tài sản.</t>
  </si>
  <si>
    <t>Công suất (Kw/h)</t>
  </si>
  <si>
    <t xml:space="preserve"> TH (năm) </t>
  </si>
  <si>
    <t>Đơn giá        thiết bị      (đồng)</t>
  </si>
  <si>
    <t>đ/xã</t>
  </si>
  <si>
    <t>Máy điều hòa nhiệt độ</t>
  </si>
  <si>
    <t>Máy in phun A0</t>
  </si>
  <si>
    <t xml:space="preserve"> Cộng </t>
  </si>
  <si>
    <t>Máy photocopy</t>
  </si>
  <si>
    <t>Văn phòng ĐKQSD đất   cấp huyện</t>
  </si>
  <si>
    <t>Định biên</t>
  </si>
  <si>
    <t>Đơn vị             tính</t>
  </si>
  <si>
    <t>1KTV4</t>
  </si>
  <si>
    <t>Thửa</t>
  </si>
  <si>
    <t>Định mức (công)</t>
  </si>
  <si>
    <r>
      <t xml:space="preserve">Lương ngày </t>
    </r>
    <r>
      <rPr>
        <b/>
        <sz val="10"/>
        <rFont val="Arial Narrow"/>
        <family val="2"/>
      </rPr>
      <t>(đồng/công)</t>
    </r>
  </si>
  <si>
    <t>Phường</t>
  </si>
  <si>
    <t>Cấp huyện</t>
  </si>
  <si>
    <t xml:space="preserve">   - Mức dụng cụ tính cho một hồ sơ</t>
  </si>
  <si>
    <t>Văn phòng ĐKQSD đất     cấp huyện</t>
  </si>
  <si>
    <t>Cấp phường</t>
  </si>
  <si>
    <t xml:space="preserve"> - Định mức tính cho xã trung bình 8000 hồ sơ </t>
  </si>
  <si>
    <t xml:space="preserve"> - Định mức tính cho phường trung bình 5000 hồ sơ </t>
  </si>
  <si>
    <t xml:space="preserve">Máy photocopy </t>
  </si>
  <si>
    <t xml:space="preserve"> - Định mức tính cho 1 hồ sơ</t>
  </si>
  <si>
    <t xml:space="preserve"> - Định mức tính cho 1 xã, thị trấn trung bình 8000 hồ sơ</t>
  </si>
  <si>
    <r>
      <t xml:space="preserve">Ghi chú: </t>
    </r>
    <r>
      <rPr>
        <sz val="10"/>
        <rFont val="Arial"/>
        <family val="2"/>
      </rPr>
      <t>Định mức tính cho 1 hồ sơ</t>
    </r>
  </si>
  <si>
    <t>tờ</t>
  </si>
  <si>
    <t>đồng/phường</t>
  </si>
  <si>
    <t>đ/phường</t>
  </si>
  <si>
    <t>Cộng                      thành tiền (đồng/xã)</t>
  </si>
  <si>
    <t>Dụng             cụ</t>
  </si>
  <si>
    <t>Đơn vị tính: đồng/thửa</t>
  </si>
  <si>
    <t>Hòm sắt đựng tài liệu</t>
  </si>
  <si>
    <t>Ống đựng bản đồ</t>
  </si>
  <si>
    <t>Quy phạm</t>
  </si>
  <si>
    <t>CÁC NỘI DUNG THỰC HIỆN TẠI ĐỊABÀN PHƯỜNG</t>
  </si>
  <si>
    <t>Chuẩn bị các tài liệu, bản đồ, mẫu đơn đề nghị đăng ký, cấp GCN, danh sách các trường hợp sử dụng đất theo địa điểm (theo phường)</t>
  </si>
  <si>
    <t>Nhập ý kiến xác nhận của phường vào tệp (File) dữ liệu hồ sơ số</t>
  </si>
  <si>
    <t>6- Đơn giá trên đây tính đối với việc đăng ký, cấp GCN về quyền sử dụng đất. Trường hợp đăng ký, cấp GCN đối với cả đất và tài sản gắn liền với đất thì các chi phí nhân công, dụng cụ, thiết bị, năng lượng được tính bằng 1,6 lần mức đơn giá 1 hồ sơ đăng ký đối với đất, chi phí vật liệu được tính bằng với trường hợp đăng ký đối với đất. Trường hợp đăng ký riêng đối với tài sản thì đơn giá tính cho 1 hồ sơ đăng ký đối với tài sản bằng đơn giá bình quân 1 hồ sơ đăng ký đối với đất.</t>
  </si>
  <si>
    <t>Chuyển hồ sơ đề nghị đăng ký cấp đổi GCN về cấp huyện để xét duyệt điều kiện cấp đổi GCN</t>
  </si>
  <si>
    <t>Tiếp nhận hồ sơ đề nghị đăng ký, cấp đổi GCN của người sử dụng đất từ xã, thị trấn chuyển đến</t>
  </si>
  <si>
    <t>3- Đối với các hồ sơ không đủ điều kiện cấp GCN thì được tính định mức đối với Mục 1, 2, 3, 4, 5, 6, 7, 8,9 các nội dung thực hiện tại địa bàn phường; Mục 1, 2, 3, 4, 8, 12, 14, 16 các nội dung thực hiện tại địa bàn cấp huyện; Mục 1, 2, 3 các nội dung thực hiện tại địa bàn cấp tỉnh</t>
  </si>
  <si>
    <t>5- Trường hợp người sử dụng đất đã đăng ký đất đai theo quy định của pháp luật mà có nhu cầu cấp GCN thì được tính định mức đối với Mục 2, 3, 10, 11 các nội dung thực hiện tại địa bàn phường; Mục 1, 2, 6, 7, 8, 9, 10, 11, 12, 13, 14, 15, 16 các nội dung thực hiện tại địa bàn cấp huyện; Mục 1, 2, 3 các nội dung thực hiện tại địa bàn cấp tỉnh</t>
  </si>
  <si>
    <t>4- Trường hợp nhiều thửa đất nông nghiệp lập chung trong 1 hồ sơ và cấp chung trong một GCN thì ngoài mức được tính ở trên, mỗi thửa đất tăng thêm được tính mức bằng 0,30 lần định mức quy định đối với Mục 2, 3, 4, 5, 6, 7, 8, 9 các nội dung thực hiện tại địa bàn xã, thị trấn; Mục 1, 2, 3, 4 các nội dung thực hiện tại địa bàn cấp huyện;Mục1,2 các nội dung thực hiện tại địa bàn cấp tỉnh</t>
  </si>
  <si>
    <t>2-Trường hợp có kê khai đăng ký, nhưng người sử dụng đất không đổi GCN thì định mức được tính bằng 90% định mức đối với trường hợp cấp GCN.</t>
  </si>
  <si>
    <t>ĐĂNG KÝ BIẾN ĐỘNG VỀ ĐẤT ĐỐI VỚI HỘ GIA ĐÌNH CÁ NHÂN - TRƯỜNG HỢP NỘP HỒ SƠ TẠI CẤP XÃ</t>
  </si>
  <si>
    <t>TỔNG HỢP ĐƠN GIÁ SẢN PHẨM ĐĂNG KÝ BIẾN ĐỘNG VỀ ĐẤT ĐỐI VỚI HỘ GIA ĐÌNH CÁ NHÂN  - TRƯỜNG HỢP NỘP HỒ SƠ TẠI CẤP XÃ</t>
  </si>
  <si>
    <t>TỔNG HỢP ĐƠN GIÁ SẢN PHẨM ĐĂNG KÝ BIẾN ĐỘNG VỀ ĐẤT ĐỐI VỚI HỘ GIA ĐÌNH CÁ NHÂN  - TRƯỜNG HỢP NỘP HỒ SƠ TẠI VĂN PHÒNG ĐĂNG KÝ QUYỀN SỬ DỤNG ĐẤT CẤP HUYỆN</t>
  </si>
  <si>
    <t>ĐĂNG KÝ BIẾN ĐỘNG VỀ TÀI SẢN ĐỐI VỚI HỘ GIA ĐÌNH CÁ NHÂN -  TRƯỜNG HỢP NỘP HỒ SƠ TẠI CẤP XÃ</t>
  </si>
  <si>
    <t>TỔNG HỢP ĐƠN GIÁ SẢN PHẨM ĐĂNG KÝ BIẾN ĐỘNG VỀ TÀI SẢN ĐỐI VỚI HỘ GIA ĐÌNH CÁ NHÂN  - TRƯỜNG HỢP NỘP HỒ SƠ TẠI CẤP XÃ</t>
  </si>
  <si>
    <t>ĐĂNG KÝ BIẾN ĐỘNG VỀ TÀI SẢN  ĐỐI VỚI HỘ GIA ĐÌNH CÁ NHÂN - TRƯỜNG HỢP NỘP HỒ SƠ TẠI VĂN PHÒNG ĐĂNG KÝ QUYỀN SỬ DỤNG ĐẤT CẤP HUYỆN</t>
  </si>
  <si>
    <t>TỔNG HỢP ĐƠN GIÁ SẢN PHẨM ĐĂNG KÝ BIẾN ĐỘNG VỀ TÀI SẢN ĐỐI VỚI HỘ GIA ĐÌNH CÁ NHÂN  - TRƯỜNG HỢP NỘP HỒ SƠ TẠI VĂN PHÒNG ĐĂNG KÝ QUYỀN SỬ DỤNG ĐẤT CẤP HUYỆN</t>
  </si>
  <si>
    <t>ĐĂNG KÝ BIẾN ĐỘNG ĐỒNG THỜI CẢ ĐẤT VÀ TÀI SẢN ĐỐI VỚI HỘ GIA ĐÌNH CÁ NHÂN  - TRƯỜNG HỢP NỘP HỒ SƠ TẠI CẤP XÃ</t>
  </si>
  <si>
    <t>TỔNG HỢP ĐƠN GIÁ SẢN PHẨM ĐĂNG KÝ BIẾN ĐỘNG ĐỒNG THỜI CẢ ĐẤT VÀ TÀI SẢN ĐỐI VỚI HỘ GIA ĐÌNH CÁ NHÂN  - TRƯỜNG HỢP NỘP HỒ SƠ TẠI CẤP XÃ</t>
  </si>
  <si>
    <t>KIỂM TRA NHÂN CÔNG CHƯA TÁCH ĐƯỢC NỘP Ở TAIH XÃ HAY VPDK CẤP HUYỆN</t>
  </si>
  <si>
    <t>Chuyển GCN đã ký về phường để trao cho người sử dụng đất, bản sao sổ cấp GCN, nhận phí, lệ phí cấp GCN, nộp kho bạc</t>
  </si>
  <si>
    <t>Nhận hồ sơ địa chính từ cấp tỉnh và gửi về phường (01 bộ)</t>
  </si>
  <si>
    <t>Bộ/Phường</t>
  </si>
  <si>
    <t>Bộ/ đĩa</t>
  </si>
  <si>
    <t>Sao, in ấn hồ sơ địa chính để cung cấp cho phường quản lý và khai thác sử dụng</t>
  </si>
  <si>
    <t>Bàn giao HSĐC cho cấp huyện/phường để quản lý và khai thác sử dụng</t>
  </si>
  <si>
    <t>Lập hồ sơ địa chính</t>
  </si>
  <si>
    <t xml:space="preserve">Thiết bị                     </t>
  </si>
  <si>
    <t>hồ sơ</t>
  </si>
  <si>
    <t>Ghi chú:</t>
  </si>
  <si>
    <t>Danh mục</t>
  </si>
  <si>
    <t>ĐVT</t>
  </si>
  <si>
    <t xml:space="preserve"> TH (tháng) </t>
  </si>
  <si>
    <t>Đơn giá dụng cụ (đồng)</t>
  </si>
  <si>
    <t>Đơn giá       ca máy    (đ/ca)</t>
  </si>
  <si>
    <t xml:space="preserve">Định mức sử dụng </t>
  </si>
  <si>
    <t>Cấp xã</t>
  </si>
  <si>
    <t>Văn phòng ĐKQSD đất  cấp huyện</t>
  </si>
  <si>
    <t>Văn phòng ĐKQSD đất cấp tỉnh</t>
  </si>
  <si>
    <t>đồng/xã</t>
  </si>
  <si>
    <t>Áo blu</t>
  </si>
  <si>
    <t>Cộng dụng cụ chính (A)</t>
  </si>
  <si>
    <t xml:space="preserve"> Tổng cộng </t>
  </si>
  <si>
    <t>Khó khăn 1</t>
  </si>
  <si>
    <t>Khó khăn 2</t>
  </si>
  <si>
    <t>Khó khăn 3</t>
  </si>
  <si>
    <t xml:space="preserve">Ghi chú: </t>
  </si>
  <si>
    <t>Khó khăn 4</t>
  </si>
  <si>
    <t>Khó khăn 5</t>
  </si>
  <si>
    <t xml:space="preserve"> Khó khăn 1 </t>
  </si>
  <si>
    <t xml:space="preserve"> Khó khăn 2 </t>
  </si>
  <si>
    <t xml:space="preserve"> Khó khăn 3 </t>
  </si>
  <si>
    <t>Đơn giá           vật liệu        (đồng)</t>
  </si>
  <si>
    <t xml:space="preserve"> Đơn đề nghị cấp GCN</t>
  </si>
  <si>
    <t xml:space="preserve"> GCN</t>
  </si>
  <si>
    <t>GCN</t>
  </si>
  <si>
    <t xml:space="preserve"> Đĩa CD</t>
  </si>
  <si>
    <t xml:space="preserve">Văn phòng ĐKQSD đất cấp huyện </t>
  </si>
  <si>
    <t>Đơn đề nghị cấp GCN</t>
  </si>
  <si>
    <t>Bìa sổ A3</t>
  </si>
  <si>
    <t>Cặp</t>
  </si>
  <si>
    <t>Túi đựng hồ sơ</t>
  </si>
  <si>
    <t>Mực in cho máy Plotter</t>
  </si>
  <si>
    <t>Giấy in bản đồ A0</t>
  </si>
  <si>
    <t>Mực photocoppy A0</t>
  </si>
  <si>
    <t>Đĩa</t>
  </si>
  <si>
    <t xml:space="preserve">Văn phòng ĐKQSD           đất cấp tỉnh </t>
  </si>
  <si>
    <t>Đơn đăng ký biến động</t>
  </si>
  <si>
    <t>Máy scan A3</t>
  </si>
  <si>
    <t>Máy quét (Scan) A3</t>
  </si>
  <si>
    <t>Máy photocopy A3</t>
  </si>
  <si>
    <t>Máy photocopy A0</t>
  </si>
  <si>
    <t xml:space="preserve"> - Định mức tính cho 1 phường 5000 hồ sơ</t>
  </si>
  <si>
    <t xml:space="preserve"> - Định mức tính cho 1 xã 8000 hồ sơ</t>
  </si>
  <si>
    <t>III- ĐĂNG KÝ, CẤP GIẤY CHỨNG NHẬN LẦN ĐẦU ĐƠN LẺ TỪNG HỘ GIA ĐÌNH, CÁ NHÂN TRƯỜNG HỢP NỘP HỒ SƠ TẠI XÃ</t>
  </si>
  <si>
    <t>Xác nhận vào đơn đề nghị đăng ký, cấp GCN, sơ đồ tài sản (nếu có)</t>
  </si>
  <si>
    <t>Nhập ý kiến xác nhận của cấp xã, thị trấn vào tệp (File) dữ liệu hồ sơ số</t>
  </si>
  <si>
    <t>Nhận bản sao HSĐC, bản sao sổ cấp GCN để khai thác sử dụng; nhận và trao hợp đồng thuê đất (nếu có), trao GCN cho người sử dụng đất; thu và gửi phí, lệ phí cấp GCN về cấp huyện</t>
  </si>
  <si>
    <t>CÁC NỘI DUNG THỰC HIỆN TẠI ĐỊA BÀN CẤP HUYỆN</t>
  </si>
  <si>
    <t>Tiếp nhận hồ sơ đề nghị đăng ký, cấp GCN của người sử dụng đất từ cấp xã, thị trấn chuyển đến</t>
  </si>
  <si>
    <t>Gửi, nhận phiếu lấy ý kiến cơ quan quản lý nhà nước về tài sản (nếu có)</t>
  </si>
  <si>
    <t>Kiểm tra hồ sơ đề nghị cấp GCN và xác nhận vào đơn đủ hay không đủ điều kiện cấp GCN, căn cứ pháp lý</t>
  </si>
  <si>
    <t>huyện vào tệp (File) dữ liệu hồ sơ số</t>
  </si>
  <si>
    <t>Trích lục trên bản đồ dạng số</t>
  </si>
  <si>
    <t>Trích lục trên bản đồ dạng giấy</t>
  </si>
  <si>
    <t>Lập phiếu và chuyển thông tin địa chính đến cơ quan thuế để xác định nghĩa vụ tài chính, nhận thông báo nghĩa vụ tài chính</t>
  </si>
  <si>
    <t>Chuyển, nhận thông tin theo hình thức liên thông</t>
  </si>
  <si>
    <t>Chuyển, nhận thông tin theo hình thức trực tiếp</t>
  </si>
  <si>
    <t>Chuyển thông tin nghĩa vụ tài chính để người sử dụng đất thực hiện nghĩa vụ tài chính và nhận lại hóa đơn nghĩa vụ tài chính đã thực hiện</t>
  </si>
  <si>
    <t>Theo hình thức trực tiếp (gửi về xã, thị trấn để thông báo cho người sử dụng đất)</t>
  </si>
  <si>
    <t>Theo hình thức trực tuyến (gửi cho người sử dụng đất để thực hiện nghĩa vụ tài chính)</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</si>
  <si>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</si>
  <si>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thực hiện tại địa bàn cấp huyện.</t>
  </si>
  <si>
    <t>- Trường hợp đăng ký biến động đất đai mà thực hiện cấp mới GCN thì áp dụng mức vật liệu của bảng trên. Trường hợp đăng ký biến động đất đai mà không thực hiện cấp mới GCN thì được tính bằng 0,6 lần mức vật liệu của Bảng 94 trên và không được tính vật liệu là mẫu trích lục bản đồ và GCN, trừ trường hợp biến động có thay đổi diện tích mà cần phải trích lục bản đồ</t>
  </si>
  <si>
    <t>- Mức vật liệu cho công việc tại địa bàn xã, thị trấn được tính bằng 0,02 mức quy định tại bảng trên.</t>
  </si>
  <si>
    <t xml:space="preserve"> Cộng            thành tiền (đồng/hồ sơ)</t>
  </si>
  <si>
    <t xml:space="preserve">Tỷ lệ tính chi phí chung </t>
  </si>
  <si>
    <t xml:space="preserve">                 Ngoại nghiệp </t>
  </si>
  <si>
    <t xml:space="preserve">                 Nội nghiệp</t>
  </si>
  <si>
    <t>Phụ cấp khu vực (mức 0,1) cho 1 ngày công ngoại nghiệp</t>
  </si>
  <si>
    <t xml:space="preserve">    Trong đó: - Chi phí trực tiếp</t>
  </si>
  <si>
    <t xml:space="preserve">                     - Chi phí chung</t>
  </si>
  <si>
    <t>Phụ cấp khu vực (mức 0,1) cho 1 ngày công nội nghiệp</t>
  </si>
  <si>
    <t>PCKV:</t>
  </si>
  <si>
    <t>CÁC MỨC CHỈ TIÊU, HỆ SỐ CHỦ YẾU ÁP DỤNG TRONG TÍNH TOÁN ĐƠN GIÁ</t>
  </si>
  <si>
    <t xml:space="preserve">Áo rét BHLĐ </t>
  </si>
  <si>
    <t xml:space="preserve">Áo mưa bạt </t>
  </si>
  <si>
    <t>Ba lô</t>
  </si>
  <si>
    <t>Bi đông nhựa</t>
  </si>
  <si>
    <t>Bộ đồ nề</t>
  </si>
  <si>
    <t>Bộ khắc chữ mặt mốc</t>
  </si>
  <si>
    <t>Cờ hiệu nhỏ</t>
  </si>
  <si>
    <t>Compa đơn</t>
  </si>
  <si>
    <t>Compa kép</t>
  </si>
  <si>
    <t>Cưa cành</t>
  </si>
  <si>
    <t>Cuốc bàn</t>
  </si>
  <si>
    <t>Cuốc chim</t>
  </si>
  <si>
    <t>Dao phát cây</t>
  </si>
  <si>
    <t>Đèn pin</t>
  </si>
  <si>
    <t>III,2</t>
  </si>
  <si>
    <t>2-6</t>
  </si>
  <si>
    <t>Cập nhật bổ sung việc cấp GCN vào hồ sơ địa chính hoặc cơ sở dữ liệu đất đai và gửi nội dung cập nhật hồ sơ địa chính về cấp huyện, xã, thị trấn</t>
  </si>
  <si>
    <t>Cấp huyện nhận thông báo, cập nhật HSĐC</t>
  </si>
  <si>
    <t>Địa bàn xã, thị trấn (đối với những nơi chưa xây dựng CSDL) nhận thông báo, cập nhật HSĐC</t>
  </si>
  <si>
    <t>Nhóm 2 (1KS3,1KS2)</t>
  </si>
  <si>
    <t>- Trường hợp phải chuẩn bị Hợp đồng cho thuê đất, mức vật liệu là: 0,02 Ram giấy A4 và 0,004 hộp mực A4 (mức này được áp dụng chung cho các trường hợp lập Hợp đồng cho thuê đất)</t>
  </si>
  <si>
    <t>- Định mức vật liệu trên áp dụng cho trường hợp đăng ký đất hoặc trường hợp đăng ký đồng thời cả đất và tài sản</t>
  </si>
  <si>
    <t>II- ĐĂNG KÝ, CẤP GIẤY CHỨNG NHẬN LẦN ĐẦU ĐỒNG LOẠT ĐỐI VỚI HỘ GIA ĐÌNH, CÁ NHÂN Ở PHƯỜNG (Bảng 71)</t>
  </si>
  <si>
    <t>Ký hiệu bản đồ</t>
  </si>
  <si>
    <t>Quyển</t>
  </si>
  <si>
    <t xml:space="preserve">THSD  (tháng) </t>
  </si>
  <si>
    <t xml:space="preserve">Định mức (ca/hồ sơ) </t>
  </si>
  <si>
    <t>Thành tiền (đ/hồ sơ)</t>
  </si>
  <si>
    <t>Định mức sử dụng</t>
  </si>
  <si>
    <t>Thành tiền (đồng/hồ sơ)</t>
  </si>
  <si>
    <t>- Đối với phường xây dựng cơ sở dữ liệu địa chính thì trong công việc đăng ký, cấp đổi GCN không được tính mức vật liệu tại địa bàn cấp tỉnh quy định tại bảng trên.</t>
  </si>
  <si>
    <t>- Định mức vật liệu trên áp dụng cho các trường hợp đăng ký đất hoặc đăng ký tài sản hoặc đăng ký cả đất và tài sản</t>
  </si>
  <si>
    <t xml:space="preserve">Điểm </t>
  </si>
  <si>
    <t xml:space="preserve">  - Trường hợp đăng ký nhưng không thuộc trường hợp phải cấp GCN thì được tính mức bằng 50% mức quy định tại 2 bảng trên. Trường hợp đăng ký nhưng không có nhu cầu cấp GCN hoặc không đủ điều kiện được cấp GCN thì được tính mức bằng 90% mức quy định tạ 2 bảng trên.</t>
  </si>
  <si>
    <t>Bản đồ ĐGHC 364/CT (photocoppy)</t>
  </si>
  <si>
    <t xml:space="preserve">Bìa đóng sổ (2 tờ/sổ = cặp) </t>
  </si>
  <si>
    <t>Cát xây</t>
  </si>
  <si>
    <t>Giấy A4 (ngoại)</t>
  </si>
  <si>
    <t>Giấy CN</t>
  </si>
  <si>
    <t>Mực máy Photocopy A3</t>
  </si>
  <si>
    <t>Sổ mục kê</t>
  </si>
  <si>
    <t>Tại Đông Hà</t>
  </si>
  <si>
    <t>Đá dăm 1 x 2</t>
  </si>
  <si>
    <t>Tại Đầu Mầu</t>
  </si>
  <si>
    <t xml:space="preserve">Dầu nhờn </t>
  </si>
  <si>
    <t>Castrol Activ 4T</t>
  </si>
  <si>
    <t>Tisco</t>
  </si>
  <si>
    <t>Sông Giang (PCB30)</t>
  </si>
  <si>
    <t>Rồng Vàng</t>
  </si>
  <si>
    <t>Bóng đèn 100w</t>
  </si>
  <si>
    <t>8.2.1</t>
  </si>
  <si>
    <t>8.2.2</t>
  </si>
  <si>
    <t>6.1</t>
  </si>
  <si>
    <t>6.2</t>
  </si>
  <si>
    <t>9.1</t>
  </si>
  <si>
    <t>9.2</t>
  </si>
  <si>
    <t>I- ĐĂNG KÝ, CẤP GIẤY CHỨNG NHẬN LẦN ĐẦU ĐỒNG LOẠT ĐỐI VỚI HỘ GIA ĐÌNH, CÁ NHÂN Ở XÃ, THỊ TRẤN (bảng 6)</t>
  </si>
  <si>
    <t>II- ĐĂNG KÝ, CẤP GIẤY CHỨNG NHẬN LẦN ĐẦU ĐỒNG LOẠT ĐỐI VỚI HỘ GIA ĐÌNH, CÁ NHÂN Ở PHƯỜNG (bảng 7)</t>
  </si>
  <si>
    <t>III.1- ĐĂNG KÝ, CẤP GIẤY CHỨNG NHẬN QSD ĐẤT LẦN ĐẦU ĐƠN LẺ TỪNG HỘ GIA ĐÌNH, CÁ NHÂN (bảng 8)</t>
  </si>
  <si>
    <t>ĐĂNG KÝ THEO HÌNH THỨC TRỰC TIẾP</t>
  </si>
  <si>
    <t>ĐĂNG KÝ THEO HÌNH THỨC TRỰC TUYẾN</t>
  </si>
  <si>
    <t>CÁC NỘI DUNG CÔNG VIỆC THỰC HIỆN TẠI ĐỊA BÀN Ở PHƯỜNG</t>
  </si>
  <si>
    <t xml:space="preserve">  - Đối với phường xây dựng cơ sở dữ liệu địa chính thì trong công việc đăng ký, cấp GCN không được tính mức dụng cụ cho địa bàn cấp tỉnh quy định tại 2 bảng trên</t>
  </si>
  <si>
    <t xml:space="preserve">  - Trường hợp đăng ký nhưng không thuộc trường hợp phải cấp GCN thì được tính mức bằng 50% mức quy định tại 2 bảng trên. Trường hợp đăng ký nhưng không có nhu cầu cấp GCN hoặc không đủ điều kiện được cấp GCN thì được tính mức bằng 90% mức quy định tại 2 bảng trên.</t>
  </si>
  <si>
    <t xml:space="preserve">  - Trường hợp nhiều thửa đất nông nghiệp được cấp chung trong một GCN thì ngoài mức được tính ở trên cứ mỗi thửa đất tăng thêm được tính thêm 0,30 lần định mức cho các nội dung thực hiện tại phường và các nội dung thực hiện tại địa bàn cấp huyện.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</si>
  <si>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ở bảng trên.</t>
  </si>
  <si>
    <t>VIII- ĐĂNG KÝ, CẤP ĐỔI, CẤP LẠI GIẤY CHỨNG NHẬN RIÊNG LẺ ĐỐI VỚI HỘ GIA ĐÌNH CÁ NHÂN</t>
  </si>
  <si>
    <t xml:space="preserve">  - Mức dụng cụ được tính chung cho các loại khó khăn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</si>
  <si>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</si>
  <si>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 xml:space="preserve">  - Mức dụng tính chung cho các loại khó khăn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</si>
  <si>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</si>
  <si>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 xml:space="preserve">  - Trường hợp đăng ký biến động đất đai mà thực hiện cấp mới GCN thì áp dụng mức dụng cụ của Bảng 92. Trường hợp đăng ký biến động đất đai mà không thực hiện cấp mới GCN thì được tính bằng 0,6 lần mức dụng cụ của bảng trên.</t>
  </si>
  <si>
    <t xml:space="preserve"> </t>
  </si>
  <si>
    <t xml:space="preserve">  - Định mức vật liệu trên tính cho trường hợp đăng ký đất hoặc trường hợp đăng ký đồng thời cả đất và tài sản.</t>
  </si>
  <si>
    <t>Chi phí trực tiếp</t>
  </si>
  <si>
    <t>Đơn giá       sản phẩm</t>
  </si>
  <si>
    <t>Phụ cấp     khu vực      0,1</t>
  </si>
  <si>
    <t xml:space="preserve">LĐKT         </t>
  </si>
  <si>
    <t xml:space="preserve">LĐPT       </t>
  </si>
  <si>
    <t xml:space="preserve">Vật     liệu    </t>
  </si>
  <si>
    <t xml:space="preserve">Năng lượng     </t>
  </si>
  <si>
    <t xml:space="preserve">Cộng        </t>
  </si>
  <si>
    <t>IV- ĐĂNG KÝ, CẤP GIẤY CHỨNG NHẬN LẦN ĐẦU ĐƠN LẺ TỪNG HỘ GIA ĐÌNH, CÁ NHÂN TRƯỜNG HỢP NỘP HỒ SƠ TẠI VPĐK CẤP HUYỆN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</si>
  <si>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ở bảng trên</t>
  </si>
  <si>
    <t>ĐĂNG KÝ, CẤP GIẤY CHỨNG NHẬN TÀI SẢN LẦN ĐẦU ĐƠN LẺ TỪNG HỘ GIA ĐÌNH, CÁ NHÂN - TRƯỜNG HỢP NỘP TẠI HUYỆN</t>
  </si>
  <si>
    <t>TỔNG HỢP ĐƠN GIÁ SẢN PHẨM ĐĂNG KÝ, CẤP GIẤY CHỨNG NHẬN ĐẤT LẦN ĐẦU ĐƠN LẺ TỪNG HỘ GIA ĐÌNH, CÁ NHÂN - TRƯỜNG HỢP NỘP HỒ SƠ TẠI XÃ</t>
  </si>
  <si>
    <t>TỔNG HỢP ĐƠN GIÁ SẢN PHẨM ĐĂNG KÝ, CẤP GIẤY CHỨNG NHẬN ĐẤT LẦN ĐẦU ĐƠN LẺ TỪNG HỘ GIA ĐÌNH, CÁ NHÂN - TRƯỜNG HỢP NỘP HỒ SƠ TẠI HUYỆN</t>
  </si>
  <si>
    <t>TỔNG HỢP ĐƠN GIÁ SẢN PHẨM ĐĂNG KÝ, CẤP GIẤY CHỨNG NHẬN TÀI SẢN LẦN ĐẦU ĐƠN LẺ TỪNG HỘ GIA ĐÌNH, CÁ NHÂN - TRƯỜNG HỢP NỘP HỒ SƠ TẠI XÃ</t>
  </si>
  <si>
    <t>TỔNG HỢP ĐƠN GIÁ SẢN PHẨM ĐĂNG KÝ, CẤP GIẤY CHỨNG NHẬN TÀI SẢN LẦN ĐẦU ĐƠN LẺ TỪNG HỘ GIA ĐÌNH, CÁ NHÂN - TRƯỜNG HỢP NỘP HỒ SƠ HUYỆN</t>
  </si>
  <si>
    <t>TỔNG HỢP ĐƠN GIÁ SẢN PHẨM ĐĂNG KÝ, CẤP GIẤY CHỨNG NHẬN LẦN ĐẦU ĐỒNG THỜI CẢ ĐẤT VÀ TÀI SẢN THỰC HIỆN ĐƠN LẺ TỪNG HỘ GIA ĐÌNH, CÁ NHÂN - TRƯỜNG HỢP NỘP HỒ SƠ TẠI HUYỆN</t>
  </si>
  <si>
    <t>Nhận lại hồ sơ, GCN, cập nhật chỉnh lý HSĐC, thu phí, lệ phí, nộp kho bạc, gửi cho cơ quan quản lý tài sản (nếu có); gửi thông báo biến động cho cấp huyện, xã, thị trấn</t>
  </si>
  <si>
    <t>Kiểm tra hồ sơ, tình trạng pháp lý nội dung kê khai so với hiện trạng, đối chiếu với hồ sơ gốc; kiểm tra thực địa trong trường hợp cần thiết, ghi ý kiến vào hồ sơ; kiểm tra xác nhận sơ đồ tài sản trong trường hợp biến động về tài sản chưa có xác nhận của pháp nhân hành nghề đo đạc, xây dựng và lấy ý kiến cơ quan quản lý tài sản nếu cần thiết</t>
  </si>
  <si>
    <t>Nhóm 2 (1KS2, 1KTV4 )</t>
  </si>
  <si>
    <t>Trích lục thửa đất từ BĐĐC, các loại bản đồ, sơ đồ khác (trường hợp phải trích đo địa chính hoặc chỉnh lý bản đồ thửa đất thì áp dụng định mức theo quy định tại Chương I phần II)</t>
  </si>
  <si>
    <t>II.1</t>
  </si>
  <si>
    <t>III.1- ĐĂNG KÝ, CẤP GIẤY CHỨNG NHẬN LẦN ĐẦU ĐƠN LẺ TỪNG HỘ GIA ĐÌNH, CÁ NHÂN - TRƯỜNG HỢP NỘP HỒ SƠ TẠI XÃ (Bảng 74)</t>
  </si>
  <si>
    <t>TỔNG HỢP ĐƠN GIÁ SẢN PHẨM ĐĂNG KÝ, CẤP ĐỔI GIẤY CHỨNG NHẬN ĐỒNG LOẠT TẠI PHƯỜNG</t>
  </si>
  <si>
    <t>Văn phòng ĐKQSD            đất cấp tỉnh</t>
  </si>
  <si>
    <t>hố sơ</t>
  </si>
  <si>
    <t>IV.1- ĐĂNG KÝ, CẤP GIẤY CHỨNG NHẬN QUYỀN SỬ DỤNG ĐẤT LẦN ĐẦU ĐỐI VỚI TỔ CHỨC (bảng 9)</t>
  </si>
  <si>
    <t>IV.2- ĐĂNG KÝ, CẤP GIẤY CHỨNG NHẬN QUYỀN SỞ HỮU TÀI SẢN LẦN ĐẦU ĐỐI VỚI TỔ CHỨC (bảng 9)</t>
  </si>
  <si>
    <t>IV.3- ĐĂNG KÝ, CẤP GIẤY CHỨNG NHẬN LẦN ĐẦU ĐỒNG THỜI CẢ ĐẤT VÀ TÀI SẢN ĐỐI VỚI TỔ CHỨC (bảng 9)</t>
  </si>
  <si>
    <t>V- ĐĂNG KÝ, CẤP ĐỔI GIẤY CHỨNG NHẬN ĐỒNG LOẠT TẠI XÃ, THỊ TRẤN (bảng 10)</t>
  </si>
  <si>
    <t>III.2- ĐĂNG KÝ, CẤP GIẤY CHỨNG NHẬN ĐỐI VỚI TÀI SẢN LẦN ĐẦU ĐƠN LẺ TỪNG HỘ GIA ĐÌNH, CÁ NHÂN (bảng 8)</t>
  </si>
  <si>
    <t>III.3- ĐĂNG KÝ, CẤP GIẤY CHỨNG NHẬN LẦN ĐẦU ĐỒNG THỜI CẢ ĐẤT VÀ TÀI SẢN THỰC HIỆN ĐƠN LẺ TỪNG HỘ GIA ĐÌNH, CÁ NHÂN
(bảng 8)</t>
  </si>
  <si>
    <t>7.1</t>
  </si>
  <si>
    <t>7.2</t>
  </si>
  <si>
    <t xml:space="preserve">I- ĐĂNG KÝ, CẤP GIẤY CHỨNG NHẬN QSD ĐẤT LẦN ĐẦU ĐỒNG LOẠT ĐỐI VỚI HỘ GIA ĐÌNH, CÁ NHÂN Ở XÃ, THỊ TRẤN </t>
  </si>
  <si>
    <t>II- ĐĂNG KÝ, CẤP GIẤY CHỨNG NHẬN QSD ĐẤT LẦN ĐẦU ĐỒNG LOẠT ĐỐI VỚI HỘ GIA ĐÌNH, CÁ NHÂN Ở PHƯỜNG</t>
  </si>
  <si>
    <t xml:space="preserve">TT </t>
  </si>
  <si>
    <t>11.1</t>
  </si>
  <si>
    <t>11.2</t>
  </si>
  <si>
    <t>11.3</t>
  </si>
  <si>
    <t>2-5</t>
  </si>
  <si>
    <t>1-5</t>
  </si>
  <si>
    <t>TT</t>
  </si>
  <si>
    <t>A</t>
  </si>
  <si>
    <t>B</t>
  </si>
  <si>
    <t>1</t>
  </si>
  <si>
    <t>2</t>
  </si>
  <si>
    <t>3</t>
  </si>
  <si>
    <t>4</t>
  </si>
  <si>
    <t>5</t>
  </si>
  <si>
    <t>2,34</t>
  </si>
  <si>
    <t>1.1</t>
  </si>
  <si>
    <t>1.3</t>
  </si>
  <si>
    <t>3.1</t>
  </si>
  <si>
    <t>3.2</t>
  </si>
  <si>
    <t>T</t>
  </si>
  <si>
    <t>H</t>
  </si>
  <si>
    <t>Ca</t>
  </si>
  <si>
    <t>Kw</t>
  </si>
  <si>
    <t>1.2</t>
  </si>
  <si>
    <t>2.1</t>
  </si>
  <si>
    <t>2.2</t>
  </si>
  <si>
    <t xml:space="preserve">2- Chi phí nhân công cho công việc "Chuẩn bị hợp đồng cho thuê đất (nếu có)" chưa được tổng hợp trong đơn giá; khi phải thực hiện công việc này thì được tính thêm vào đơn giá theo số thửa phải lập Hợp đồng cho thuê đất. </t>
  </si>
  <si>
    <t>VIII.1- ĐĂNG KÝ, CẤP ĐỔI, CẤP LẠI GIẤY CHỨNG NHẬN RIÊNG ĐẤT ĐỐI VỚI TỔ CHỨC (bảng 13)</t>
  </si>
  <si>
    <t>hô sơ</t>
  </si>
  <si>
    <t>TỔNG HỢP ĐƠN GIÁ SẢN PHẨM ĐĂNG KÝ BIẾN ĐỘNG VỀ TÀI SẢN ĐỐI VỚI TỔ CHỨC</t>
  </si>
  <si>
    <t>TỔNG HỢP ĐƠN GIÁ SẢN PHẨM ĐĂNG KÝ BIẾN ĐỘNG VỀ ĐẤT ĐỐI VỚI TỔ CHỨC</t>
  </si>
  <si>
    <t>TỔNG HỢP ĐƠN GIÁ SẢN PHẨM ĐĂNG KÝ BIẾN ĐỘNG ĐỒNG THỜI CẢ ĐẤT VÀ TÀI SẢN ĐỐI VỚI TỔ CHỨC</t>
  </si>
  <si>
    <t>ĐƠN GIÁ SẢN PHẨM TRÍCH LỤC HỒ SƠ ĐỊA CHÍNH</t>
  </si>
  <si>
    <t>TRÍCH LỤC TỪ HỒ SƠ ĐỊA CHÍNH SỐ</t>
  </si>
  <si>
    <t>TRÍCH SAO TỪ HỒ SƠ ĐỊA CHÍNH GIẤY</t>
  </si>
  <si>
    <r>
      <t xml:space="preserve">TRÍCH LỤC HỒ SƠ ĐỊA CHÍNH CHO KHU ĐẤT CÓ TỪ 2 </t>
    </r>
    <r>
      <rPr>
        <b/>
        <sz val="10"/>
        <rFont val="Times New Roman"/>
        <family val="1"/>
      </rPr>
      <t>÷</t>
    </r>
    <r>
      <rPr>
        <b/>
        <sz val="10"/>
        <rFont val="Arial"/>
        <family val="2"/>
      </rPr>
      <t xml:space="preserve"> 4 THỬA</t>
    </r>
  </si>
  <si>
    <r>
      <t xml:space="preserve">TRÍCH LỤC HỒ SƠ ĐỊA CHÍNH CHO KHU ĐẤT CÓ TỪ 5 </t>
    </r>
    <r>
      <rPr>
        <b/>
        <sz val="10"/>
        <rFont val="Times New Roman"/>
        <family val="1"/>
      </rPr>
      <t>÷</t>
    </r>
    <r>
      <rPr>
        <b/>
        <sz val="10"/>
        <rFont val="Arial"/>
        <family val="2"/>
      </rPr>
      <t xml:space="preserve"> 10 THỬA</t>
    </r>
  </si>
  <si>
    <t>III</t>
  </si>
  <si>
    <t>IV</t>
  </si>
  <si>
    <t>TRÍCH LỤC HỒ SƠ ĐỊA CHÍNH CHO KHU ĐẤT CÓ TRÊN 10 THỬA</t>
  </si>
  <si>
    <t>Dụng cụ nhỏ (B=5%A)</t>
  </si>
  <si>
    <t>Lương
cấp bậc</t>
  </si>
  <si>
    <t>Lương phụ
(11%)</t>
  </si>
  <si>
    <t>Phụ cấp
lưu động
(0,4)</t>
  </si>
  <si>
    <t>Phụ cấp
trách nhiệm
(0,2/5)</t>
  </si>
  <si>
    <t>PC độc hại,
nguy hiểm
(0,2)</t>
  </si>
  <si>
    <t>Lương
tháng</t>
  </si>
  <si>
    <t>Lương
ngày</t>
  </si>
  <si>
    <t>I- ĐĂNG KÝ, CẤP GIẤY CHỨNG NHẬN LẦN ĐẦU ĐỒNG LOẠT ĐỐI VỚI HỘ GIA ĐÌNH, CÁ NHÂN Ở XÃ, THỊ TRẤN (Bảng 67)</t>
  </si>
  <si>
    <t>USB flash 1GB</t>
  </si>
  <si>
    <t>Ca/xã</t>
  </si>
  <si>
    <t>Cộng                     thành tiền (đ/phường)</t>
  </si>
  <si>
    <t>Ca/ph</t>
  </si>
  <si>
    <t>Ca/hồ sơ</t>
  </si>
  <si>
    <t>đ/hồ sơ</t>
  </si>
  <si>
    <t>V- ĐĂNG KÝ, CẤP GIẤY CHỨNG NHẬN LẦN ĐẦU ĐỐI VỚI TỔ CHỨC</t>
  </si>
  <si>
    <t>VI- ĐĂNG KÝ, CẤP ĐỔI GIẤY CHỨNG NHẬN ĐỒNG LOẠT TẠI XÃ, THỊ TRẤN</t>
  </si>
  <si>
    <t>Quét giấy tờ pháp lý về quyền sử dụng đất, quyền sở hữu nhà ở và tài sản khác gắn liền với đất</t>
  </si>
  <si>
    <t>14.1.1</t>
  </si>
  <si>
    <t>Quét trang A3</t>
  </si>
  <si>
    <t>Trang</t>
  </si>
  <si>
    <t>1KS1</t>
  </si>
  <si>
    <t>14.1.2</t>
  </si>
  <si>
    <t>Quét trang A4</t>
  </si>
  <si>
    <t>14.2</t>
  </si>
  <si>
    <t>CÁC NỘI DUNG THỰC HIỆN TẠI ĐỊA BÀN PHƯỜNG</t>
  </si>
  <si>
    <t xml:space="preserve"> ĐĂNG KÝ, CẤP GIẤY CHỨNG NHẬN LẦN ĐẦU ĐỒNG THỜI CẢ ĐẤT VÀ TÀI SẢN THỰC HIỆN ĐƠN LẺ TỪNG HỘ GIA ĐÌNH, CÁ NHÂN - TRƯỜNG HỢP NỘP HỒ SƠ TẠI VPĐK CẤP HUYỆN</t>
  </si>
  <si>
    <t>VII- ĐĂNG KÝ, CẤP ĐỔI GIẤY CHỨNG NHẬN ĐỒNG LOẠT TẠI PHƯỜNG</t>
  </si>
  <si>
    <t>X- ĐĂNG KÝ BIẾN ĐỘNG ĐỐI VỚI HỘ GIA ĐÌNH, CÁ NHÂN TRƯỜNG HỢP NỘP HỒ SƠ TẠI XÃ</t>
  </si>
  <si>
    <t>XI- ĐĂNG KÝ BIẾN ĐỘNG ĐỐI VỚI HỘ GIA ĐÌNH, CÁ NHÂN TRƯỜNG HỢP NỘP HỒ SƠ TẠI VĂN PHÒNG ĐĂNG KÝ CẤP HUYỆN</t>
  </si>
  <si>
    <t>XII- ĐĂNG KÝ BIẾN ĐỘNG ĐỐI VỚI TỔ CHỨC</t>
  </si>
  <si>
    <t>XIII- TRÍCH LỤC HỒ SƠ ĐỊA CHÍNH</t>
  </si>
  <si>
    <t>Văn phòng ĐKQSD đất              cấp huyện</t>
  </si>
  <si>
    <t>Văn phòng ĐKQSD đất      cấp huyện</t>
  </si>
  <si>
    <t>Văn phòng ĐKQSD               đất cấp tỉnh</t>
  </si>
  <si>
    <t>Nhập ý kiến xác nhận của xã, thị trấn vào tệp (File) dữ liệu hồ sơ số</t>
  </si>
  <si>
    <t>Nhận thông báo, chuyển thông báo nghĩa vụ tài chính cho người sử dụng đất (sau khi cấp huyện xác định nghĩa vụ tài chính và gửi cho xã, thị trấn để thông báo cho người sử dụng đất)</t>
  </si>
  <si>
    <t>Nhận và trao hợp đồng thuê đất (nếu có), trao GCN cho người sử dụng đất; thu và gửi phí, lệ phí cấp GCN về cấp huyện</t>
  </si>
  <si>
    <t>Nhận, chuyển hồ sơ đề nghị đăng ký, cấp GCN từ người sử dụng đất</t>
  </si>
  <si>
    <t>Nhận, kiểm tra tính đầy đủ, hợp lệ và viết (xuất) giấy biên nhận hoặc trả lại hồ sơ, vào sổ theo dõi nhận, trả hồ sơ (theo hình thức trực tiếp, trực tuyến)</t>
  </si>
  <si>
    <t>Chuyển hồ sơ đến xã, thị trấn để lấy ý kiến xác nhận và công khai kết quả theo quy định</t>
  </si>
  <si>
    <t>1.2.1</t>
  </si>
  <si>
    <t>1.2.2</t>
  </si>
  <si>
    <t>Tiếp nhận hồ sơ đề nghị đăng ký, cấp GCN của người sử dụng đất từ xã, thị trấn chuyển đến</t>
  </si>
  <si>
    <t>Trích lục thửa đất từ BĐĐC, các loại bản đồ, sơ đồ khác (trường hợp phải trích đo địa chính hoặc chỉnh lý bản đồ thửa đất thì áp dụng định mức theo quy định tại Chương I Phần II)</t>
  </si>
  <si>
    <t>Chuyển thông tin nghĩa vụ tài chính</t>
  </si>
  <si>
    <t>Chuyển thông tin nghĩa vụ tài chính để người sử dụng đất thực hiện nghĩa vụ tài chính và nhận lại hóa đơn nghĩa vụ tài chính đã thực hiện (đối với trường hợp nộp hồ sơ tại cấp huyện)</t>
  </si>
  <si>
    <t>8.1.1</t>
  </si>
  <si>
    <t>8.1.2</t>
  </si>
  <si>
    <t>3- Trường hợp có kê khai đăng ký nhưng không thuộc trường hợp phải cấp GCN thì đơn giá nhân công được tính bằng 50% mức đơn giá đối với trường hợp cấp GCN. Trường hợp có kê khai đăng ký, nhưng người sử dụng đất không có nhu cầu cấp GCN hoặc sau khi xét duyệt không đủ điều kiện được cấp GCN thì đơn giá nhân công được tính bằng 90% mức đơn giá đối với trường hợp cấp GCN (không bao gồm chi phí dụng cụ, vật liệu, thiết bị, năng lượng).</t>
  </si>
  <si>
    <t>III.1. ĐĂNG KÝ, CẤP GIẤY CHỨNG NHẬN QSD ĐẤT LẦN ĐẦU ĐƠN LẺ TỪNG HỘ GIA ĐÌNH, CÁ NHÂN - TRƯỜNG HỢP NỘP HỒ SƠ TẠI XÃ</t>
  </si>
  <si>
    <t>III.1. ĐĂNG KÝ, CẤP GIẤY CHỨNG NHẬN QSD ĐẤT LẦN ĐẦU ĐƠN LẺ TỪNG HỘ GIA ĐÌNH, CÁ NHÂN - TRƯỜNG HỢP NỘP HỒ SƠ TẠI HUYỆN</t>
  </si>
  <si>
    <t>3-Trường hợp có kê khai đăng ký, nhưng người sử dụng đất không đổi GCN hoặc sau khi xét duyệt không đủ điều kiện được cấp đổi GCN thì đơn giá được tính bằng 90% mức đơn giá bình quân đối với trường hợp cấp GCN (không bao gồm chi phí vật liệu).</t>
  </si>
  <si>
    <t>5- Đơn giá trên đây tính đối với việc đăng ký, cấp đổi GCN về quyền sử dụng đất. Trường hợp đăng ký, cấp đổi GCN đối với cả đất và tài sản gắn liền với đất thì đơn giá tính cho 1 hồ sơ đăng ký cả đất và tài sản bằng 1,3 lần đơn giá bình quân 1 hồ sơ đăng ký đối với đất. Trường hợp đăng ký đổi GCN riêng đối với tài sản thì đơn giá tính cho 1 hồ sơ đăng ký đổi GCN đối với tài sản bằng đơn giá bình quân 1 hồ sơ đăng ký đối với đất.</t>
  </si>
  <si>
    <t>6- Trường hợp phải chuẩn bị hợp đồng cho thuê đất, mức dụng cụ tính bằng 0,003% mức dụng cụ của VPĐK cấp huyện, mức vật liệu được tính là: 0,02 Ram giấy A4 và 0,004 hộp mực A4, giá vật liệu được lây theo bảng giá trong phần "Phụ lục đơn giá". (Các mức này được áp dụng chung cho các trường hợp lập hợp đồng cho thuê đất)</t>
  </si>
  <si>
    <t>Nhận lại hồ sơ, GCN, nhập thông tin vào Sổ cấp giấy (đối với trường hợp phải cấp GCN); chỉnh lý hồ sơ địa chính; gửi cho cơ quan quản lý tài sản (nếu có); gửi thông báo biến động cho cấp tỉnh, xã, thị trấn; trả GCN, thu phí, lệ phí, nộp kho bạc</t>
  </si>
  <si>
    <t>Nhận hồ sơ, ký GCN, chuyển hồ sơ, GCN cho cấp huyện</t>
  </si>
  <si>
    <t>Địa bàn xã, thị trấn nhận thông báo biến động, chỉnh lý vào HSĐC</t>
  </si>
  <si>
    <t>Hướng dẫn lập hồ sơ đăng ký biếnđộng đất đai</t>
  </si>
  <si>
    <t>VI- ĐĂNG KÝ, CẤP ĐỔI GIẤY CHỨNG NHẬN ĐỒNG LOẠT TẠI PHƯỜNG (bảng 11)</t>
  </si>
  <si>
    <t>VII.1- ĐĂNG KÝ, CẤP ĐỔI, CẤP LẠI GIẤY CHỨNG NHẬN QSD ĐẤT RIÊNG LẺ ĐỐI VỚI HỘ GIA ĐÌNH CÁ NHÂN(bảng 12)</t>
  </si>
  <si>
    <t>VII.2- ĐĂNG KÝ, CẤP ĐỔI, CẤP LẠI GIẤY CHỨNG NHẬN ĐỐI VỚI TÀI SẢN RIÊNG LẺ ĐỐI VỚI HỘ GIA ĐÌNH CÁ NHÂN (bảng 12)</t>
  </si>
  <si>
    <t>VI.3- ĐĂNG KÝ, CẤP ĐỔI, CẤP LẠI GIẤY CHỨNG NHẬN ĐỒNG THỜI CẢ ĐẤT VÀ TÀI SẢN THỰC HIỆN RIÊNG LẺ ĐỐI VỚI HỘ GIA ĐÌNH CÁ NHÂN(bảng 12)</t>
  </si>
  <si>
    <t>IX.1- ĐĂNG KÝ BIẾN ĐỘNG VỀ ĐẤT ĐỐI VỚI HỘ GIA ĐÌNH, CÁ NHÂN (bảng 14)</t>
  </si>
  <si>
    <t>IX.2- ĐĂNG KÝ BIẾN ĐỘNG VỀ TÀI SẢN ĐỐI VỚI HỘ GIA ĐÌNH CÁ NHÂN (bảng 14)</t>
  </si>
  <si>
    <t>IX.3- ĐĂNG KÝ BIẾN ĐỘNG ĐỒNG THỜI ĐẤT VÀ TÀI SẢN ĐỐI VỚI HỘ GIA ĐÌNH CÁ NHÂN (bảng 14)</t>
  </si>
  <si>
    <t>Hướng dẫn lập hồ sơ đăng ký biến động đất đai</t>
  </si>
  <si>
    <t>Nhóm 2 (1KS3, 1KS2)</t>
  </si>
  <si>
    <t>Nhận lại hồ sơ, GCN, nhập thông tin vào Sổ cấp giấy (đối với trường hợp phải cấp GCN); chỉnh lý hồ sơ địa chính; gửi cho cơ quan quản lý tài sản (nếu có); gửi thông báo biến động cho cấp huyện, xã, thị trấn; trả GCN, thu phí, lệ phí, nộp kho bạc</t>
  </si>
  <si>
    <t>X.1- ĐĂNG KÝ BIẾN ĐỘNG VỀ ĐẤT VỚI TỔ CHỨC (bảng 16)</t>
  </si>
  <si>
    <t>X.2- ĐĂNG KÝ BIẾN ĐỘNG VỀ TÀI SẢN VỚI TỔ CHỨC (bảng 16)</t>
  </si>
  <si>
    <t>X.3- ĐĂNG KÝ BIẾN ĐỘNG ĐỒNG THỜI VỀ ĐẤT VÀ TÀI SẢN VỚI TỔ CHỨC (bảng 16)</t>
  </si>
  <si>
    <t>I- ĐĂNG KÝ, CẤP GIẤY CHỨNG NHẬN LẦN ĐẦU ĐỒNG LOẠT ĐỐI VỚI HỘ GIA ĐÌNH, CÁ NHÂN Ở XÃ, THỊ TRẤN (BẢNG 64)</t>
  </si>
  <si>
    <t>TỔNG HỢP ĐƠN GIÁ SẢN PHẨM ĐĂNG KÝ, CẤP GIẤY CHỨNG NHẬN LẦN ĐẦU ĐỒNG THỜI CẢ ĐẤT VÀ TÀI SẢN THỰC HIỆN ĐƠN LẺ TỪNG HỘ GIA ĐÌNH, CÁ NHÂN - TRƯỜNG HỢP NỘP HỒ SƠ TẠI XÃ</t>
  </si>
  <si>
    <t>ĐƠN GIÁ SẢN PHẨM ĐĂNG KÝ ĐẤT ĐAI, TÀI SẢN GẮN LIỀN VỚI ĐẤT;
LẬP, CHỈNH LÝ, CẬP NHẬT HỒ SƠ ĐỊA CHÍNH; CẤP GIẤY CHỨNG NHẬN</t>
  </si>
  <si>
    <t>1- Tổng hợp đơn giá cho công việc trích lục thửa đất, viết GCN bằng công nghệ tin học, khi thực hiện bằng công nghệ khác thì được tính lại theo đơn giá của công nghệ tương ứng.</t>
  </si>
  <si>
    <t>Chuẩn bị địa điểm đăng ký</t>
  </si>
  <si>
    <t>Điểm</t>
  </si>
  <si>
    <t>Nhóm 2 (1KS2, 1KTV4)</t>
  </si>
  <si>
    <t>Chuẩn bị các tài liệu, bản đồ, mẫu đơn đề nghị đăng ký, cấp GCN, danh sách các trường hợp sử dụng đất theo địa điểm (theo xã, thị trấn)</t>
  </si>
  <si>
    <t>Bộ tài liệu</t>
  </si>
  <si>
    <t>Nhóm 3 (1KS3, 1KS2, 1KTV4)</t>
  </si>
  <si>
    <t>Tổ chức phổ biến, tuyên truyền chủ trương, chính sách về đăng ký, cấp GCN</t>
  </si>
  <si>
    <t>Cuộc</t>
  </si>
  <si>
    <t>1KS3</t>
  </si>
  <si>
    <t>1.4</t>
  </si>
  <si>
    <t>Hướng dẫn lập hồ sơ đề nghị đăng ký, cấp GCN</t>
  </si>
  <si>
    <t>1.4.1</t>
  </si>
  <si>
    <t>Theo hình thức trực tiếp</t>
  </si>
  <si>
    <t>1KS2</t>
  </si>
  <si>
    <t>1.4.2</t>
  </si>
  <si>
    <t>Theo hình thức trực tuyến</t>
  </si>
  <si>
    <t>Nhận, kiểm tra tính đầy đủ, hợp lệ và viết giấy biên nhận hoặc trả lại hồ sơ, vào sổ theo dõi nhận, trả hồ sơ (theo hình thức trực tiếp, trực tuyến)</t>
  </si>
  <si>
    <t>Tạo tệp (File) dữ liệu hồ sơ số và nhập thông tin do người sử dụng đất kê khai, đăng ký</t>
  </si>
  <si>
    <t>Kiểm tra, xác minh, lấy ý kiến khu dân cư (nếu có) hồ sơ đề nghị đăng ký, cấp GCN</t>
  </si>
  <si>
    <t>III.2- ĐĂNG KÝ, CẤP GIẤY CHỨNG NHẬN LẦN ĐẦU ĐƠN LẺ TỪNG HỘ GIA ĐÌNH, CÁ NHÂN - TRƯỜNG HỢP NỘP HỒ SƠ TẠI VPĐK CẤP HUYỆN (Bảng 72)</t>
  </si>
  <si>
    <t>1- Tổng hợp đơn giá cho công việc viết GCN bằng công nghệ tin học, khi thực hiện bằng công nghệ khác thì được tính lại theo đơn giá của công nghệ tương ứng.</t>
  </si>
  <si>
    <t>TỔNG HỢP ĐƠN GIÁ SẢN PHẨM ĐĂNG KÝ, CẤP ĐỔI GIẤY CHỨNG NHẬN ĐỒNG LOẠT TẠI XÃ, THỊ TRẤN</t>
  </si>
  <si>
    <t>TỔNG HỢP ĐƠN GIÁ SẢN PHẨM ĐĂNG KÝ, CẤP GIẤY CHỨNG NHẬN LẦN ĐẦU ĐỒNG LOẠT ĐỐI VỚI HỘ GIA ĐÌNH, CÁ NHÂN Ở PHƯỜNG</t>
  </si>
  <si>
    <t>TỔNG HỢP ĐƠN GIÁ SẢN PHẨM ĐĂNG KÝ, CẤP GIẤY CHỨNG NHẬN QUYỀN SỬ DỤNG ĐẤT LẦN ĐẦU ĐỐI VỚI TỔ CHỨC</t>
  </si>
  <si>
    <t>TỔNG HỢP ĐƠN GIÁ SẢN PHẨM ĐĂNG KÝ, CẤP GIẤY CHỨNG NHẬN QUYỀN SỞ HỮU TÀI SẢN LẦN ĐẦU ĐỐI VỚI TỔ CHỨC</t>
  </si>
  <si>
    <t>TỔNG HỢP ĐƠN GIÁ SẢN PHẨM ĐĂNG KÝ, CẤP GIẤY CHỨNG NHẬN LẦN ĐẦU ĐỒNG THỜI CẢ ĐẤT VÀ TÀI SẢN ĐỐI VỚI TỔ CHỨC</t>
  </si>
  <si>
    <t>14.1</t>
  </si>
  <si>
    <t>Xử lý các tệp tin quét thành tệp (File) hồ sơ quét dạng số của thửa đất, lưu trữ dưới khuôn dạng tệp tin PDF</t>
  </si>
  <si>
    <t>14.3</t>
  </si>
  <si>
    <t>Tạo liên kết hồ sơ quét dạng số với thửa đất trong cơ sở dữ liệu</t>
  </si>
  <si>
    <t xml:space="preserve">1- Trường hợp người sử dụng đất đã đăng ký đất đai theo quy định của pháp luật mà có nhu cầu cấp GCN thì được tính định mức đối với Mục 1, 2, 3, 5, 6, 7, 8, 9, 10, 11, 12, 13, 14 các nội dung thực hiện tại địa bàn cấp tỉnh và các nội dung thực hiện tại địa bàn cấp huyện, xã, thị trấn </t>
  </si>
  <si>
    <t>3- Trường hợp có kê khai đăng ký, nhưng người sử dụng đất không có nhu cầu cấp GCN hoặc sau khi xét duyệt không đủ điều kiện được cấp GCN thì đơn giá được tính bằng 90% mức đơn giá đối với trường hợp cấp GCN  (không bao gồm chi phí vật liệu).</t>
  </si>
  <si>
    <t xml:space="preserve">4- Đối với các hồ sơ không đủ điều kiện cấp GCN thì được tính định mức đối với Mục 1, 2, 3, 4, 5, 6, 7, 8, 9 các nội dung thực hiện tại địa bàn xã, thị trấn; Mục 1, 2, 4, 5, 9, 15 các nội dung thực hiện tại địa bàn cấp huyện; mục 1 các nội dung thực hiện tại địa bàn cấp tỉnh </t>
  </si>
  <si>
    <t>Chuyển thông tin nghĩa vụ tài chính về xã, thị trấn để chuyển cho người sử dụng đất và nhận lại hóa đơn nghĩa vụ tài chính đã thực hiện (đối với trường hợp nộp hồ sơ tại xã, thị trấn)</t>
  </si>
  <si>
    <t>Nhận lại hồ sơ, GCN, hợp đồng thuê đất; lập và sao sổ cấp GCN; gửi cho cơ quan quản lý tài sản (nếu có)</t>
  </si>
  <si>
    <t>15.1</t>
  </si>
  <si>
    <t>15.1.1</t>
  </si>
  <si>
    <t>15.1.2</t>
  </si>
  <si>
    <t>15.2</t>
  </si>
  <si>
    <t>15.3</t>
  </si>
  <si>
    <t>Cập nhật bổ sung việc cấp GCN vào hồ sơ địa chính hoặc cơ sở dữ liệu đất đai và gửi nội dung cập nhật hồ sơ địa chính về cấp tỉnh</t>
  </si>
  <si>
    <t>Trao GCN cho người sử dụng đất, nhận phí, lệ phí cấp GCN, nộp kho bạc</t>
  </si>
  <si>
    <t>17.1</t>
  </si>
  <si>
    <t>17.2</t>
  </si>
  <si>
    <t>Chuyển GCN đã ký về xã, thị trấn để trao cho người sử dụng đất, bản sao sổ cấp GCN, nhận phí, lệ phí cấp GCN, nộp kho bạc</t>
  </si>
  <si>
    <t>Nhận bản thông báo cập nhật hồ sơ địa chính cấp huyện chuyển đến đối với những nơi chưa liên thông</t>
  </si>
  <si>
    <t>Nhóm 2 (1KS2,1K TV4)</t>
  </si>
  <si>
    <t>Tạo tệp (File) dữ liệu hồ sơ số và nhập thông tin do người sử dụng đất, quản lý đất kê khai, đăng ký</t>
  </si>
  <si>
    <t>Kiểm tra hồ sơ, gửi và nhận phiếu xin ý kiến cơ quan quản lý về tài sản (nếu cần xác minh thêm thông tin), trích lục thửa đất</t>
  </si>
  <si>
    <t>Kiểm tra tình trạng pháp lý của hồ sơ đề nghị đăng ký, cấp GCN</t>
  </si>
  <si>
    <t>Kiểm tra xác minh thực địa với hồ sơ đề nghị đăng ký, cấp GCN, xác nhận sơ đồ tài sản trong trường hợp chưa có xác nhận của cơ quan có tư cách pháp nhân hành nghề về đo đạc, xây dựng</t>
  </si>
  <si>
    <t>4.3</t>
  </si>
  <si>
    <t>Nhập ý kiến xác nhận của cấp tỉnh vào tệp (File) dữ liệu hồ sơ số</t>
  </si>
  <si>
    <t>4.4</t>
  </si>
  <si>
    <t>Lập, gửi và nhận phiếu xin ý kiến cơ quan quản lý về tài sản (nếu cần xác minh thêm thông tin)</t>
  </si>
  <si>
    <t>4.4.1</t>
  </si>
  <si>
    <t>4.4.2</t>
  </si>
  <si>
    <t>Theo hình thức trực tuyến liên thông</t>
  </si>
  <si>
    <t>4.5</t>
  </si>
  <si>
    <t>Trích lục thửa đất từ BĐĐC, các loại bản đồ, sơ đồ khác (trường hợp phải trích đo địa chính hoặc chỉnh lý bản đồ thửa đất thì áp dụng định mức theo quy định tại Chương I Phần 2)</t>
  </si>
  <si>
    <t>4.5.1</t>
  </si>
  <si>
    <t>4.5.2</t>
  </si>
  <si>
    <t>Nhận lại hồ sơ, GCN, hợp đồng thuê đất; lập và sao sổ cấp GCN; gửi cơ quan quản lý tài sản (nếu có)</t>
  </si>
  <si>
    <t>12.1</t>
  </si>
  <si>
    <t>12.1.1</t>
  </si>
  <si>
    <t>12.1.2</t>
  </si>
  <si>
    <t>12.2</t>
  </si>
  <si>
    <t>12.3</t>
  </si>
  <si>
    <t>CÁC NỘI DUNG THỰC HIỆN TẠI ĐỊA BÀN CẤP TỈNH</t>
  </si>
  <si>
    <t xml:space="preserve"> -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</si>
  <si>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 xml:space="preserve"> - Trường hợp đăng ký biến động đất đai mà thực hiện cấp mới GCN thì áp dụng mức thiết bị của Bảng 96. Trường hợp đăng ký biến động đất đai mà không thực hiện cấp mới GCN thì được tính bằng 0,6 lần mức thiết bị của Bảng  trên</t>
  </si>
  <si>
    <t xml:space="preserve"> - Đối với xã, thị trấn xây dựng cơ sở dữ liệu địa chính thì trong công việc đăng ký, cấp đổi GCN không được tính mức thiết bị tại địa bàn cấp tỉnh quy định tại bảng trên</t>
  </si>
  <si>
    <t xml:space="preserve"> - Trường hợp nhiều thửa đất nông nghiệp được cấp chung trong một GCN thì ngoài mức được tính ở trên cứ mỗi thửa đất tăng thêm được tính bằng 0,20 đối với các nội dung thực hiện tại địa bàn xã, thị trấn và 0,30 đối với các nội dung thực hiện tại địa bàn cấp huyện.</t>
  </si>
  <si>
    <t>- Trường hợp đăng ký nhưng không có nhu cầu đổi GCN hoặc không đủ điều kiện cấp đổi GCN thì được tính mức bằng 90% mức quy định tại bảng trên</t>
  </si>
  <si>
    <r>
      <t>CÁC NỘI DUNG THỰC HIỆN TẠI</t>
    </r>
    <r>
      <rPr>
        <sz val="11"/>
        <color indexed="8"/>
        <rFont val="Arial"/>
        <family val="2"/>
      </rPr>
      <t> </t>
    </r>
    <r>
      <rPr>
        <b/>
        <sz val="11"/>
        <color indexed="8"/>
        <rFont val="Arial"/>
        <family val="2"/>
      </rPr>
      <t>ĐỊA BÀN CẤP HUYỆN</t>
    </r>
  </si>
  <si>
    <r>
      <t>CÁC NỘI DUNG THỰC HIỆN TẠI</t>
    </r>
    <r>
      <rPr>
        <sz val="11"/>
        <color indexed="8"/>
        <rFont val="Arial"/>
        <family val="2"/>
      </rPr>
      <t> </t>
    </r>
    <r>
      <rPr>
        <b/>
        <sz val="11"/>
        <color indexed="8"/>
        <rFont val="Arial"/>
        <family val="2"/>
      </rPr>
      <t>ĐỊA BÀN XÃ, THỊ TRẤN</t>
    </r>
  </si>
  <si>
    <t>Quy định tại Thông tư liên tịch số 136/2017/TT-BTC ngày 22/12/2017</t>
  </si>
  <si>
    <t>Áp dụng từ 01/7/2018</t>
  </si>
  <si>
    <r>
      <t>CÁC NỘI DUNG THỰC HIỆN TẠI</t>
    </r>
    <r>
      <rPr>
        <sz val="9"/>
        <rFont val="Arial"/>
        <family val="2"/>
      </rPr>
      <t> </t>
    </r>
    <r>
      <rPr>
        <b/>
        <sz val="9"/>
        <rFont val="Arial"/>
        <family val="2"/>
      </rPr>
      <t>ĐỊA BÀN CẤP TỈNH</t>
    </r>
  </si>
  <si>
    <r>
      <t>CÁC NỘI DUNG THỰC HIỆN TẠI</t>
    </r>
    <r>
      <rPr>
        <sz val="9"/>
        <rFont val="Arial"/>
        <family val="2"/>
      </rPr>
      <t> </t>
    </r>
    <r>
      <rPr>
        <b/>
        <sz val="9"/>
        <rFont val="Arial"/>
        <family val="2"/>
      </rPr>
      <t>ĐỊA BÀN CẤP HUYỆN</t>
    </r>
  </si>
  <si>
    <r>
      <t>CÁC NỘI DUNG THỰC HIỆN TẠI</t>
    </r>
    <r>
      <rPr>
        <sz val="9"/>
        <rFont val="Arial"/>
        <family val="2"/>
      </rPr>
      <t> </t>
    </r>
    <r>
      <rPr>
        <b/>
        <sz val="9"/>
        <rFont val="Arial"/>
        <family val="2"/>
      </rPr>
      <t>ĐỊA BÀN XÃ, THỊ TRẤN</t>
    </r>
  </si>
  <si>
    <r>
      <t>Ghi chú</t>
    </r>
    <r>
      <rPr>
        <sz val="9"/>
        <rFont val="Arial"/>
        <family val="2"/>
      </rPr>
      <t>:</t>
    </r>
  </si>
  <si>
    <t>TRÍCH LỤC TỪ HỒ SƠ ĐỊA CHÍNH SỐ (TÍNH CHO 01 THỬA)</t>
  </si>
  <si>
    <t>TRÍCH SAO TỪ HỒ SƠ ĐỊA CHÍNH GIẤY (TÍNH CHO 01 THỬA)</t>
  </si>
  <si>
    <t xml:space="preserve"> Cặp để tài liệu </t>
  </si>
  <si>
    <t xml:space="preserve"> Cái </t>
  </si>
  <si>
    <t xml:space="preserve"> Ghim vòng </t>
  </si>
  <si>
    <t xml:space="preserve"> Hộp </t>
  </si>
  <si>
    <t xml:space="preserve"> Ghim dập </t>
  </si>
  <si>
    <t xml:space="preserve"> Mực in Laser (A4) </t>
  </si>
  <si>
    <t xml:space="preserve"> Mực máy Photocopy </t>
  </si>
  <si>
    <t xml:space="preserve"> Xã </t>
  </si>
  <si>
    <t xml:space="preserve"> Mực in Laser (A3) </t>
  </si>
  <si>
    <t xml:space="preserve"> Mẫu trích lục bản đồ </t>
  </si>
  <si>
    <t xml:space="preserve"> Tờ </t>
  </si>
  <si>
    <t xml:space="preserve"> Bộ </t>
  </si>
  <si>
    <t xml:space="preserve"> Giấy A4 </t>
  </si>
  <si>
    <t xml:space="preserve"> Ram </t>
  </si>
  <si>
    <t xml:space="preserve"> Giấy A3 </t>
  </si>
  <si>
    <t xml:space="preserve"> Sổ công tác </t>
  </si>
  <si>
    <t xml:space="preserve"> Quyển </t>
  </si>
  <si>
    <t xml:space="preserve"> Bút bi </t>
  </si>
  <si>
    <t xml:space="preserve"> Bút xóa </t>
  </si>
  <si>
    <t xml:space="preserve"> Bút đánh dấu </t>
  </si>
  <si>
    <t xml:space="preserve"> Bìa sổ (2 tờ/sổ = cặp) </t>
  </si>
  <si>
    <t xml:space="preserve"> Cặp </t>
  </si>
  <si>
    <t xml:space="preserve"> Đĩa mềm </t>
  </si>
  <si>
    <t xml:space="preserve"> Đĩa </t>
  </si>
  <si>
    <t xml:space="preserve"> Giấy làm bìa hồ sơ (A3) </t>
  </si>
  <si>
    <t xml:space="preserve"> Mực in cho máy Plotter (4 màu) </t>
  </si>
  <si>
    <t xml:space="preserve"> Giấy in bản đồ A0 (100 gram/m2) </t>
  </si>
  <si>
    <t xml:space="preserve"> Tờ  </t>
  </si>
  <si>
    <t xml:space="preserve"> Đơn xin đăng ký biến động </t>
  </si>
  <si>
    <t xml:space="preserve"> Đĩa CD </t>
  </si>
  <si>
    <t xml:space="preserve"> Túi đựng hồ sơ </t>
  </si>
  <si>
    <t xml:space="preserve"> Mực photocoppy A0 </t>
  </si>
  <si>
    <t>Máy toàn đạc điện tử</t>
  </si>
  <si>
    <t>cái</t>
  </si>
  <si>
    <t>Máy tính xách tay</t>
  </si>
  <si>
    <t>Sổ điện tử</t>
  </si>
  <si>
    <t>Máy vi tính</t>
  </si>
  <si>
    <t>Máy in phun Ao</t>
  </si>
  <si>
    <t>Máy điều hòa</t>
  </si>
  <si>
    <t>Máy pho to Ao</t>
  </si>
  <si>
    <t>Phần mềm vẽ BĐ</t>
  </si>
  <si>
    <t>Xe ô tô 9-12 chỗ</t>
  </si>
  <si>
    <t>Bộ máy GPS 3 máy</t>
  </si>
  <si>
    <t>Máy bộ đàm (bộ 3 máy)</t>
  </si>
  <si>
    <t>Máy in Laser A3</t>
  </si>
  <si>
    <t>Máy Photocopy  A3</t>
  </si>
  <si>
    <t>Máy in Laser A4</t>
  </si>
  <si>
    <t>BẢNG GIÁ DỤNG CỤ</t>
  </si>
  <si>
    <t>BẢNG GIÁ VẬT LIỆU</t>
  </si>
  <si>
    <t>BẢNG GIÁ MÁY MÓC THIẾT BỊ</t>
  </si>
  <si>
    <t>Số</t>
  </si>
  <si>
    <t xml:space="preserve">Danh mục </t>
  </si>
  <si>
    <t>ĐV</t>
  </si>
  <si>
    <t xml:space="preserve"> đơn giá </t>
  </si>
  <si>
    <t>Dụng cụ</t>
  </si>
  <si>
    <t>tính</t>
  </si>
  <si>
    <t xml:space="preserve"> (đ) </t>
  </si>
  <si>
    <t xml:space="preserve"> (đ/ca) </t>
  </si>
  <si>
    <t>Vật liệu</t>
  </si>
  <si>
    <t>Thiết bị</t>
  </si>
  <si>
    <t>(năm)</t>
  </si>
  <si>
    <t>STT</t>
  </si>
  <si>
    <t>Nội dung</t>
  </si>
  <si>
    <t>Đơn vị tính</t>
  </si>
  <si>
    <t>Mức áp dụng</t>
  </si>
  <si>
    <t>Ghi chú</t>
  </si>
  <si>
    <t>đồng/tháng</t>
  </si>
  <si>
    <t>Lương phụ</t>
  </si>
  <si>
    <t>%</t>
  </si>
  <si>
    <t>Trên lương cấp bậc</t>
  </si>
  <si>
    <t>Phụ cấp lưu động</t>
  </si>
  <si>
    <t>Trên lương tối thiểu chung</t>
  </si>
  <si>
    <t>Phụ cấp trách nhiệm</t>
  </si>
  <si>
    <t>Trên lương tối thiểu, tính cho tổ 5 người</t>
  </si>
  <si>
    <t>Phụ cấp độc hại, nguy hiểm</t>
  </si>
  <si>
    <t>Số ngày làm việc trong tháng</t>
  </si>
  <si>
    <t>ngày</t>
  </si>
  <si>
    <t>đồng/ngày</t>
  </si>
  <si>
    <t xml:space="preserve"> đồng </t>
  </si>
  <si>
    <t>Số TT</t>
  </si>
  <si>
    <t>Bậc lương</t>
  </si>
  <si>
    <t>Hệ số</t>
  </si>
  <si>
    <t>I</t>
  </si>
  <si>
    <t>Ngoại nghiệp</t>
  </si>
  <si>
    <t xml:space="preserve"> Kỹ sư </t>
  </si>
  <si>
    <t>Kỹ thuật viên</t>
  </si>
  <si>
    <t>Lái xe</t>
  </si>
  <si>
    <t>II</t>
  </si>
  <si>
    <t>Nội nghiệp</t>
  </si>
  <si>
    <t>4-Trường hợp có kê khai đăng ký, nhưng người sử dụng đất không đổi GCN hoặc sau khi xét duyệt không đủ điều kiện được cấp đổi GCN thì đơn giá được tính bằng 90% mức đơn giá bình quân đối với trường hợp cấp GCN (không bao gồm chi phí vật liệu).</t>
  </si>
  <si>
    <t>I.1</t>
  </si>
  <si>
    <t>I.2</t>
  </si>
  <si>
    <t>II,1</t>
  </si>
  <si>
    <t>II.2</t>
  </si>
  <si>
    <t>III,1</t>
  </si>
  <si>
    <t>III.2</t>
  </si>
  <si>
    <t>TỔNG HỢP ĐƠN GIÁ SẢN PHẨM ĐĂNG KÝ, CẤP GIẤY CHỨNG NHẬN LẦN ĐẦU ĐỒNG LOẠT ĐỐI VỚI HỘ GIA ĐÌNH, CÁ NHÂN Ở XÃ, THỊ TRẤN</t>
  </si>
  <si>
    <t>CÁC NỘI DUNG THỰC HIỆN TẠI ĐỊABÀN XÃ, THỊ TRẤN</t>
  </si>
  <si>
    <t>II,2</t>
  </si>
  <si>
    <t>Địa bàn kỹ thuật</t>
  </si>
  <si>
    <t>E ke</t>
  </si>
  <si>
    <t>bộ</t>
  </si>
  <si>
    <t>Găng tay bạt</t>
  </si>
  <si>
    <t>đôi</t>
  </si>
  <si>
    <t>Giầy cao cổ</t>
  </si>
  <si>
    <t>Hòm sắt đựng tàI liệu</t>
  </si>
  <si>
    <t>Hòm đựng máy, d. cụ</t>
  </si>
  <si>
    <t>Kìm cắt thép</t>
  </si>
  <si>
    <t>Mũ cứng</t>
  </si>
  <si>
    <t>Nilon che máy tấm 5m</t>
  </si>
  <si>
    <t>tấm</t>
  </si>
  <si>
    <t>Nilon gói tài liệu</t>
  </si>
  <si>
    <t>Tấm</t>
  </si>
  <si>
    <t>Ô che máy</t>
  </si>
  <si>
    <t>Quần áo BHLĐ</t>
  </si>
  <si>
    <t>Q</t>
  </si>
  <si>
    <t>Tất sợi</t>
  </si>
  <si>
    <t>Thước đo độ</t>
  </si>
  <si>
    <t>Thước 3 cạnh ( tỷ lệ)</t>
  </si>
  <si>
    <t>Thước cuộn vải 50m</t>
  </si>
  <si>
    <t>Thước thép cuộn 2m</t>
  </si>
  <si>
    <t>Túi đựng tài liệu</t>
  </si>
  <si>
    <t>Xẻng</t>
  </si>
  <si>
    <t>Xô tôn đựng nước</t>
  </si>
  <si>
    <t>Bảng ngắm</t>
  </si>
  <si>
    <t>Nhiệt kế</t>
  </si>
  <si>
    <t>Bóng, đui, chao đèn 100w</t>
  </si>
  <si>
    <t>Máy in laze A4 0,5 kw</t>
  </si>
  <si>
    <t>Điện</t>
  </si>
  <si>
    <t>Bản đồ địa hình</t>
  </si>
  <si>
    <t>Bảng tổng hợp TQ</t>
  </si>
  <si>
    <t>Bảng tính toán</t>
  </si>
  <si>
    <t>Băng dính loại vừa</t>
  </si>
  <si>
    <t>Cuộn</t>
  </si>
  <si>
    <t>Biên bản bàn giao TQ</t>
  </si>
  <si>
    <t xml:space="preserve">Đĩa mềm </t>
  </si>
  <si>
    <t>Đĩa CD</t>
  </si>
  <si>
    <t>đĩa</t>
  </si>
  <si>
    <t>Giấy Kroky</t>
  </si>
  <si>
    <t>Giấy A4 (nội)</t>
  </si>
  <si>
    <t>Ram</t>
  </si>
  <si>
    <t>Mực in Lazer A4</t>
  </si>
  <si>
    <t>Hộp</t>
  </si>
  <si>
    <t>Mực  đen</t>
  </si>
  <si>
    <t>lọ</t>
  </si>
  <si>
    <t>Pin đèn</t>
  </si>
  <si>
    <t>Sổ kiểm nghiệm máy</t>
  </si>
  <si>
    <t>Sổ ghi chép</t>
  </si>
  <si>
    <t>Số liệu toạ độ đIểm gốc</t>
  </si>
  <si>
    <t>đIểm</t>
  </si>
  <si>
    <t>Số liệu độ cao đIểm gốc</t>
  </si>
  <si>
    <t>Xăng</t>
  </si>
  <si>
    <t>Lít</t>
  </si>
  <si>
    <t>Ngòi bút vẽ KT</t>
  </si>
  <si>
    <t>Ghi chú điểm toạ độ cũ</t>
  </si>
  <si>
    <t>Ghi chú điểm độ cao cũ</t>
  </si>
  <si>
    <t>Ghi chú điểm toạ độ mới</t>
  </si>
  <si>
    <t>Sơn đỏ</t>
  </si>
  <si>
    <t>kg</t>
  </si>
  <si>
    <t>Sổ đo góc</t>
  </si>
  <si>
    <t>Q.</t>
  </si>
  <si>
    <t>Sổ đo cạnh</t>
  </si>
  <si>
    <t>Sổ đo thiên đỉnh</t>
  </si>
  <si>
    <t>Xi măng</t>
  </si>
  <si>
    <t>Kg</t>
  </si>
  <si>
    <t>m3</t>
  </si>
  <si>
    <t>Dấu sứ</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</si>
</sst>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_(* \(#,##0\);_(* &quot;-&quot;_);_(@_)"/>
    <numFmt numFmtId="43" formatCode="_(* #,##0.00_);_(* \(#,##0.00\);_(* &quot;-&quot;??_);_(@_)"/>
    <numFmt numFmtId="171" formatCode="_-* #,##0.00\ _₫_-;\-* #,##0.00\ _₫_-;_-* &quot;-&quot;??\ _₫_-;_-@_-"/>
    <numFmt numFmtId="175" formatCode="_-* #,##0.00_-;\-* #,##0.00_-;_-* &quot;-&quot;??_-;_-@_-"/>
    <numFmt numFmtId="176" formatCode="_(* #,##0_);_(* \(#,##0\);_(* &quot;-&quot;??_);_(@_)"/>
    <numFmt numFmtId="177" formatCode="0.000"/>
    <numFmt numFmtId="178" formatCode="0.0"/>
    <numFmt numFmtId="179" formatCode="#,##0.000"/>
    <numFmt numFmtId="180" formatCode="#,##0.0000"/>
    <numFmt numFmtId="181" formatCode="#,##0.0"/>
    <numFmt numFmtId="182" formatCode="_(* #,##0.0_);_(* \(#,##0.0\);_(* &quot;-&quot;??_);_(@_)"/>
    <numFmt numFmtId="183" formatCode="#,##0.00000"/>
    <numFmt numFmtId="184" formatCode="0.0000"/>
    <numFmt numFmtId="185" formatCode="_-* #,##0_-;\-* #,##0_-;_-* &quot;-&quot;??_-;_-@_-"/>
    <numFmt numFmtId="186" formatCode="_(* #,##0.000_);_(* \(#,##0.000\);_(* &quot;-&quot;????_);_(@_)"/>
    <numFmt numFmtId="187" formatCode="_(* #,##0.00_);_(* \(#,##0.00\);_(* &quot;-&quot;????_);_(@_)"/>
    <numFmt numFmtId="188" formatCode="_(* #,##0_);_(* \(#,##0\);_(* &quot;-&quot;????_);_(@_)"/>
    <numFmt numFmtId="192" formatCode="_-* #,##0.000_-;\-* #,##0.000_-;_-* &quot;-&quot;??_-;_-@_-"/>
    <numFmt numFmtId="199" formatCode="_(* #,##0.0_);_(* \(#,##0.0\);_(* &quot;-&quot;????_);_(@_)"/>
    <numFmt numFmtId="202" formatCode="_-* #,##0.0\ _₫_-;\-* #,##0.0\ _₫_-;_-* &quot;-&quot;???\ _₫_-;_-@_-"/>
    <numFmt numFmtId="203" formatCode="_-* #,##0\ _₫_-;\-* #,##0\ _₫_-;_-* &quot;-&quot;???\ _₫_-;_-@_-"/>
  </numFmts>
  <fonts count="77">
    <font>
      <sz val="13"/>
      <name val=".VnTime"/>
    </font>
    <font>
      <sz val="13"/>
      <name val=".VnTime"/>
    </font>
    <font>
      <sz val="10"/>
      <name val=".VnArial"/>
      <family val="2"/>
    </font>
    <font>
      <sz val="10"/>
      <name val="Arial"/>
      <family val="2"/>
    </font>
    <font>
      <sz val="10"/>
      <name val=".VnTime"/>
      <family val="2"/>
    </font>
    <font>
      <sz val="8"/>
      <name val=".VnTime"/>
      <family val="2"/>
    </font>
    <font>
      <sz val="11"/>
      <name val=".VnArial"/>
      <family val="2"/>
    </font>
    <font>
      <b/>
      <sz val="10"/>
      <name val=".VnTime"/>
      <family val="2"/>
    </font>
    <font>
      <b/>
      <sz val="10"/>
      <name val="Arial"/>
      <family val="2"/>
    </font>
    <font>
      <b/>
      <sz val="10"/>
      <name val=".VnArial NarrowH"/>
      <family val="2"/>
    </font>
    <font>
      <b/>
      <sz val="13"/>
      <name val=".VnTime"/>
      <family val="2"/>
    </font>
    <font>
      <sz val="13"/>
      <name val=".VnTime"/>
      <family val="2"/>
    </font>
    <font>
      <b/>
      <sz val="14"/>
      <name val="Arial"/>
      <family val="2"/>
    </font>
    <font>
      <sz val="11"/>
      <name val="Arial"/>
      <family val="2"/>
    </font>
    <font>
      <sz val="13"/>
      <name val="Arial"/>
      <family val="2"/>
    </font>
    <font>
      <sz val="10"/>
      <color indexed="8"/>
      <name val="Arial"/>
      <family val="2"/>
    </font>
    <font>
      <b/>
      <sz val="13"/>
      <name val="Arial"/>
      <family val="2"/>
    </font>
    <font>
      <b/>
      <sz val="14"/>
      <name val="Times New Roman"/>
      <family val="1"/>
    </font>
    <font>
      <b/>
      <sz val="12"/>
      <name val="Arial"/>
      <family val="2"/>
    </font>
    <font>
      <b/>
      <sz val="10"/>
      <name val="Times New Roman"/>
      <family val="1"/>
    </font>
    <font>
      <b/>
      <sz val="11"/>
      <name val="Arial"/>
      <family val="2"/>
    </font>
    <font>
      <b/>
      <u/>
      <sz val="11"/>
      <name val="Arial"/>
      <family val="2"/>
    </font>
    <font>
      <b/>
      <sz val="10"/>
      <name val="Arial Narrow"/>
      <family val="2"/>
    </font>
    <font>
      <b/>
      <sz val="9"/>
      <name val="Arial"/>
      <family val="2"/>
    </font>
    <font>
      <sz val="13"/>
      <name val=".VnTime"/>
      <family val="2"/>
    </font>
    <font>
      <sz val="12"/>
      <name val="Arial"/>
      <family val="2"/>
    </font>
    <font>
      <sz val="13"/>
      <name val="Times New Roman"/>
      <family val="1"/>
    </font>
    <font>
      <b/>
      <sz val="13"/>
      <name val="Times New Roman"/>
      <family val="1"/>
    </font>
    <font>
      <sz val="10"/>
      <color indexed="8"/>
      <name val="Times New Roman"/>
      <family val="1"/>
    </font>
    <font>
      <sz val="10"/>
      <color indexed="8"/>
      <name val="Symbol"/>
      <family val="1"/>
      <charset val="2"/>
    </font>
    <font>
      <vertAlign val="superscript"/>
      <sz val="10"/>
      <name val="Arial"/>
      <family val="2"/>
    </font>
    <font>
      <b/>
      <sz val="10"/>
      <name val="Arial"/>
      <family val="2"/>
      <charset val="163"/>
    </font>
    <font>
      <b/>
      <sz val="11"/>
      <name val="Arial"/>
      <family val="2"/>
      <charset val="163"/>
    </font>
    <font>
      <b/>
      <sz val="9"/>
      <name val="Arial"/>
      <family val="2"/>
      <charset val="163"/>
    </font>
    <font>
      <sz val="10"/>
      <name val="Arial"/>
      <family val="2"/>
      <charset val="163"/>
    </font>
    <font>
      <sz val="11"/>
      <name val="Arial"/>
      <family val="2"/>
      <charset val="163"/>
    </font>
    <font>
      <b/>
      <sz val="11"/>
      <name val="Times New Roman"/>
      <family val="1"/>
      <charset val="163"/>
    </font>
    <font>
      <sz val="11"/>
      <name val="Times New Roman"/>
      <family val="1"/>
      <charset val="163"/>
    </font>
    <font>
      <i/>
      <sz val="11"/>
      <name val="Arial"/>
      <family val="2"/>
      <charset val="163"/>
    </font>
    <font>
      <b/>
      <sz val="10"/>
      <name val="Times New Roman"/>
      <family val="1"/>
      <charset val="163"/>
    </font>
    <font>
      <sz val="10"/>
      <name val="Times New Roman"/>
      <family val="1"/>
      <charset val="163"/>
    </font>
    <font>
      <b/>
      <sz val="15"/>
      <name val="Arial"/>
      <family val="2"/>
      <charset val="163"/>
    </font>
    <font>
      <b/>
      <sz val="12"/>
      <name val="Arial"/>
      <family val="2"/>
      <charset val="163"/>
    </font>
    <font>
      <sz val="12"/>
      <name val="Arial Narrow"/>
      <family val="2"/>
    </font>
    <font>
      <sz val="10"/>
      <color indexed="8"/>
      <name val=".VnArial"/>
      <family val="2"/>
    </font>
    <font>
      <sz val="8"/>
      <name val=".VnTime"/>
    </font>
    <font>
      <sz val="9"/>
      <color indexed="81"/>
      <name val="Tahoma"/>
      <family val="2"/>
    </font>
    <font>
      <b/>
      <sz val="9"/>
      <color indexed="81"/>
      <name val="Tahoma"/>
      <family val="2"/>
    </font>
    <font>
      <sz val="11"/>
      <name val="Times New Roman"/>
      <family val="1"/>
    </font>
    <font>
      <sz val="10"/>
      <name val="Times New Roman"/>
      <family val="1"/>
    </font>
    <font>
      <b/>
      <sz val="11"/>
      <name val="Times New Roman"/>
      <family val="1"/>
    </font>
    <font>
      <sz val="10"/>
      <name val=".VnTime"/>
    </font>
    <font>
      <b/>
      <sz val="10"/>
      <name val=".VnTime"/>
    </font>
    <font>
      <sz val="10"/>
      <name val="Arial"/>
      <charset val="163"/>
    </font>
    <font>
      <sz val="11"/>
      <color indexed="8"/>
      <name val="Arial"/>
      <family val="2"/>
    </font>
    <font>
      <b/>
      <sz val="11"/>
      <color indexed="8"/>
      <name val="Arial"/>
      <family val="2"/>
    </font>
    <font>
      <b/>
      <sz val="9"/>
      <color indexed="8"/>
      <name val="Arial"/>
      <family val="2"/>
    </font>
    <font>
      <sz val="9"/>
      <color indexed="8"/>
      <name val="Arial"/>
      <family val="2"/>
    </font>
    <font>
      <sz val="14"/>
      <name val="Times New Roman"/>
      <family val="1"/>
    </font>
    <font>
      <b/>
      <i/>
      <sz val="11"/>
      <name val="Times New Roman"/>
      <family val="1"/>
    </font>
    <font>
      <sz val="11"/>
      <color indexed="8"/>
      <name val="Calibri"/>
      <family val="2"/>
      <charset val="163"/>
    </font>
    <font>
      <b/>
      <i/>
      <sz val="11"/>
      <name val="Arial"/>
      <family val="2"/>
    </font>
    <font>
      <sz val="7"/>
      <name val="Times New Roman"/>
      <family val="1"/>
    </font>
    <font>
      <sz val="11"/>
      <name val=".VnTime"/>
      <family val="2"/>
    </font>
    <font>
      <b/>
      <sz val="11"/>
      <name val=".VnArial NarrowH"/>
      <family val="2"/>
    </font>
    <font>
      <b/>
      <i/>
      <sz val="11"/>
      <name val=".VnArial NarrowH"/>
      <family val="2"/>
    </font>
    <font>
      <sz val="11"/>
      <name val=".VnArial NarrowH"/>
      <family val="2"/>
    </font>
    <font>
      <sz val="11"/>
      <name val=".VnTime"/>
    </font>
    <font>
      <sz val="9"/>
      <color indexed="81"/>
      <name val="Tahoma"/>
      <charset val="1"/>
    </font>
    <font>
      <b/>
      <sz val="9"/>
      <color indexed="81"/>
      <name val="Tahoma"/>
      <charset val="1"/>
    </font>
    <font>
      <sz val="9"/>
      <name val="Arial"/>
      <family val="2"/>
    </font>
    <font>
      <u/>
      <sz val="9"/>
      <name val="Arial"/>
      <family val="2"/>
    </font>
    <font>
      <b/>
      <sz val="11"/>
      <color indexed="10"/>
      <name val=".VnArial NarrowH"/>
      <family val="2"/>
    </font>
    <font>
      <sz val="11"/>
      <color indexed="10"/>
      <name val="Arial"/>
      <family val="2"/>
    </font>
    <font>
      <sz val="11"/>
      <color indexed="10"/>
      <name val="Times New Roman"/>
      <family val="1"/>
    </font>
    <font>
      <b/>
      <sz val="11"/>
      <color indexed="10"/>
      <name val="Times New Roman"/>
      <family val="1"/>
      <charset val="163"/>
    </font>
    <font>
      <i/>
      <sz val="11"/>
      <color indexed="10"/>
      <name val="Arial"/>
      <family val="2"/>
      <charset val="163"/>
    </font>
  </fonts>
  <fills count="6">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9"/>
        <bgColor indexed="64"/>
      </patternFill>
    </fill>
  </fills>
  <borders count="4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8"/>
      </left>
      <right style="thin">
        <color indexed="8"/>
      </right>
      <top style="thin">
        <color indexed="8"/>
      </top>
      <bottom style="hair">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hair">
        <color indexed="8"/>
      </top>
      <bottom style="hair">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s>
  <cellStyleXfs count="9">
    <xf numFmtId="0" fontId="0" fillId="0" borderId="0"/>
    <xf numFmtId="0" fontId="11" fillId="0" borderId="0"/>
    <xf numFmtId="175" fontId="1" fillId="0" borderId="0" applyFont="0" applyFill="0" applyBorder="0" applyAlignment="0" applyProtection="0"/>
    <xf numFmtId="175" fontId="11" fillId="0" borderId="0" applyFont="0" applyFill="0" applyBorder="0" applyAlignment="0" applyProtection="0"/>
    <xf numFmtId="175" fontId="24" fillId="0" borderId="0" applyFont="0" applyFill="0" applyBorder="0" applyAlignment="0" applyProtection="0"/>
    <xf numFmtId="175" fontId="11" fillId="0" borderId="0" applyFont="0" applyFill="0" applyBorder="0" applyAlignment="0" applyProtection="0"/>
    <xf numFmtId="0" fontId="11" fillId="0" borderId="0"/>
    <xf numFmtId="0" fontId="60" fillId="0" borderId="0"/>
    <xf numFmtId="0" fontId="53" fillId="0" borderId="0"/>
  </cellStyleXfs>
  <cellXfs count="1244">
    <xf numFmtId="0" fontId="0" fillId="0" borderId="0" xfId="0"/>
    <xf numFmtId="0" fontId="4" fillId="0" borderId="0" xfId="0" applyFont="1"/>
    <xf numFmtId="0" fontId="0" fillId="0" borderId="0" xfId="0" applyAlignment="1">
      <alignment horizontal="center"/>
    </xf>
    <xf numFmtId="0" fontId="2" fillId="0" borderId="1" xfId="0" applyFont="1" applyFill="1" applyBorder="1" applyAlignment="1">
      <alignment horizontal="center"/>
    </xf>
    <xf numFmtId="0" fontId="2" fillId="0" borderId="1" xfId="0" applyFont="1" applyFill="1" applyBorder="1"/>
    <xf numFmtId="175" fontId="2" fillId="0" borderId="1" xfId="2" applyNumberFormat="1" applyFont="1" applyBorder="1" applyAlignment="1">
      <alignment horizontal="center"/>
    </xf>
    <xf numFmtId="175" fontId="2" fillId="0" borderId="2" xfId="2" applyNumberFormat="1" applyFont="1" applyBorder="1" applyAlignment="1">
      <alignment horizontal="center"/>
    </xf>
    <xf numFmtId="175" fontId="2" fillId="0" borderId="3" xfId="2" applyNumberFormat="1" applyFont="1" applyBorder="1" applyAlignment="1">
      <alignment horizontal="center"/>
    </xf>
    <xf numFmtId="176" fontId="2" fillId="0" borderId="1" xfId="2" applyNumberFormat="1" applyFont="1" applyFill="1" applyBorder="1" applyAlignment="1">
      <alignment horizontal="center"/>
    </xf>
    <xf numFmtId="176" fontId="2" fillId="0" borderId="4" xfId="2" applyNumberFormat="1" applyFont="1" applyFill="1" applyBorder="1"/>
    <xf numFmtId="176" fontId="2" fillId="0" borderId="4" xfId="2" applyNumberFormat="1" applyFont="1" applyFill="1" applyBorder="1" applyAlignment="1">
      <alignment horizontal="right"/>
    </xf>
    <xf numFmtId="0" fontId="10" fillId="0" borderId="0" xfId="0" applyFont="1"/>
    <xf numFmtId="176" fontId="2" fillId="0" borderId="3" xfId="2" applyNumberFormat="1" applyFont="1" applyFill="1" applyBorder="1" applyAlignment="1">
      <alignment horizontal="right"/>
    </xf>
    <xf numFmtId="176" fontId="2" fillId="0" borderId="1" xfId="2" applyNumberFormat="1" applyFont="1" applyFill="1" applyBorder="1" applyAlignment="1">
      <alignment horizontal="right"/>
    </xf>
    <xf numFmtId="176" fontId="2" fillId="0" borderId="2" xfId="2" applyNumberFormat="1" applyFont="1" applyFill="1" applyBorder="1" applyAlignment="1">
      <alignment horizontal="right"/>
    </xf>
    <xf numFmtId="0" fontId="0" fillId="0" borderId="0" xfId="0" applyFill="1"/>
    <xf numFmtId="0" fontId="13" fillId="0" borderId="3" xfId="0" applyFont="1" applyBorder="1" applyAlignment="1">
      <alignment horizontal="center"/>
    </xf>
    <xf numFmtId="49" fontId="13" fillId="0" borderId="1" xfId="0" applyNumberFormat="1" applyFont="1" applyBorder="1" applyAlignment="1">
      <alignment horizontal="center" vertical="center"/>
    </xf>
    <xf numFmtId="0" fontId="13" fillId="0" borderId="1" xfId="0" applyFont="1" applyBorder="1" applyAlignment="1">
      <alignment horizontal="center"/>
    </xf>
    <xf numFmtId="49" fontId="13" fillId="0" borderId="1" xfId="0" applyNumberFormat="1" applyFont="1" applyBorder="1" applyAlignment="1">
      <alignment horizontal="center" vertical="center" wrapText="1"/>
    </xf>
    <xf numFmtId="49" fontId="13" fillId="0" borderId="1" xfId="0" applyNumberFormat="1" applyFont="1" applyBorder="1" applyAlignment="1">
      <alignment vertical="center" wrapText="1"/>
    </xf>
    <xf numFmtId="0" fontId="13" fillId="0" borderId="1" xfId="0" applyFont="1" applyBorder="1" applyAlignment="1">
      <alignment horizontal="center" vertical="center" wrapText="1"/>
    </xf>
    <xf numFmtId="49" fontId="13" fillId="0" borderId="5" xfId="0" applyNumberFormat="1" applyFont="1" applyBorder="1" applyAlignment="1">
      <alignment vertical="center" wrapText="1"/>
    </xf>
    <xf numFmtId="0" fontId="13" fillId="0" borderId="5" xfId="0" applyFont="1" applyBorder="1" applyAlignment="1">
      <alignment horizontal="center" vertical="center" wrapText="1"/>
    </xf>
    <xf numFmtId="3" fontId="13" fillId="0" borderId="1" xfId="0" applyNumberFormat="1" applyFont="1" applyBorder="1" applyAlignment="1">
      <alignment vertical="center"/>
    </xf>
    <xf numFmtId="3" fontId="13" fillId="0" borderId="5" xfId="0" applyNumberFormat="1" applyFont="1" applyBorder="1" applyAlignment="1">
      <alignment vertical="center"/>
    </xf>
    <xf numFmtId="0" fontId="3" fillId="0" borderId="6" xfId="0" applyFont="1" applyBorder="1" applyAlignment="1">
      <alignment horizontal="left"/>
    </xf>
    <xf numFmtId="0" fontId="3" fillId="0" borderId="6" xfId="0" applyFont="1" applyBorder="1" applyAlignment="1">
      <alignment horizontal="center"/>
    </xf>
    <xf numFmtId="0" fontId="15" fillId="0" borderId="1" xfId="0" applyFont="1" applyBorder="1" applyAlignment="1">
      <alignment horizontal="left"/>
    </xf>
    <xf numFmtId="0" fontId="3" fillId="0" borderId="1"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applyAlignment="1">
      <alignment horizontal="center"/>
    </xf>
    <xf numFmtId="0" fontId="3" fillId="0" borderId="1" xfId="0" applyFont="1" applyFill="1" applyBorder="1"/>
    <xf numFmtId="0" fontId="3" fillId="0" borderId="1" xfId="0" applyFont="1" applyFill="1" applyBorder="1" applyAlignment="1">
      <alignment horizontal="center"/>
    </xf>
    <xf numFmtId="176" fontId="3" fillId="0" borderId="6" xfId="2" applyNumberFormat="1" applyFont="1" applyBorder="1" applyAlignment="1">
      <alignment horizontal="center"/>
    </xf>
    <xf numFmtId="175" fontId="3" fillId="0" borderId="1" xfId="2" applyNumberFormat="1" applyFont="1" applyBorder="1" applyAlignment="1">
      <alignment horizontal="center"/>
    </xf>
    <xf numFmtId="176" fontId="3" fillId="0" borderId="1" xfId="2" applyNumberFormat="1" applyFont="1" applyBorder="1" applyAlignment="1">
      <alignment horizontal="center"/>
    </xf>
    <xf numFmtId="176" fontId="3" fillId="0" borderId="2" xfId="2" applyNumberFormat="1" applyFont="1" applyBorder="1" applyAlignment="1">
      <alignment horizontal="center"/>
    </xf>
    <xf numFmtId="175" fontId="3" fillId="0" borderId="2" xfId="2" applyNumberFormat="1" applyFont="1" applyBorder="1" applyAlignment="1">
      <alignment horizontal="center"/>
    </xf>
    <xf numFmtId="176" fontId="3" fillId="0" borderId="1" xfId="2" applyNumberFormat="1" applyFont="1" applyFill="1" applyBorder="1" applyAlignment="1">
      <alignment horizontal="center"/>
    </xf>
    <xf numFmtId="176" fontId="3" fillId="0" borderId="4" xfId="2" applyNumberFormat="1" applyFont="1" applyFill="1" applyBorder="1"/>
    <xf numFmtId="175" fontId="3" fillId="0" borderId="3" xfId="2" applyNumberFormat="1" applyFont="1" applyBorder="1" applyAlignment="1">
      <alignment horizontal="left"/>
    </xf>
    <xf numFmtId="175" fontId="3" fillId="0" borderId="3" xfId="2" applyNumberFormat="1" applyFont="1" applyBorder="1" applyAlignment="1">
      <alignment horizontal="center"/>
    </xf>
    <xf numFmtId="175" fontId="3" fillId="0" borderId="1" xfId="2" applyNumberFormat="1" applyFont="1" applyBorder="1" applyAlignment="1">
      <alignment horizontal="left"/>
    </xf>
    <xf numFmtId="175" fontId="3" fillId="0" borderId="2" xfId="2" applyNumberFormat="1" applyFont="1" applyBorder="1" applyAlignment="1">
      <alignment horizontal="left"/>
    </xf>
    <xf numFmtId="176" fontId="3" fillId="0" borderId="4" xfId="2" applyNumberFormat="1" applyFont="1" applyFill="1" applyBorder="1" applyAlignment="1">
      <alignment horizontal="center"/>
    </xf>
    <xf numFmtId="175" fontId="3" fillId="0" borderId="7" xfId="2" applyNumberFormat="1" applyFont="1" applyBorder="1" applyAlignment="1">
      <alignment horizontal="left"/>
    </xf>
    <xf numFmtId="175" fontId="3" fillId="0" borderId="8" xfId="2" applyNumberFormat="1" applyFont="1" applyFill="1" applyBorder="1" applyAlignment="1">
      <alignment horizontal="left"/>
    </xf>
    <xf numFmtId="176" fontId="3" fillId="0" borderId="8" xfId="2" applyNumberFormat="1" applyFont="1" applyFill="1" applyBorder="1" applyAlignment="1">
      <alignment horizontal="center"/>
    </xf>
    <xf numFmtId="0" fontId="14" fillId="0" borderId="0" xfId="0" applyFont="1"/>
    <xf numFmtId="176" fontId="3" fillId="0" borderId="3" xfId="2" applyNumberFormat="1" applyFont="1" applyBorder="1" applyAlignment="1">
      <alignment horizontal="right"/>
    </xf>
    <xf numFmtId="176" fontId="3" fillId="0" borderId="1" xfId="2" applyNumberFormat="1" applyFont="1" applyBorder="1" applyAlignment="1">
      <alignment horizontal="right"/>
    </xf>
    <xf numFmtId="176" fontId="3" fillId="0" borderId="2" xfId="2" applyNumberFormat="1" applyFont="1" applyBorder="1" applyAlignment="1">
      <alignment horizontal="right"/>
    </xf>
    <xf numFmtId="176" fontId="3" fillId="0" borderId="4" xfId="2" applyNumberFormat="1" applyFont="1" applyFill="1" applyBorder="1" applyAlignment="1">
      <alignment horizontal="right"/>
    </xf>
    <xf numFmtId="0" fontId="3" fillId="0" borderId="4" xfId="0" applyFont="1" applyBorder="1" applyAlignment="1">
      <alignment horizontal="center"/>
    </xf>
    <xf numFmtId="0" fontId="3" fillId="0" borderId="8" xfId="0" applyFont="1" applyFill="1" applyBorder="1" applyAlignment="1">
      <alignment horizontal="center"/>
    </xf>
    <xf numFmtId="176" fontId="3" fillId="0" borderId="8" xfId="2" applyNumberFormat="1" applyFont="1" applyFill="1" applyBorder="1" applyAlignment="1">
      <alignment horizontal="right"/>
    </xf>
    <xf numFmtId="0" fontId="15" fillId="0" borderId="6" xfId="0" applyFont="1" applyFill="1" applyBorder="1"/>
    <xf numFmtId="0" fontId="15" fillId="0" borderId="6" xfId="0" applyFont="1" applyFill="1" applyBorder="1" applyAlignment="1">
      <alignment horizontal="center"/>
    </xf>
    <xf numFmtId="0" fontId="15" fillId="0" borderId="1" xfId="0" applyFont="1" applyFill="1" applyBorder="1"/>
    <xf numFmtId="0" fontId="15" fillId="0" borderId="1" xfId="0" applyFont="1" applyFill="1" applyBorder="1" applyAlignment="1">
      <alignment horizontal="center"/>
    </xf>
    <xf numFmtId="3" fontId="15" fillId="0" borderId="6" xfId="0" applyNumberFormat="1" applyFont="1" applyFill="1" applyBorder="1"/>
    <xf numFmtId="3" fontId="15" fillId="0" borderId="1" xfId="0" applyNumberFormat="1" applyFont="1" applyFill="1" applyBorder="1"/>
    <xf numFmtId="1" fontId="15" fillId="0" borderId="1" xfId="0" applyNumberFormat="1" applyFont="1" applyFill="1" applyBorder="1"/>
    <xf numFmtId="0" fontId="16" fillId="0" borderId="0" xfId="0" applyFont="1" applyFill="1" applyAlignment="1">
      <alignment horizontal="center"/>
    </xf>
    <xf numFmtId="0" fontId="14" fillId="2" borderId="0" xfId="0" applyFont="1" applyFill="1"/>
    <xf numFmtId="0" fontId="14" fillId="0" borderId="0" xfId="0" applyFont="1" applyFill="1"/>
    <xf numFmtId="0" fontId="14" fillId="3" borderId="0" xfId="0" applyFont="1" applyFill="1"/>
    <xf numFmtId="0" fontId="14" fillId="4" borderId="0" xfId="0" applyFont="1" applyFill="1"/>
    <xf numFmtId="0" fontId="8" fillId="2" borderId="9" xfId="0" applyFont="1" applyFill="1" applyBorder="1" applyAlignment="1">
      <alignment horizontal="center"/>
    </xf>
    <xf numFmtId="176" fontId="8" fillId="2" borderId="9" xfId="2" applyNumberFormat="1" applyFont="1" applyFill="1" applyBorder="1" applyAlignment="1">
      <alignment horizontal="center"/>
    </xf>
    <xf numFmtId="176" fontId="8" fillId="0" borderId="9" xfId="2" applyNumberFormat="1" applyFont="1" applyFill="1" applyBorder="1" applyAlignment="1">
      <alignment horizontal="center"/>
    </xf>
    <xf numFmtId="0" fontId="8" fillId="3" borderId="9" xfId="0" applyFont="1" applyFill="1" applyBorder="1" applyAlignment="1">
      <alignment horizontal="center"/>
    </xf>
    <xf numFmtId="176" fontId="8" fillId="3" borderId="9" xfId="2" applyNumberFormat="1" applyFont="1" applyFill="1" applyBorder="1" applyAlignment="1">
      <alignment horizontal="center"/>
    </xf>
    <xf numFmtId="0" fontId="8" fillId="4" borderId="9" xfId="0" applyFont="1" applyFill="1" applyBorder="1" applyAlignment="1">
      <alignment horizontal="center"/>
    </xf>
    <xf numFmtId="176" fontId="8" fillId="4" borderId="9" xfId="2" applyNumberFormat="1" applyFont="1" applyFill="1" applyBorder="1" applyAlignment="1">
      <alignment horizontal="center"/>
    </xf>
    <xf numFmtId="0" fontId="8" fillId="2" borderId="10" xfId="0" applyFont="1" applyFill="1" applyBorder="1" applyAlignment="1">
      <alignment horizontal="center"/>
    </xf>
    <xf numFmtId="176" fontId="8" fillId="2" borderId="10" xfId="2" applyNumberFormat="1" applyFont="1" applyFill="1" applyBorder="1" applyAlignment="1">
      <alignment horizontal="center"/>
    </xf>
    <xf numFmtId="176" fontId="8" fillId="0" borderId="10" xfId="2" applyNumberFormat="1" applyFont="1" applyFill="1" applyBorder="1" applyAlignment="1">
      <alignment horizontal="center"/>
    </xf>
    <xf numFmtId="0" fontId="8" fillId="3" borderId="10" xfId="0" applyFont="1" applyFill="1" applyBorder="1" applyAlignment="1">
      <alignment horizontal="center"/>
    </xf>
    <xf numFmtId="176" fontId="8" fillId="3" borderId="10" xfId="2" applyNumberFormat="1" applyFont="1" applyFill="1" applyBorder="1" applyAlignment="1">
      <alignment horizontal="center"/>
    </xf>
    <xf numFmtId="0" fontId="8" fillId="4" borderId="10" xfId="0" applyFont="1" applyFill="1" applyBorder="1" applyAlignment="1">
      <alignment horizontal="center"/>
    </xf>
    <xf numFmtId="176" fontId="8" fillId="4" borderId="10" xfId="2" applyNumberFormat="1" applyFont="1" applyFill="1" applyBorder="1" applyAlignment="1">
      <alignment horizontal="center"/>
    </xf>
    <xf numFmtId="0" fontId="3" fillId="2" borderId="11" xfId="0" applyFont="1" applyFill="1" applyBorder="1" applyAlignment="1">
      <alignment horizontal="center"/>
    </xf>
    <xf numFmtId="0" fontId="3" fillId="2" borderId="11" xfId="0" applyFont="1" applyFill="1" applyBorder="1"/>
    <xf numFmtId="176" fontId="3" fillId="2" borderId="11" xfId="2" applyNumberFormat="1" applyFont="1" applyFill="1" applyBorder="1"/>
    <xf numFmtId="176" fontId="3" fillId="0" borderId="11" xfId="2" applyNumberFormat="1" applyFont="1" applyFill="1" applyBorder="1"/>
    <xf numFmtId="0" fontId="3" fillId="3" borderId="11" xfId="0" applyFont="1" applyFill="1" applyBorder="1" applyAlignment="1">
      <alignment horizontal="center"/>
    </xf>
    <xf numFmtId="0" fontId="3" fillId="3" borderId="11" xfId="0" applyFont="1" applyFill="1" applyBorder="1"/>
    <xf numFmtId="176" fontId="3" fillId="3" borderId="11" xfId="2" applyNumberFormat="1" applyFont="1" applyFill="1" applyBorder="1"/>
    <xf numFmtId="0" fontId="3" fillId="4" borderId="11" xfId="0" applyFont="1" applyFill="1" applyBorder="1" applyAlignment="1">
      <alignment horizontal="center"/>
    </xf>
    <xf numFmtId="0" fontId="3" fillId="4" borderId="11" xfId="0" applyFont="1" applyFill="1" applyBorder="1"/>
    <xf numFmtId="176" fontId="3" fillId="4" borderId="11" xfId="2" applyNumberFormat="1" applyFont="1" applyFill="1" applyBorder="1"/>
    <xf numFmtId="0" fontId="14" fillId="4" borderId="0" xfId="0" applyFont="1" applyFill="1" applyAlignment="1">
      <alignment horizontal="center"/>
    </xf>
    <xf numFmtId="0" fontId="14" fillId="0" borderId="0" xfId="0" applyFont="1" applyAlignment="1">
      <alignment horizontal="center"/>
    </xf>
    <xf numFmtId="0" fontId="13" fillId="0" borderId="0" xfId="0" applyFont="1"/>
    <xf numFmtId="176" fontId="3" fillId="0" borderId="5" xfId="3" applyNumberFormat="1" applyFont="1" applyBorder="1" applyAlignment="1">
      <alignment horizontal="center"/>
    </xf>
    <xf numFmtId="49" fontId="13" fillId="0" borderId="5" xfId="0" applyNumberFormat="1" applyFont="1" applyBorder="1" applyAlignment="1">
      <alignment horizontal="center" vertical="center"/>
    </xf>
    <xf numFmtId="0" fontId="3" fillId="0" borderId="0" xfId="0" applyFont="1" applyAlignment="1">
      <alignment vertical="center"/>
    </xf>
    <xf numFmtId="0" fontId="8" fillId="0" borderId="12" xfId="0" applyFont="1" applyBorder="1" applyAlignment="1">
      <alignment horizontal="center" vertical="center" wrapText="1"/>
    </xf>
    <xf numFmtId="0" fontId="13" fillId="0" borderId="5" xfId="0" applyFont="1" applyBorder="1" applyAlignment="1">
      <alignment horizontal="center"/>
    </xf>
    <xf numFmtId="0" fontId="3" fillId="0" borderId="0" xfId="0" applyFont="1"/>
    <xf numFmtId="0" fontId="13" fillId="0" borderId="1" xfId="0" applyFont="1" applyBorder="1" applyAlignment="1">
      <alignment vertical="center"/>
    </xf>
    <xf numFmtId="1" fontId="13" fillId="0" borderId="1" xfId="0" applyNumberFormat="1" applyFont="1" applyBorder="1" applyAlignment="1">
      <alignment vertical="center"/>
    </xf>
    <xf numFmtId="3" fontId="13" fillId="0" borderId="0" xfId="0" applyNumberFormat="1" applyFont="1" applyBorder="1" applyAlignment="1">
      <alignment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3" fillId="0" borderId="13" xfId="0" applyNumberFormat="1" applyFont="1" applyBorder="1" applyAlignment="1">
      <alignment vertical="center"/>
    </xf>
    <xf numFmtId="0" fontId="20" fillId="0" borderId="1" xfId="0" applyFont="1" applyBorder="1" applyAlignment="1">
      <alignment horizontal="center" vertical="center" wrapText="1"/>
    </xf>
    <xf numFmtId="0" fontId="3" fillId="0" borderId="5" xfId="0" applyFont="1" applyBorder="1" applyAlignment="1">
      <alignment vertical="center"/>
    </xf>
    <xf numFmtId="3" fontId="3" fillId="0" borderId="5" xfId="0" applyNumberFormat="1" applyFont="1" applyBorder="1" applyAlignment="1">
      <alignment vertical="center"/>
    </xf>
    <xf numFmtId="0" fontId="14" fillId="0" borderId="0" xfId="0" applyFont="1" applyAlignment="1">
      <alignment vertical="center"/>
    </xf>
    <xf numFmtId="0" fontId="14" fillId="0" borderId="5" xfId="0" applyFont="1" applyBorder="1"/>
    <xf numFmtId="0" fontId="3" fillId="0" borderId="1" xfId="0" applyFont="1" applyBorder="1"/>
    <xf numFmtId="176" fontId="3" fillId="0" borderId="1" xfId="2" applyNumberFormat="1" applyFont="1" applyBorder="1"/>
    <xf numFmtId="176" fontId="3" fillId="0" borderId="5" xfId="2" applyNumberFormat="1" applyFont="1" applyBorder="1"/>
    <xf numFmtId="176" fontId="3" fillId="0" borderId="5" xfId="2" applyNumberFormat="1" applyFont="1" applyBorder="1" applyAlignment="1">
      <alignment horizontal="center"/>
    </xf>
    <xf numFmtId="0" fontId="3" fillId="0" borderId="5" xfId="0" applyFont="1" applyBorder="1" applyAlignment="1">
      <alignment horizontal="center"/>
    </xf>
    <xf numFmtId="175" fontId="3" fillId="0" borderId="5" xfId="2" applyNumberFormat="1" applyFont="1" applyBorder="1" applyAlignment="1">
      <alignment horizontal="left"/>
    </xf>
    <xf numFmtId="49" fontId="3" fillId="0" borderId="0" xfId="0" applyNumberFormat="1" applyFont="1" applyAlignment="1">
      <alignment horizontal="center" vertical="center"/>
    </xf>
    <xf numFmtId="0" fontId="13" fillId="0" borderId="0" xfId="0" applyFont="1" applyAlignment="1">
      <alignment horizontal="center" vertical="center"/>
    </xf>
    <xf numFmtId="49" fontId="3" fillId="0" borderId="0" xfId="0" applyNumberFormat="1" applyFont="1" applyAlignment="1">
      <alignment vertical="center" wrapText="1"/>
    </xf>
    <xf numFmtId="176" fontId="3" fillId="0" borderId="3" xfId="2" applyNumberFormat="1" applyFont="1" applyBorder="1" applyAlignment="1">
      <alignment horizontal="center"/>
    </xf>
    <xf numFmtId="0" fontId="3" fillId="0" borderId="3" xfId="0" applyFont="1" applyBorder="1" applyAlignment="1">
      <alignment horizontal="center"/>
    </xf>
    <xf numFmtId="0" fontId="18" fillId="0" borderId="0" xfId="0" applyFont="1"/>
    <xf numFmtId="11" fontId="14" fillId="0" borderId="0" xfId="0" applyNumberFormat="1" applyFont="1"/>
    <xf numFmtId="11" fontId="14" fillId="0" borderId="0" xfId="0" applyNumberFormat="1" applyFont="1" applyAlignment="1">
      <alignment horizontal="center"/>
    </xf>
    <xf numFmtId="11" fontId="13" fillId="0" borderId="0" xfId="0" applyNumberFormat="1" applyFont="1"/>
    <xf numFmtId="3" fontId="19" fillId="0" borderId="9" xfId="0" applyNumberFormat="1" applyFont="1" applyBorder="1" applyAlignment="1">
      <alignment horizontal="center"/>
    </xf>
    <xf numFmtId="179" fontId="19" fillId="0" borderId="9" xfId="0" applyNumberFormat="1" applyFont="1" applyBorder="1" applyAlignment="1">
      <alignment horizontal="center"/>
    </xf>
    <xf numFmtId="49" fontId="19" fillId="0" borderId="11" xfId="0" applyNumberFormat="1" applyFont="1" applyBorder="1" applyAlignment="1">
      <alignment horizontal="center"/>
    </xf>
    <xf numFmtId="179" fontId="19" fillId="0" borderId="11" xfId="0" applyNumberFormat="1" applyFont="1" applyBorder="1" applyAlignment="1">
      <alignment horizontal="center"/>
    </xf>
    <xf numFmtId="0" fontId="20" fillId="0" borderId="9" xfId="0" applyFont="1" applyBorder="1" applyAlignment="1">
      <alignment horizontal="center" wrapText="1"/>
    </xf>
    <xf numFmtId="4" fontId="18" fillId="0" borderId="9" xfId="0" applyNumberFormat="1" applyFont="1" applyBorder="1"/>
    <xf numFmtId="0" fontId="0" fillId="0" borderId="9" xfId="0" applyBorder="1"/>
    <xf numFmtId="178" fontId="20" fillId="0" borderId="11" xfId="0" applyNumberFormat="1" applyFont="1" applyBorder="1" applyAlignment="1">
      <alignment horizontal="center" vertical="top" wrapText="1"/>
    </xf>
    <xf numFmtId="4" fontId="18" fillId="0" borderId="11" xfId="0" applyNumberFormat="1" applyFont="1" applyBorder="1"/>
    <xf numFmtId="0" fontId="0" fillId="0" borderId="11" xfId="0" applyBorder="1"/>
    <xf numFmtId="0" fontId="13" fillId="0" borderId="6" xfId="0" applyFont="1" applyBorder="1" applyAlignment="1">
      <alignment horizontal="center"/>
    </xf>
    <xf numFmtId="3" fontId="13" fillId="0" borderId="6" xfId="0" applyNumberFormat="1" applyFont="1" applyBorder="1"/>
    <xf numFmtId="176" fontId="13" fillId="0" borderId="1" xfId="4" applyNumberFormat="1" applyFont="1" applyFill="1" applyBorder="1"/>
    <xf numFmtId="3" fontId="13" fillId="0" borderId="6" xfId="0" applyNumberFormat="1" applyFont="1" applyBorder="1" applyAlignment="1">
      <alignment horizontal="right"/>
    </xf>
    <xf numFmtId="4" fontId="13" fillId="0" borderId="0" xfId="0" applyNumberFormat="1" applyFont="1"/>
    <xf numFmtId="2" fontId="13" fillId="0" borderId="0" xfId="0" applyNumberFormat="1" applyFont="1"/>
    <xf numFmtId="3" fontId="13" fillId="0" borderId="1" xfId="0" applyNumberFormat="1" applyFont="1" applyBorder="1"/>
    <xf numFmtId="3" fontId="13" fillId="0" borderId="1" xfId="0" applyNumberFormat="1" applyFont="1" applyBorder="1" applyAlignment="1">
      <alignment horizontal="right"/>
    </xf>
    <xf numFmtId="0" fontId="13" fillId="0" borderId="2" xfId="0" applyFont="1" applyBorder="1" applyAlignment="1">
      <alignment horizontal="center"/>
    </xf>
    <xf numFmtId="0" fontId="20" fillId="0" borderId="2" xfId="0" applyFont="1" applyBorder="1" applyAlignment="1">
      <alignment horizontal="center"/>
    </xf>
    <xf numFmtId="3" fontId="20" fillId="0" borderId="2" xfId="0" applyNumberFormat="1" applyFont="1" applyBorder="1" applyAlignment="1">
      <alignment horizontal="right"/>
    </xf>
    <xf numFmtId="176" fontId="20" fillId="0" borderId="1" xfId="4" applyNumberFormat="1" applyFont="1" applyFill="1" applyBorder="1"/>
    <xf numFmtId="3" fontId="20" fillId="0" borderId="2" xfId="0" applyNumberFormat="1" applyFont="1" applyBorder="1"/>
    <xf numFmtId="0" fontId="13" fillId="0" borderId="9" xfId="0" applyFont="1" applyBorder="1" applyAlignment="1">
      <alignment horizontal="center"/>
    </xf>
    <xf numFmtId="176" fontId="13" fillId="0" borderId="6" xfId="4" applyNumberFormat="1" applyFont="1" applyFill="1" applyBorder="1"/>
    <xf numFmtId="0" fontId="20" fillId="0" borderId="5" xfId="0" applyFont="1" applyBorder="1" applyAlignment="1">
      <alignment horizontal="center"/>
    </xf>
    <xf numFmtId="0" fontId="13" fillId="0" borderId="11" xfId="0" applyFont="1" applyBorder="1" applyAlignment="1">
      <alignment horizontal="center"/>
    </xf>
    <xf numFmtId="3" fontId="20" fillId="0" borderId="5" xfId="0" applyNumberFormat="1" applyFont="1" applyBorder="1" applyAlignment="1">
      <alignment horizontal="right"/>
    </xf>
    <xf numFmtId="176" fontId="20" fillId="0" borderId="5" xfId="4" applyNumberFormat="1" applyFont="1" applyFill="1" applyBorder="1"/>
    <xf numFmtId="3" fontId="20" fillId="0" borderId="5" xfId="0" applyNumberFormat="1" applyFont="1" applyBorder="1"/>
    <xf numFmtId="3" fontId="13" fillId="0" borderId="3" xfId="0" applyNumberFormat="1" applyFont="1" applyBorder="1"/>
    <xf numFmtId="176" fontId="13" fillId="0" borderId="3" xfId="4" applyNumberFormat="1" applyFont="1" applyFill="1" applyBorder="1"/>
    <xf numFmtId="3" fontId="13" fillId="0" borderId="3" xfId="0" applyNumberFormat="1" applyFont="1" applyBorder="1" applyAlignment="1">
      <alignment horizontal="right"/>
    </xf>
    <xf numFmtId="176" fontId="20" fillId="0" borderId="2" xfId="4" applyNumberFormat="1" applyFont="1" applyFill="1" applyBorder="1"/>
    <xf numFmtId="0" fontId="25" fillId="0" borderId="0" xfId="0" applyFont="1" applyBorder="1"/>
    <xf numFmtId="0" fontId="25" fillId="0" borderId="0" xfId="0" applyFont="1" applyBorder="1" applyAlignment="1">
      <alignment horizontal="center"/>
    </xf>
    <xf numFmtId="0" fontId="25" fillId="0" borderId="0" xfId="0" applyFont="1" applyBorder="1" applyAlignment="1">
      <alignment horizontal="right"/>
    </xf>
    <xf numFmtId="0" fontId="13" fillId="0" borderId="13" xfId="0" applyFont="1" applyBorder="1" applyAlignment="1">
      <alignment horizontal="center"/>
    </xf>
    <xf numFmtId="0" fontId="20" fillId="0" borderId="13" xfId="0" applyFont="1" applyBorder="1" applyAlignment="1">
      <alignment horizontal="center"/>
    </xf>
    <xf numFmtId="3" fontId="20" fillId="0" borderId="13" xfId="0" applyNumberFormat="1" applyFont="1" applyBorder="1" applyAlignment="1">
      <alignment horizontal="right"/>
    </xf>
    <xf numFmtId="176" fontId="20" fillId="0" borderId="13" xfId="4" applyNumberFormat="1" applyFont="1" applyFill="1" applyBorder="1"/>
    <xf numFmtId="0" fontId="26" fillId="0" borderId="0" xfId="0" applyFont="1"/>
    <xf numFmtId="0" fontId="27" fillId="0" borderId="0" xfId="0" applyFont="1"/>
    <xf numFmtId="49" fontId="26" fillId="0" borderId="0" xfId="0" applyNumberFormat="1" applyFont="1"/>
    <xf numFmtId="4" fontId="20" fillId="0" borderId="9" xfId="0" applyNumberFormat="1" applyFont="1" applyBorder="1"/>
    <xf numFmtId="0" fontId="13" fillId="0" borderId="9" xfId="0" applyFont="1" applyBorder="1"/>
    <xf numFmtId="0" fontId="20" fillId="0" borderId="11" xfId="0" applyFont="1" applyBorder="1" applyAlignment="1">
      <alignment horizontal="center" vertical="top" wrapText="1"/>
    </xf>
    <xf numFmtId="4" fontId="20" fillId="0" borderId="11" xfId="0" applyNumberFormat="1" applyFont="1" applyBorder="1"/>
    <xf numFmtId="0" fontId="13" fillId="0" borderId="11" xfId="0" applyFont="1" applyBorder="1"/>
    <xf numFmtId="0" fontId="13" fillId="0" borderId="14" xfId="0" applyFont="1" applyBorder="1" applyAlignment="1">
      <alignment horizontal="center"/>
    </xf>
    <xf numFmtId="0" fontId="20" fillId="0" borderId="14" xfId="0" applyFont="1" applyBorder="1" applyAlignment="1">
      <alignment horizontal="center"/>
    </xf>
    <xf numFmtId="3" fontId="20" fillId="0" borderId="14" xfId="0" applyNumberFormat="1" applyFont="1" applyBorder="1" applyAlignment="1">
      <alignment horizontal="right"/>
    </xf>
    <xf numFmtId="176" fontId="20" fillId="0" borderId="14" xfId="4" applyNumberFormat="1" applyFont="1" applyFill="1" applyBorder="1"/>
    <xf numFmtId="3" fontId="20" fillId="0" borderId="14" xfId="0" applyNumberFormat="1" applyFont="1" applyBorder="1"/>
    <xf numFmtId="0" fontId="13" fillId="0" borderId="0" xfId="0" applyFont="1" applyBorder="1" applyAlignment="1">
      <alignment horizontal="center"/>
    </xf>
    <xf numFmtId="0" fontId="20" fillId="0" borderId="0" xfId="0" applyFont="1" applyBorder="1" applyAlignment="1">
      <alignment horizontal="center"/>
    </xf>
    <xf numFmtId="3" fontId="20" fillId="0" borderId="0" xfId="0" applyNumberFormat="1" applyFont="1" applyBorder="1" applyAlignment="1">
      <alignment horizontal="right"/>
    </xf>
    <xf numFmtId="176" fontId="20" fillId="0" borderId="0" xfId="4" applyNumberFormat="1" applyFont="1" applyFill="1" applyBorder="1"/>
    <xf numFmtId="3" fontId="20" fillId="0" borderId="0" xfId="0" applyNumberFormat="1" applyFont="1" applyBorder="1"/>
    <xf numFmtId="4" fontId="0" fillId="0" borderId="0" xfId="0" applyNumberFormat="1"/>
    <xf numFmtId="2" fontId="0" fillId="0" borderId="0" xfId="0" applyNumberFormat="1"/>
    <xf numFmtId="0" fontId="26" fillId="0" borderId="0" xfId="0" applyFont="1" applyAlignment="1">
      <alignment horizontal="center"/>
    </xf>
    <xf numFmtId="0" fontId="3" fillId="0" borderId="0" xfId="0" applyFont="1" applyAlignment="1">
      <alignment horizontal="center" vertical="center" wrapText="1"/>
    </xf>
    <xf numFmtId="49" fontId="0" fillId="0" borderId="0" xfId="0" applyNumberFormat="1"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right" vertical="center"/>
    </xf>
    <xf numFmtId="3" fontId="8" fillId="0" borderId="0" xfId="0" applyNumberFormat="1" applyFont="1" applyAlignment="1">
      <alignment horizontal="center" vertical="center"/>
    </xf>
    <xf numFmtId="3" fontId="8" fillId="0" borderId="0" xfId="0" applyNumberFormat="1" applyFont="1" applyAlignment="1">
      <alignment horizontal="left" vertical="center"/>
    </xf>
    <xf numFmtId="49" fontId="0" fillId="0" borderId="0" xfId="0" applyNumberFormat="1" applyAlignment="1">
      <alignment horizontal="center" vertical="center"/>
    </xf>
    <xf numFmtId="0" fontId="13" fillId="0" borderId="0" xfId="6" applyFont="1"/>
    <xf numFmtId="0" fontId="14" fillId="0" borderId="0" xfId="6" applyFont="1"/>
    <xf numFmtId="0" fontId="16" fillId="0" borderId="0" xfId="0" applyFont="1" applyAlignment="1">
      <alignment horizontal="right"/>
    </xf>
    <xf numFmtId="178" fontId="16" fillId="0" borderId="0" xfId="0" applyNumberFormat="1" applyFont="1" applyAlignment="1">
      <alignment horizontal="center"/>
    </xf>
    <xf numFmtId="2" fontId="8" fillId="0" borderId="0" xfId="0" applyNumberFormat="1" applyFont="1"/>
    <xf numFmtId="188" fontId="8" fillId="0" borderId="0" xfId="0" applyNumberFormat="1" applyFont="1" applyAlignment="1">
      <alignment horizontal="center" vertical="center"/>
    </xf>
    <xf numFmtId="188" fontId="3" fillId="0" borderId="0" xfId="0" applyNumberFormat="1" applyFont="1" applyAlignment="1">
      <alignment horizontal="center" vertical="center"/>
    </xf>
    <xf numFmtId="188" fontId="8" fillId="0" borderId="12" xfId="0" applyNumberFormat="1" applyFont="1" applyBorder="1" applyAlignment="1">
      <alignment horizontal="center" vertical="center" wrapText="1"/>
    </xf>
    <xf numFmtId="188" fontId="3" fillId="0" borderId="5" xfId="0" applyNumberFormat="1" applyFont="1" applyBorder="1" applyAlignment="1">
      <alignment horizontal="center" vertical="center"/>
    </xf>
    <xf numFmtId="188" fontId="14" fillId="0" borderId="0" xfId="0" applyNumberFormat="1" applyFont="1" applyAlignment="1">
      <alignment horizontal="center" vertical="center"/>
    </xf>
    <xf numFmtId="0" fontId="17" fillId="0" borderId="0" xfId="0" applyFont="1" applyAlignment="1">
      <alignment vertical="center"/>
    </xf>
    <xf numFmtId="0" fontId="13" fillId="0" borderId="1" xfId="0" applyFont="1" applyBorder="1"/>
    <xf numFmtId="4" fontId="13" fillId="0" borderId="1" xfId="0" applyNumberFormat="1" applyFont="1" applyBorder="1" applyAlignment="1">
      <alignment horizontal="center"/>
    </xf>
    <xf numFmtId="0" fontId="13" fillId="0" borderId="1" xfId="6" applyFont="1" applyBorder="1" applyAlignment="1">
      <alignment horizontal="center"/>
    </xf>
    <xf numFmtId="0" fontId="13" fillId="0" borderId="1" xfId="6" applyFont="1" applyBorder="1"/>
    <xf numFmtId="4" fontId="13" fillId="0" borderId="1" xfId="6" applyNumberFormat="1" applyFont="1" applyBorder="1" applyAlignment="1">
      <alignment horizontal="center"/>
    </xf>
    <xf numFmtId="0" fontId="13" fillId="0" borderId="1" xfId="6" applyFont="1" applyBorder="1" applyAlignment="1">
      <alignment horizontal="left"/>
    </xf>
    <xf numFmtId="0" fontId="14" fillId="0" borderId="5" xfId="0" applyFont="1" applyBorder="1" applyAlignment="1">
      <alignment horizontal="center"/>
    </xf>
    <xf numFmtId="0" fontId="13" fillId="0" borderId="3" xfId="0" applyFont="1" applyBorder="1"/>
    <xf numFmtId="0" fontId="17" fillId="0" borderId="12" xfId="0" applyFont="1" applyBorder="1" applyAlignment="1">
      <alignment horizontal="center" vertical="center"/>
    </xf>
    <xf numFmtId="176" fontId="3" fillId="0" borderId="3" xfId="2" applyNumberFormat="1" applyFont="1" applyBorder="1"/>
    <xf numFmtId="0" fontId="0" fillId="0" borderId="0" xfId="0" applyAlignment="1"/>
    <xf numFmtId="176" fontId="3" fillId="0" borderId="1" xfId="2" applyNumberFormat="1" applyFont="1" applyBorder="1" applyAlignment="1"/>
    <xf numFmtId="11" fontId="3" fillId="0" borderId="1" xfId="0" applyNumberFormat="1" applyFont="1" applyBorder="1" applyAlignment="1">
      <alignment horizontal="center"/>
    </xf>
    <xf numFmtId="11" fontId="3" fillId="0" borderId="1" xfId="0" applyNumberFormat="1" applyFont="1" applyBorder="1"/>
    <xf numFmtId="11" fontId="3" fillId="0" borderId="1" xfId="0" applyNumberFormat="1" applyFont="1" applyBorder="1" applyAlignment="1">
      <alignment horizontal="left"/>
    </xf>
    <xf numFmtId="11" fontId="15" fillId="0" borderId="1" xfId="0" applyNumberFormat="1" applyFont="1" applyBorder="1"/>
    <xf numFmtId="11" fontId="3" fillId="0" borderId="1" xfId="0" applyNumberFormat="1" applyFont="1" applyFill="1" applyBorder="1" applyAlignment="1">
      <alignment horizontal="center"/>
    </xf>
    <xf numFmtId="11" fontId="3" fillId="0" borderId="1" xfId="0" applyNumberFormat="1" applyFont="1" applyFill="1" applyBorder="1"/>
    <xf numFmtId="11" fontId="3" fillId="0" borderId="1" xfId="0" applyNumberFormat="1" applyFont="1" applyFill="1" applyBorder="1" applyAlignment="1">
      <alignment horizontal="left"/>
    </xf>
    <xf numFmtId="0" fontId="0" fillId="0" borderId="0" xfId="0" applyNumberFormat="1"/>
    <xf numFmtId="0" fontId="3" fillId="0" borderId="1" xfId="0" applyNumberFormat="1" applyFont="1" applyBorder="1" applyAlignment="1">
      <alignment horizontal="center"/>
    </xf>
    <xf numFmtId="0" fontId="3" fillId="0" borderId="3" xfId="0" applyNumberFormat="1" applyFont="1" applyBorder="1" applyAlignment="1">
      <alignment horizontal="center"/>
    </xf>
    <xf numFmtId="11" fontId="3" fillId="0" borderId="3" xfId="0" applyNumberFormat="1" applyFont="1" applyBorder="1"/>
    <xf numFmtId="11" fontId="3" fillId="0" borderId="3" xfId="0" applyNumberFormat="1" applyFont="1" applyBorder="1" applyAlignment="1">
      <alignment horizontal="center"/>
    </xf>
    <xf numFmtId="176" fontId="3" fillId="0" borderId="3" xfId="2" applyNumberFormat="1" applyFont="1" applyBorder="1" applyAlignment="1"/>
    <xf numFmtId="0" fontId="20" fillId="0" borderId="12"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3" fillId="0" borderId="5" xfId="0" applyNumberFormat="1" applyFont="1" applyFill="1" applyBorder="1" applyAlignment="1">
      <alignment horizontal="center"/>
    </xf>
    <xf numFmtId="11" fontId="3" fillId="0" borderId="5" xfId="0" applyNumberFormat="1" applyFont="1" applyFill="1" applyBorder="1"/>
    <xf numFmtId="11" fontId="3" fillId="0" borderId="5" xfId="0" applyNumberFormat="1" applyFont="1" applyFill="1" applyBorder="1" applyAlignment="1">
      <alignment horizontal="center"/>
    </xf>
    <xf numFmtId="0" fontId="3" fillId="0" borderId="5" xfId="0" applyFont="1" applyFill="1" applyBorder="1" applyAlignment="1"/>
    <xf numFmtId="176" fontId="3" fillId="0" borderId="5" xfId="2" applyNumberFormat="1" applyFont="1" applyFill="1" applyBorder="1" applyAlignment="1">
      <alignment horizontal="center"/>
    </xf>
    <xf numFmtId="176" fontId="3" fillId="0" borderId="5" xfId="2" applyNumberFormat="1" applyFont="1" applyFill="1" applyBorder="1"/>
    <xf numFmtId="11" fontId="3" fillId="0" borderId="3" xfId="0" applyNumberFormat="1" applyFont="1" applyBorder="1" applyAlignment="1">
      <alignment horizontal="left"/>
    </xf>
    <xf numFmtId="0" fontId="3" fillId="0" borderId="5" xfId="0" applyNumberFormat="1" applyFont="1" applyBorder="1" applyAlignment="1">
      <alignment horizontal="center"/>
    </xf>
    <xf numFmtId="11" fontId="3" fillId="0" borderId="5" xfId="0" applyNumberFormat="1" applyFont="1" applyBorder="1" applyAlignment="1">
      <alignment horizontal="center"/>
    </xf>
    <xf numFmtId="176" fontId="3" fillId="0" borderId="5" xfId="2" applyNumberFormat="1" applyFont="1" applyBorder="1" applyAlignment="1"/>
    <xf numFmtId="0" fontId="15" fillId="0" borderId="5" xfId="0" applyFont="1" applyFill="1" applyBorder="1" applyAlignment="1">
      <alignment horizontal="center"/>
    </xf>
    <xf numFmtId="0" fontId="15" fillId="0" borderId="5" xfId="0" applyFont="1" applyFill="1" applyBorder="1"/>
    <xf numFmtId="176" fontId="3" fillId="0" borderId="1" xfId="3" applyNumberFormat="1" applyFont="1" applyBorder="1"/>
    <xf numFmtId="175" fontId="3" fillId="0" borderId="1" xfId="2" applyNumberFormat="1" applyFont="1" applyFill="1" applyBorder="1" applyAlignment="1">
      <alignment horizontal="left"/>
    </xf>
    <xf numFmtId="176" fontId="3" fillId="0" borderId="1" xfId="3" applyNumberFormat="1" applyFont="1" applyFill="1" applyBorder="1" applyAlignment="1">
      <alignment horizontal="center"/>
    </xf>
    <xf numFmtId="176" fontId="3" fillId="0" borderId="1" xfId="2" applyNumberFormat="1" applyFont="1" applyFill="1" applyBorder="1" applyAlignment="1">
      <alignment horizontal="right"/>
    </xf>
    <xf numFmtId="175" fontId="3" fillId="0" borderId="6" xfId="2" applyNumberFormat="1" applyFont="1" applyBorder="1" applyAlignment="1">
      <alignment horizontal="left"/>
    </xf>
    <xf numFmtId="176" fontId="3" fillId="0" borderId="6" xfId="3" applyNumberFormat="1" applyFont="1" applyBorder="1"/>
    <xf numFmtId="0" fontId="0" fillId="0" borderId="5" xfId="0" applyBorder="1"/>
    <xf numFmtId="0" fontId="27" fillId="0" borderId="0" xfId="0" applyNumberFormat="1" applyFont="1" applyAlignment="1"/>
    <xf numFmtId="176" fontId="3" fillId="0" borderId="5" xfId="3" applyNumberFormat="1" applyFont="1" applyBorder="1"/>
    <xf numFmtId="0" fontId="34" fillId="0" borderId="0" xfId="0" applyFont="1"/>
    <xf numFmtId="0" fontId="31" fillId="0" borderId="12" xfId="0" applyFont="1" applyBorder="1" applyAlignment="1">
      <alignment horizontal="center" vertical="center" wrapText="1"/>
    </xf>
    <xf numFmtId="0" fontId="40" fillId="0" borderId="0" xfId="0" applyFont="1"/>
    <xf numFmtId="49" fontId="8" fillId="0" borderId="1" xfId="0" applyNumberFormat="1" applyFont="1" applyBorder="1" applyAlignment="1">
      <alignment horizontal="left" vertical="center" wrapText="1"/>
    </xf>
    <xf numFmtId="41" fontId="8" fillId="0" borderId="1" xfId="0" applyNumberFormat="1" applyFont="1" applyBorder="1" applyAlignment="1">
      <alignment horizontal="center" vertical="center" wrapText="1"/>
    </xf>
    <xf numFmtId="41" fontId="13" fillId="0" borderId="1" xfId="0" applyNumberFormat="1" applyFont="1" applyBorder="1" applyAlignment="1">
      <alignment vertical="center"/>
    </xf>
    <xf numFmtId="41" fontId="3" fillId="0" borderId="5" xfId="0" applyNumberFormat="1" applyFont="1" applyBorder="1" applyAlignment="1">
      <alignment vertical="center"/>
    </xf>
    <xf numFmtId="41" fontId="13" fillId="0" borderId="1" xfId="0" applyNumberFormat="1" applyFont="1" applyBorder="1" applyAlignment="1">
      <alignment horizontal="center" vertical="center" wrapText="1"/>
    </xf>
    <xf numFmtId="41" fontId="13" fillId="0" borderId="1" xfId="0" applyNumberFormat="1" applyFont="1" applyBorder="1" applyAlignment="1">
      <alignment horizontal="center" vertical="center"/>
    </xf>
    <xf numFmtId="41" fontId="3" fillId="0" borderId="5" xfId="0" applyNumberFormat="1" applyFont="1" applyBorder="1" applyAlignment="1">
      <alignment horizontal="center" vertical="center"/>
    </xf>
    <xf numFmtId="49" fontId="8" fillId="5" borderId="6" xfId="0" applyNumberFormat="1" applyFont="1" applyFill="1" applyBorder="1" applyAlignment="1">
      <alignment horizontal="center" vertical="center" wrapText="1"/>
    </xf>
    <xf numFmtId="49" fontId="8" fillId="5" borderId="6" xfId="0" applyNumberFormat="1" applyFont="1" applyFill="1" applyBorder="1" applyAlignment="1">
      <alignment horizontal="left" vertical="center" wrapText="1"/>
    </xf>
    <xf numFmtId="0" fontId="8" fillId="5"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41" fontId="8" fillId="5" borderId="6" xfId="0" applyNumberFormat="1" applyFont="1" applyFill="1" applyBorder="1" applyAlignment="1">
      <alignment horizontal="center" vertical="center" wrapText="1"/>
    </xf>
    <xf numFmtId="49" fontId="39" fillId="5" borderId="1" xfId="0" applyNumberFormat="1" applyFont="1" applyFill="1" applyBorder="1" applyAlignment="1">
      <alignment horizontal="center" vertical="center" wrapText="1"/>
    </xf>
    <xf numFmtId="49" fontId="39" fillId="5" borderId="1" xfId="0" applyNumberFormat="1" applyFont="1" applyFill="1" applyBorder="1" applyAlignment="1">
      <alignment horizontal="left" vertical="center" wrapText="1"/>
    </xf>
    <xf numFmtId="0" fontId="39" fillId="5"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3" fontId="39" fillId="5" borderId="1" xfId="0" applyNumberFormat="1" applyFont="1" applyFill="1" applyBorder="1" applyAlignment="1">
      <alignment horizontal="right" vertical="center" wrapText="1"/>
    </xf>
    <xf numFmtId="41" fontId="39" fillId="5" borderId="1" xfId="0" applyNumberFormat="1" applyFont="1" applyFill="1" applyBorder="1" applyAlignment="1">
      <alignment horizontal="right" vertical="center" wrapText="1"/>
    </xf>
    <xf numFmtId="188" fontId="8" fillId="5" borderId="6" xfId="0" applyNumberFormat="1" applyFont="1" applyFill="1" applyBorder="1" applyAlignment="1">
      <alignment horizontal="center" vertical="center" wrapText="1"/>
    </xf>
    <xf numFmtId="0" fontId="0" fillId="0" borderId="6" xfId="0" applyBorder="1"/>
    <xf numFmtId="0" fontId="0" fillId="0" borderId="1" xfId="0" applyBorder="1"/>
    <xf numFmtId="0" fontId="0" fillId="0" borderId="3" xfId="0" applyBorder="1"/>
    <xf numFmtId="11" fontId="3" fillId="0" borderId="5" xfId="0" applyNumberFormat="1" applyFont="1" applyBorder="1"/>
    <xf numFmtId="11" fontId="15" fillId="0" borderId="1" xfId="0" applyNumberFormat="1" applyFont="1" applyBorder="1" applyAlignment="1">
      <alignment horizontal="left"/>
    </xf>
    <xf numFmtId="11" fontId="3" fillId="0" borderId="5" xfId="0" applyNumberFormat="1" applyFont="1" applyBorder="1" applyAlignment="1">
      <alignment horizontal="left"/>
    </xf>
    <xf numFmtId="0" fontId="44" fillId="0" borderId="1" xfId="1" applyFont="1" applyFill="1" applyBorder="1"/>
    <xf numFmtId="0" fontId="44" fillId="0" borderId="1" xfId="1" applyFont="1" applyFill="1" applyBorder="1" applyAlignment="1">
      <alignment horizontal="center"/>
    </xf>
    <xf numFmtId="3" fontId="44" fillId="0" borderId="1" xfId="1" applyNumberFormat="1" applyFont="1" applyFill="1" applyBorder="1"/>
    <xf numFmtId="176" fontId="3" fillId="0" borderId="3" xfId="3" applyNumberFormat="1" applyFont="1" applyBorder="1"/>
    <xf numFmtId="0" fontId="34" fillId="0" borderId="1" xfId="0" applyFont="1" applyBorder="1"/>
    <xf numFmtId="0" fontId="34" fillId="0" borderId="3" xfId="0" applyFont="1" applyBorder="1"/>
    <xf numFmtId="0" fontId="34" fillId="0" borderId="5" xfId="0" applyFont="1" applyBorder="1"/>
    <xf numFmtId="0" fontId="3" fillId="0" borderId="1" xfId="1" applyFont="1" applyBorder="1" applyAlignment="1">
      <alignment horizontal="center"/>
    </xf>
    <xf numFmtId="0" fontId="3" fillId="0" borderId="1" xfId="1" applyFont="1" applyBorder="1"/>
    <xf numFmtId="176" fontId="3" fillId="0" borderId="1" xfId="5" applyNumberFormat="1" applyFont="1" applyBorder="1" applyAlignment="1">
      <alignment horizontal="center"/>
    </xf>
    <xf numFmtId="176" fontId="3" fillId="0" borderId="1" xfId="5" applyNumberFormat="1" applyFont="1" applyBorder="1"/>
    <xf numFmtId="0" fontId="11" fillId="0" borderId="0" xfId="1"/>
    <xf numFmtId="0" fontId="11" fillId="0" borderId="1" xfId="1" applyBorder="1"/>
    <xf numFmtId="3" fontId="13" fillId="0" borderId="1" xfId="0" applyNumberFormat="1" applyFont="1" applyBorder="1" applyAlignment="1">
      <alignment horizontal="center"/>
    </xf>
    <xf numFmtId="0" fontId="3" fillId="0" borderId="0" xfId="0" applyFont="1" applyFill="1"/>
    <xf numFmtId="49" fontId="13" fillId="0" borderId="0" xfId="0" applyNumberFormat="1" applyFont="1" applyFill="1" applyBorder="1" applyAlignment="1">
      <alignment horizontal="justify" vertical="center" wrapText="1"/>
    </xf>
    <xf numFmtId="0" fontId="16" fillId="0" borderId="0" xfId="0" applyFont="1" applyFill="1" applyAlignment="1">
      <alignment horizontal="right"/>
    </xf>
    <xf numFmtId="178" fontId="16" fillId="0" borderId="0" xfId="0" applyNumberFormat="1" applyFont="1" applyFill="1" applyAlignment="1">
      <alignment horizontal="center"/>
    </xf>
    <xf numFmtId="0" fontId="14" fillId="0" borderId="0" xfId="0" applyFont="1" applyFill="1" applyAlignment="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49" fontId="13" fillId="0" borderId="0" xfId="0" quotePrefix="1" applyNumberFormat="1" applyFont="1" applyFill="1" applyAlignment="1">
      <alignment horizontal="center" vertical="center"/>
    </xf>
    <xf numFmtId="0" fontId="3" fillId="0" borderId="0" xfId="0" applyFont="1" applyFill="1" applyAlignment="1">
      <alignment vertical="center"/>
    </xf>
    <xf numFmtId="0" fontId="8" fillId="0" borderId="0" xfId="0" applyFont="1" applyFill="1" applyAlignment="1">
      <alignment horizontal="right" vertical="center"/>
    </xf>
    <xf numFmtId="188" fontId="8" fillId="0" borderId="0" xfId="0" applyNumberFormat="1" applyFont="1" applyFill="1" applyAlignment="1">
      <alignment horizontal="center" vertical="center"/>
    </xf>
    <xf numFmtId="3" fontId="8" fillId="0" borderId="0" xfId="0" applyNumberFormat="1" applyFont="1" applyFill="1" applyAlignment="1">
      <alignment horizontal="center" vertical="center"/>
    </xf>
    <xf numFmtId="3" fontId="8" fillId="0" borderId="0" xfId="0" applyNumberFormat="1" applyFont="1" applyFill="1" applyAlignment="1">
      <alignment horizontal="left" vertical="center"/>
    </xf>
    <xf numFmtId="0" fontId="4" fillId="0" borderId="0" xfId="0" applyFont="1" applyFill="1"/>
    <xf numFmtId="0" fontId="13" fillId="0" borderId="0" xfId="0" applyFont="1" applyFill="1" applyAlignment="1">
      <alignment horizontal="center" vertical="center"/>
    </xf>
    <xf numFmtId="188" fontId="3" fillId="0" borderId="0" xfId="0" applyNumberFormat="1" applyFont="1" applyFill="1" applyAlignment="1">
      <alignment horizontal="center" vertical="center"/>
    </xf>
    <xf numFmtId="0" fontId="34" fillId="0" borderId="0" xfId="0" applyFont="1" applyFill="1"/>
    <xf numFmtId="0" fontId="31" fillId="0" borderId="12" xfId="0" applyFont="1" applyFill="1" applyBorder="1" applyAlignment="1">
      <alignment horizontal="center" vertical="center" wrapText="1"/>
    </xf>
    <xf numFmtId="188" fontId="31" fillId="0" borderId="12" xfId="0" applyNumberFormat="1" applyFont="1" applyFill="1" applyBorder="1" applyAlignment="1">
      <alignment horizontal="center" vertical="center" wrapText="1"/>
    </xf>
    <xf numFmtId="2" fontId="31" fillId="0" borderId="0" xfId="0" applyNumberFormat="1" applyFont="1" applyFill="1"/>
    <xf numFmtId="0" fontId="8" fillId="0" borderId="0" xfId="0" applyFont="1" applyFill="1"/>
    <xf numFmtId="49"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3" fontId="3" fillId="0" borderId="0" xfId="0" applyNumberFormat="1" applyFont="1" applyFill="1" applyBorder="1" applyAlignment="1">
      <alignment vertical="center"/>
    </xf>
    <xf numFmtId="188"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49" fontId="14" fillId="0" borderId="0" xfId="0" applyNumberFormat="1" applyFont="1"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wrapText="1"/>
    </xf>
    <xf numFmtId="0" fontId="6" fillId="0" borderId="0" xfId="0" applyFont="1" applyFill="1" applyAlignment="1">
      <alignment horizontal="center" vertical="center"/>
    </xf>
    <xf numFmtId="188" fontId="14" fillId="0" borderId="0" xfId="0" applyNumberFormat="1" applyFont="1" applyFill="1" applyAlignment="1">
      <alignment horizontal="center" vertical="center"/>
    </xf>
    <xf numFmtId="49" fontId="3" fillId="0" borderId="0" xfId="0" applyNumberFormat="1" applyFont="1" applyFill="1" applyAlignment="1">
      <alignment horizontal="justify" vertical="center" wrapText="1"/>
    </xf>
    <xf numFmtId="49" fontId="6" fillId="0" borderId="0" xfId="0" applyNumberFormat="1" applyFont="1" applyFill="1" applyBorder="1" applyAlignment="1">
      <alignment horizontal="center" vertical="center"/>
    </xf>
    <xf numFmtId="3" fontId="13" fillId="0" borderId="0" xfId="0" applyNumberFormat="1" applyFont="1" applyFill="1" applyBorder="1" applyAlignment="1">
      <alignment vertical="center"/>
    </xf>
    <xf numFmtId="49" fontId="21" fillId="0" borderId="0" xfId="0" applyNumberFormat="1" applyFont="1" applyFill="1" applyBorder="1" applyAlignment="1">
      <alignment horizontal="justify" vertical="center" wrapText="1"/>
    </xf>
    <xf numFmtId="0" fontId="13" fillId="0" borderId="0" xfId="0" applyFont="1" applyFill="1"/>
    <xf numFmtId="49" fontId="0" fillId="0" borderId="0" xfId="0" applyNumberFormat="1" applyFill="1" applyAlignment="1">
      <alignment horizontal="justify" vertical="center" wrapText="1"/>
    </xf>
    <xf numFmtId="0" fontId="13" fillId="2" borderId="1" xfId="0" applyFont="1" applyFill="1" applyBorder="1"/>
    <xf numFmtId="0" fontId="13" fillId="2" borderId="1" xfId="0" applyFont="1" applyFill="1" applyBorder="1" applyAlignment="1">
      <alignment horizontal="center"/>
    </xf>
    <xf numFmtId="4" fontId="13" fillId="2" borderId="1" xfId="0" applyNumberFormat="1" applyFont="1" applyFill="1" applyBorder="1" applyAlignment="1">
      <alignment horizontal="center"/>
    </xf>
    <xf numFmtId="4" fontId="13" fillId="2" borderId="1" xfId="6" applyNumberFormat="1" applyFont="1" applyFill="1" applyBorder="1" applyAlignment="1">
      <alignment horizontal="center"/>
    </xf>
    <xf numFmtId="0" fontId="13" fillId="0" borderId="1" xfId="0" applyFont="1" applyFill="1" applyBorder="1" applyAlignment="1">
      <alignment horizontal="center"/>
    </xf>
    <xf numFmtId="0" fontId="13" fillId="0" borderId="1" xfId="0" applyFont="1" applyFill="1" applyBorder="1"/>
    <xf numFmtId="4" fontId="13" fillId="0" borderId="1" xfId="0" applyNumberFormat="1" applyFont="1" applyFill="1" applyBorder="1" applyAlignment="1">
      <alignment horizontal="center"/>
    </xf>
    <xf numFmtId="0" fontId="13" fillId="2" borderId="1" xfId="6" applyFont="1" applyFill="1" applyBorder="1" applyAlignment="1">
      <alignment horizontal="center"/>
    </xf>
    <xf numFmtId="0" fontId="13" fillId="2" borderId="1" xfId="6" applyFont="1" applyFill="1" applyBorder="1"/>
    <xf numFmtId="0" fontId="13" fillId="2" borderId="0" xfId="6" applyFont="1" applyFill="1"/>
    <xf numFmtId="0" fontId="13" fillId="2" borderId="0" xfId="0" applyFont="1" applyFill="1"/>
    <xf numFmtId="4" fontId="13" fillId="0" borderId="1" xfId="6" applyNumberFormat="1" applyFont="1" applyFill="1" applyBorder="1" applyAlignment="1">
      <alignment horizontal="center"/>
    </xf>
    <xf numFmtId="3" fontId="13" fillId="0" borderId="1" xfId="6" applyNumberFormat="1" applyFont="1" applyFill="1" applyBorder="1" applyAlignment="1">
      <alignment horizontal="center"/>
    </xf>
    <xf numFmtId="0" fontId="32" fillId="0" borderId="12" xfId="0" applyFont="1" applyFill="1" applyBorder="1" applyAlignment="1">
      <alignment horizontal="center" vertical="center" wrapText="1"/>
    </xf>
    <xf numFmtId="3" fontId="32" fillId="0" borderId="12" xfId="0" applyNumberFormat="1" applyFont="1" applyFill="1" applyBorder="1" applyAlignment="1">
      <alignment horizontal="right" vertical="center" wrapText="1"/>
    </xf>
    <xf numFmtId="49" fontId="31" fillId="0" borderId="12" xfId="0" applyNumberFormat="1" applyFont="1" applyFill="1" applyBorder="1" applyAlignment="1">
      <alignment horizontal="center" vertical="center" wrapText="1"/>
    </xf>
    <xf numFmtId="49" fontId="31" fillId="0" borderId="12" xfId="0" applyNumberFormat="1" applyFont="1" applyFill="1" applyBorder="1" applyAlignment="1">
      <alignment horizontal="justify" vertical="center" wrapText="1"/>
    </xf>
    <xf numFmtId="0" fontId="36" fillId="0" borderId="12" xfId="0" applyFont="1" applyFill="1" applyBorder="1" applyAlignment="1">
      <alignment horizontal="center" vertical="center"/>
    </xf>
    <xf numFmtId="3" fontId="36" fillId="0" borderId="12" xfId="0" applyNumberFormat="1" applyFont="1" applyFill="1" applyBorder="1" applyAlignment="1">
      <alignment vertical="center"/>
    </xf>
    <xf numFmtId="3" fontId="13" fillId="0" borderId="12" xfId="0" applyNumberFormat="1" applyFont="1" applyFill="1" applyBorder="1" applyAlignment="1">
      <alignment vertical="center"/>
    </xf>
    <xf numFmtId="3" fontId="35" fillId="0" borderId="12" xfId="0" applyNumberFormat="1" applyFont="1" applyFill="1" applyBorder="1" applyAlignment="1">
      <alignment vertical="center"/>
    </xf>
    <xf numFmtId="3" fontId="38" fillId="0" borderId="12" xfId="0" applyNumberFormat="1" applyFont="1" applyFill="1" applyBorder="1" applyAlignment="1">
      <alignment vertical="center"/>
    </xf>
    <xf numFmtId="188" fontId="13" fillId="0" borderId="12" xfId="0" applyNumberFormat="1" applyFont="1" applyFill="1" applyBorder="1" applyAlignment="1">
      <alignment horizontal="center" vertical="center" wrapText="1"/>
    </xf>
    <xf numFmtId="188" fontId="13" fillId="0" borderId="12" xfId="0" applyNumberFormat="1" applyFont="1" applyFill="1" applyBorder="1" applyAlignment="1">
      <alignment vertical="center"/>
    </xf>
    <xf numFmtId="0" fontId="13" fillId="0" borderId="12" xfId="0" applyFont="1" applyFill="1" applyBorder="1" applyAlignment="1">
      <alignment vertical="center"/>
    </xf>
    <xf numFmtId="0" fontId="3" fillId="0" borderId="12" xfId="0" applyFont="1" applyFill="1" applyBorder="1" applyAlignment="1">
      <alignment vertical="center"/>
    </xf>
    <xf numFmtId="188" fontId="13" fillId="0" borderId="12" xfId="0" applyNumberFormat="1" applyFont="1" applyFill="1" applyBorder="1" applyAlignment="1">
      <alignment horizontal="center" vertical="center"/>
    </xf>
    <xf numFmtId="3" fontId="3" fillId="0" borderId="12" xfId="0" applyNumberFormat="1" applyFont="1" applyFill="1" applyBorder="1" applyAlignment="1">
      <alignment vertical="center"/>
    </xf>
    <xf numFmtId="188" fontId="3" fillId="0" borderId="12" xfId="0" applyNumberFormat="1" applyFont="1" applyFill="1" applyBorder="1" applyAlignment="1">
      <alignment horizontal="center" vertical="center"/>
    </xf>
    <xf numFmtId="0" fontId="34" fillId="0" borderId="9" xfId="0" applyFont="1" applyFill="1" applyBorder="1"/>
    <xf numFmtId="0" fontId="3" fillId="0" borderId="9" xfId="0" applyFont="1" applyFill="1" applyBorder="1"/>
    <xf numFmtId="0" fontId="34" fillId="0" borderId="10" xfId="0" applyFont="1" applyFill="1" applyBorder="1"/>
    <xf numFmtId="0" fontId="3" fillId="0" borderId="10" xfId="0" applyFont="1" applyFill="1" applyBorder="1"/>
    <xf numFmtId="4" fontId="36" fillId="0" borderId="12" xfId="0" applyNumberFormat="1" applyFont="1" applyFill="1" applyBorder="1" applyAlignment="1">
      <alignment vertical="center"/>
    </xf>
    <xf numFmtId="3" fontId="37" fillId="0" borderId="12" xfId="0" applyNumberFormat="1" applyFont="1" applyFill="1" applyBorder="1" applyAlignment="1">
      <alignment horizontal="right" vertical="center"/>
    </xf>
    <xf numFmtId="3" fontId="37" fillId="0" borderId="12" xfId="0" applyNumberFormat="1" applyFont="1" applyFill="1" applyBorder="1" applyAlignment="1">
      <alignment vertical="center"/>
    </xf>
    <xf numFmtId="3" fontId="48" fillId="0" borderId="12" xfId="0" applyNumberFormat="1" applyFont="1" applyFill="1" applyBorder="1" applyAlignment="1">
      <alignment vertical="center"/>
    </xf>
    <xf numFmtId="3" fontId="49" fillId="5" borderId="1" xfId="0" applyNumberFormat="1" applyFont="1" applyFill="1" applyBorder="1" applyAlignment="1">
      <alignment horizontal="right" vertical="center" wrapText="1"/>
    </xf>
    <xf numFmtId="3" fontId="40" fillId="0" borderId="0" xfId="0" applyNumberFormat="1" applyFont="1"/>
    <xf numFmtId="0" fontId="57" fillId="0" borderId="12" xfId="0" applyFont="1" applyFill="1" applyBorder="1" applyAlignment="1">
      <alignment wrapText="1"/>
    </xf>
    <xf numFmtId="0" fontId="57" fillId="0" borderId="12" xfId="0" applyFont="1" applyFill="1" applyBorder="1" applyAlignment="1">
      <alignment horizontal="center" wrapText="1"/>
    </xf>
    <xf numFmtId="49" fontId="57" fillId="0" borderId="12" xfId="0" applyNumberFormat="1" applyFont="1" applyFill="1" applyBorder="1" applyAlignment="1">
      <alignment horizontal="center" wrapText="1"/>
    </xf>
    <xf numFmtId="0" fontId="56" fillId="0" borderId="12" xfId="0" applyFont="1" applyFill="1" applyBorder="1" applyAlignment="1">
      <alignment wrapText="1"/>
    </xf>
    <xf numFmtId="0" fontId="8" fillId="0" borderId="12" xfId="0" applyFont="1" applyFill="1" applyBorder="1" applyAlignment="1">
      <alignment horizontal="center" vertical="center" wrapText="1"/>
    </xf>
    <xf numFmtId="0" fontId="56" fillId="0" borderId="12" xfId="0" applyFont="1" applyFill="1" applyBorder="1" applyAlignment="1">
      <alignment horizontal="center" wrapText="1"/>
    </xf>
    <xf numFmtId="0" fontId="3" fillId="0" borderId="0" xfId="0" applyFont="1" applyFill="1" applyBorder="1"/>
    <xf numFmtId="4" fontId="48" fillId="0" borderId="12" xfId="0" applyNumberFormat="1" applyFont="1" applyFill="1" applyBorder="1" applyAlignment="1">
      <alignment vertical="center"/>
    </xf>
    <xf numFmtId="3" fontId="59" fillId="0" borderId="12" xfId="0" applyNumberFormat="1" applyFont="1" applyFill="1" applyBorder="1" applyAlignment="1">
      <alignment vertical="center"/>
    </xf>
    <xf numFmtId="4" fontId="32" fillId="0" borderId="12" xfId="0" applyNumberFormat="1" applyFont="1" applyFill="1" applyBorder="1" applyAlignment="1">
      <alignment horizontal="right" vertical="center" wrapText="1"/>
    </xf>
    <xf numFmtId="4" fontId="31" fillId="0" borderId="12" xfId="0" applyNumberFormat="1" applyFont="1" applyFill="1" applyBorder="1" applyAlignment="1">
      <alignment horizontal="center" vertical="center" wrapText="1"/>
    </xf>
    <xf numFmtId="0" fontId="9" fillId="0" borderId="0" xfId="0" applyFont="1" applyFill="1" applyAlignment="1">
      <alignment horizontal="center"/>
    </xf>
    <xf numFmtId="0" fontId="58" fillId="0" borderId="12" xfId="0" applyFont="1" applyFill="1" applyBorder="1" applyAlignment="1">
      <alignment horizontal="center" wrapText="1"/>
    </xf>
    <xf numFmtId="188" fontId="36" fillId="0" borderId="12" xfId="0" applyNumberFormat="1" applyFont="1" applyFill="1" applyBorder="1" applyAlignment="1">
      <alignment vertical="center"/>
    </xf>
    <xf numFmtId="188" fontId="37" fillId="0" borderId="12" xfId="0" applyNumberFormat="1" applyFont="1" applyFill="1" applyBorder="1" applyAlignment="1">
      <alignment vertical="center"/>
    </xf>
    <xf numFmtId="188" fontId="20" fillId="0" borderId="12" xfId="0" applyNumberFormat="1" applyFont="1" applyFill="1" applyBorder="1" applyAlignment="1">
      <alignment vertical="center"/>
    </xf>
    <xf numFmtId="4" fontId="13" fillId="0" borderId="12" xfId="0" applyNumberFormat="1" applyFont="1" applyFill="1" applyBorder="1" applyAlignment="1">
      <alignment vertical="center"/>
    </xf>
    <xf numFmtId="0" fontId="31" fillId="0" borderId="11" xfId="0" applyFont="1" applyFill="1" applyBorder="1" applyAlignment="1">
      <alignment horizontal="center" vertical="center" wrapText="1"/>
    </xf>
    <xf numFmtId="49" fontId="31" fillId="0" borderId="12" xfId="0" applyNumberFormat="1" applyFont="1" applyFill="1" applyBorder="1" applyAlignment="1">
      <alignment horizontal="left" vertical="center" wrapText="1"/>
    </xf>
    <xf numFmtId="0" fontId="8" fillId="0" borderId="12" xfId="0" applyFont="1" applyFill="1" applyBorder="1" applyAlignment="1">
      <alignment horizontal="left" vertical="center" wrapText="1"/>
    </xf>
    <xf numFmtId="3" fontId="8" fillId="0" borderId="12" xfId="0" applyNumberFormat="1" applyFont="1" applyFill="1" applyBorder="1" applyAlignment="1">
      <alignment vertical="center"/>
    </xf>
    <xf numFmtId="4" fontId="3" fillId="0" borderId="12" xfId="0" applyNumberFormat="1" applyFont="1" applyFill="1" applyBorder="1" applyAlignment="1">
      <alignment vertical="center"/>
    </xf>
    <xf numFmtId="49" fontId="36" fillId="0" borderId="12" xfId="0" applyNumberFormat="1"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49" fontId="31" fillId="0" borderId="0" xfId="0" applyNumberFormat="1" applyFont="1" applyFill="1" applyBorder="1" applyAlignment="1">
      <alignment horizontal="justify"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3" fontId="50" fillId="0" borderId="12" xfId="0" applyNumberFormat="1" applyFont="1" applyFill="1" applyBorder="1" applyAlignment="1">
      <alignment vertical="center"/>
    </xf>
    <xf numFmtId="179" fontId="36" fillId="0" borderId="12" xfId="0" applyNumberFormat="1" applyFont="1" applyFill="1" applyBorder="1" applyAlignment="1">
      <alignment vertical="center"/>
    </xf>
    <xf numFmtId="188" fontId="31" fillId="0" borderId="0" xfId="0" applyNumberFormat="1" applyFont="1" applyFill="1" applyBorder="1" applyAlignment="1">
      <alignment horizontal="center" vertical="center" wrapText="1"/>
    </xf>
    <xf numFmtId="0" fontId="34" fillId="0" borderId="0" xfId="0" applyFont="1" applyFill="1" applyBorder="1"/>
    <xf numFmtId="3" fontId="36" fillId="0" borderId="12" xfId="0" applyNumberFormat="1" applyFont="1" applyFill="1" applyBorder="1" applyAlignment="1">
      <alignment horizontal="right" vertical="center"/>
    </xf>
    <xf numFmtId="0" fontId="13" fillId="0" borderId="15" xfId="0" applyFont="1" applyBorder="1"/>
    <xf numFmtId="0" fontId="14" fillId="5" borderId="0" xfId="0" applyFont="1" applyFill="1"/>
    <xf numFmtId="49" fontId="12" fillId="5" borderId="0" xfId="0" applyNumberFormat="1" applyFont="1" applyFill="1" applyAlignment="1">
      <alignment horizontal="center" vertical="center"/>
    </xf>
    <xf numFmtId="49" fontId="12" fillId="5" borderId="0" xfId="0" applyNumberFormat="1" applyFont="1" applyFill="1" applyAlignment="1">
      <alignment horizontal="justify" vertical="center" wrapText="1"/>
    </xf>
    <xf numFmtId="49" fontId="20" fillId="5" borderId="0" xfId="0" applyNumberFormat="1" applyFont="1" applyFill="1" applyAlignment="1">
      <alignment horizontal="center" vertical="center" wrapText="1"/>
    </xf>
    <xf numFmtId="49" fontId="12" fillId="5" borderId="0" xfId="0" applyNumberFormat="1" applyFont="1" applyFill="1" applyAlignment="1">
      <alignment horizontal="right" vertical="center"/>
    </xf>
    <xf numFmtId="49" fontId="3" fillId="5" borderId="0" xfId="0" applyNumberFormat="1" applyFont="1" applyFill="1" applyAlignment="1">
      <alignment horizontal="center" vertical="center"/>
    </xf>
    <xf numFmtId="49" fontId="3" fillId="5" borderId="0" xfId="0" applyNumberFormat="1" applyFont="1" applyFill="1" applyAlignment="1">
      <alignment horizontal="justify" vertical="center" wrapText="1"/>
    </xf>
    <xf numFmtId="0" fontId="13" fillId="5" borderId="0" xfId="0" applyFont="1" applyFill="1" applyAlignment="1">
      <alignment horizontal="center" vertical="center" wrapText="1"/>
    </xf>
    <xf numFmtId="0" fontId="3" fillId="5" borderId="0" xfId="0" applyFont="1" applyFill="1" applyAlignment="1">
      <alignment horizontal="center" vertical="center"/>
    </xf>
    <xf numFmtId="0" fontId="3" fillId="5" borderId="0" xfId="0" applyFont="1" applyFill="1" applyAlignment="1">
      <alignment horizontal="right" vertical="center"/>
    </xf>
    <xf numFmtId="0" fontId="3" fillId="5" borderId="0" xfId="0" applyFont="1" applyFill="1" applyAlignment="1">
      <alignment vertical="center"/>
    </xf>
    <xf numFmtId="0" fontId="3" fillId="5" borderId="0" xfId="0" applyFont="1" applyFill="1"/>
    <xf numFmtId="0" fontId="4" fillId="5" borderId="0" xfId="0" applyFont="1" applyFill="1"/>
    <xf numFmtId="49" fontId="8" fillId="5" borderId="12" xfId="0" applyNumberFormat="1"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2" xfId="0" applyFont="1" applyFill="1" applyBorder="1" applyAlignment="1">
      <alignment horizontal="right" vertical="center" wrapText="1"/>
    </xf>
    <xf numFmtId="0" fontId="13" fillId="5" borderId="12" xfId="0" applyFont="1" applyFill="1" applyBorder="1" applyAlignment="1">
      <alignment horizontal="center" vertical="center"/>
    </xf>
    <xf numFmtId="3" fontId="13" fillId="5" borderId="12" xfId="0" applyNumberFormat="1" applyFont="1" applyFill="1" applyBorder="1" applyAlignment="1">
      <alignment horizontal="right" vertical="center"/>
    </xf>
    <xf numFmtId="0" fontId="13" fillId="5" borderId="12" xfId="0" applyFont="1" applyFill="1" applyBorder="1" applyAlignment="1">
      <alignment vertical="center"/>
    </xf>
    <xf numFmtId="178" fontId="13" fillId="5" borderId="12" xfId="0" applyNumberFormat="1" applyFont="1" applyFill="1" applyBorder="1" applyAlignment="1">
      <alignment horizontal="center" vertical="center"/>
    </xf>
    <xf numFmtId="3" fontId="13" fillId="5" borderId="12" xfId="0" applyNumberFormat="1" applyFont="1" applyFill="1" applyBorder="1" applyAlignment="1">
      <alignment vertical="center"/>
    </xf>
    <xf numFmtId="2" fontId="13" fillId="5" borderId="12" xfId="0" applyNumberFormat="1" applyFont="1" applyFill="1" applyBorder="1" applyAlignment="1">
      <alignment horizontal="center" vertical="center"/>
    </xf>
    <xf numFmtId="178" fontId="13" fillId="5" borderId="12" xfId="0" applyNumberFormat="1" applyFont="1" applyFill="1" applyBorder="1" applyAlignment="1">
      <alignment horizontal="center" vertical="center" wrapText="1"/>
    </xf>
    <xf numFmtId="177" fontId="13" fillId="5" borderId="12" xfId="0" applyNumberFormat="1" applyFont="1" applyFill="1" applyBorder="1" applyAlignment="1">
      <alignment horizontal="center" vertical="center"/>
    </xf>
    <xf numFmtId="1" fontId="13" fillId="5" borderId="12" xfId="0" applyNumberFormat="1" applyFont="1" applyFill="1" applyBorder="1" applyAlignment="1">
      <alignment horizontal="center" vertical="center"/>
    </xf>
    <xf numFmtId="49" fontId="13" fillId="5" borderId="12" xfId="0" applyNumberFormat="1" applyFont="1" applyFill="1" applyBorder="1" applyAlignment="1">
      <alignment horizontal="center" vertical="center"/>
    </xf>
    <xf numFmtId="0" fontId="3" fillId="5" borderId="0" xfId="0" applyFont="1" applyFill="1" applyBorder="1"/>
    <xf numFmtId="0" fontId="4" fillId="5" borderId="0" xfId="0" applyFont="1" applyFill="1" applyBorder="1"/>
    <xf numFmtId="49" fontId="13" fillId="5" borderId="0" xfId="0" applyNumberFormat="1" applyFont="1" applyFill="1" applyBorder="1" applyAlignment="1">
      <alignment horizontal="center" vertical="center"/>
    </xf>
    <xf numFmtId="0" fontId="20" fillId="5" borderId="0" xfId="0" applyFont="1" applyFill="1" applyBorder="1" applyAlignment="1">
      <alignment horizontal="justify"/>
    </xf>
    <xf numFmtId="0" fontId="13" fillId="5" borderId="0" xfId="0" applyFont="1" applyFill="1" applyBorder="1" applyAlignment="1">
      <alignment horizontal="center" vertical="center" wrapText="1"/>
    </xf>
    <xf numFmtId="3" fontId="13" fillId="5" borderId="0" xfId="0" applyNumberFormat="1" applyFont="1" applyFill="1" applyBorder="1" applyAlignment="1">
      <alignment horizontal="right" vertical="center"/>
    </xf>
    <xf numFmtId="0" fontId="13" fillId="5" borderId="0" xfId="0" applyFont="1" applyFill="1" applyBorder="1" applyAlignment="1">
      <alignment horizontal="center" vertical="center"/>
    </xf>
    <xf numFmtId="3" fontId="13" fillId="5" borderId="0" xfId="0" applyNumberFormat="1" applyFont="1" applyFill="1" applyBorder="1" applyAlignment="1">
      <alignment vertical="center"/>
    </xf>
    <xf numFmtId="49" fontId="13" fillId="5" borderId="9" xfId="0" applyNumberFormat="1" applyFont="1" applyFill="1" applyBorder="1" applyAlignment="1">
      <alignment horizontal="center" vertical="center"/>
    </xf>
    <xf numFmtId="0" fontId="13" fillId="5" borderId="12" xfId="0" applyFont="1" applyFill="1" applyBorder="1" applyAlignment="1">
      <alignment horizontal="right" vertical="center"/>
    </xf>
    <xf numFmtId="49" fontId="13" fillId="5" borderId="0" xfId="0" applyNumberFormat="1" applyFont="1" applyFill="1" applyBorder="1" applyAlignment="1">
      <alignment horizontal="justify" vertical="center" wrapText="1"/>
    </xf>
    <xf numFmtId="0" fontId="13" fillId="5" borderId="0" xfId="0" applyFont="1" applyFill="1" applyBorder="1" applyAlignment="1">
      <alignment horizontal="right" vertical="center"/>
    </xf>
    <xf numFmtId="178" fontId="13" fillId="5" borderId="0" xfId="0" applyNumberFormat="1" applyFont="1" applyFill="1" applyBorder="1" applyAlignment="1">
      <alignment horizontal="center" vertical="center"/>
    </xf>
    <xf numFmtId="0" fontId="13" fillId="5" borderId="0" xfId="0" applyFont="1" applyFill="1" applyBorder="1" applyAlignment="1">
      <alignment vertical="center"/>
    </xf>
    <xf numFmtId="0" fontId="14" fillId="5" borderId="0" xfId="0" applyFont="1" applyFill="1" applyBorder="1"/>
    <xf numFmtId="3" fontId="13" fillId="5" borderId="1" xfId="0" applyNumberFormat="1" applyFont="1" applyFill="1" applyBorder="1" applyAlignment="1">
      <alignment horizontal="right" vertical="center"/>
    </xf>
    <xf numFmtId="177" fontId="13" fillId="5" borderId="0" xfId="0" applyNumberFormat="1" applyFont="1" applyFill="1" applyBorder="1" applyAlignment="1">
      <alignment horizontal="center" vertical="center"/>
    </xf>
    <xf numFmtId="0" fontId="14" fillId="5" borderId="12" xfId="0" applyFont="1" applyFill="1" applyBorder="1" applyAlignment="1">
      <alignment vertical="center"/>
    </xf>
    <xf numFmtId="0" fontId="8" fillId="5" borderId="16" xfId="0" applyFont="1" applyFill="1" applyBorder="1" applyAlignment="1">
      <alignment horizontal="center" vertical="center" wrapText="1"/>
    </xf>
    <xf numFmtId="0" fontId="14" fillId="5" borderId="12" xfId="0" applyFont="1" applyFill="1" applyBorder="1" applyAlignment="1">
      <alignment horizontal="center"/>
    </xf>
    <xf numFmtId="49" fontId="14" fillId="5" borderId="0" xfId="0" applyNumberFormat="1" applyFont="1" applyFill="1" applyAlignment="1">
      <alignment horizontal="center" vertical="center"/>
    </xf>
    <xf numFmtId="49" fontId="14" fillId="5" borderId="0" xfId="0" applyNumberFormat="1" applyFont="1" applyFill="1" applyAlignment="1">
      <alignment horizontal="justify" vertical="center" wrapText="1"/>
    </xf>
    <xf numFmtId="0" fontId="14" fillId="5" borderId="0" xfId="0" applyFont="1" applyFill="1" applyAlignment="1">
      <alignment horizontal="center" vertical="center"/>
    </xf>
    <xf numFmtId="0" fontId="14" fillId="5" borderId="0" xfId="0" applyFont="1" applyFill="1" applyAlignment="1">
      <alignment horizontal="right" vertical="center"/>
    </xf>
    <xf numFmtId="0" fontId="14" fillId="5" borderId="0" xfId="0" applyFont="1" applyFill="1" applyAlignment="1">
      <alignment vertical="center"/>
    </xf>
    <xf numFmtId="49" fontId="13" fillId="5" borderId="0" xfId="0" applyNumberFormat="1" applyFont="1" applyFill="1" applyBorder="1" applyAlignment="1">
      <alignment horizontal="left" vertical="center" wrapText="1"/>
    </xf>
    <xf numFmtId="49" fontId="13" fillId="5" borderId="0" xfId="0" applyNumberFormat="1" applyFont="1" applyFill="1" applyBorder="1" applyAlignment="1">
      <alignment horizontal="right" vertical="center" wrapText="1"/>
    </xf>
    <xf numFmtId="49" fontId="13" fillId="5" borderId="0" xfId="0" applyNumberFormat="1" applyFont="1" applyFill="1" applyBorder="1" applyAlignment="1">
      <alignment horizontal="center" vertical="center" wrapText="1"/>
    </xf>
    <xf numFmtId="185" fontId="3" fillId="5" borderId="12" xfId="2" applyNumberFormat="1" applyFont="1" applyFill="1" applyBorder="1" applyAlignment="1">
      <alignment horizontal="right" vertical="center" wrapText="1"/>
    </xf>
    <xf numFmtId="179" fontId="13" fillId="5" borderId="0" xfId="0" applyNumberFormat="1" applyFont="1" applyFill="1" applyBorder="1" applyAlignment="1">
      <alignment horizontal="center" vertical="center"/>
    </xf>
    <xf numFmtId="0" fontId="8" fillId="5" borderId="17" xfId="0" applyFont="1" applyFill="1" applyBorder="1" applyAlignment="1">
      <alignment horizontal="center" vertical="center" wrapText="1"/>
    </xf>
    <xf numFmtId="185" fontId="3" fillId="5" borderId="18" xfId="0" applyNumberFormat="1" applyFont="1" applyFill="1" applyBorder="1" applyAlignment="1">
      <alignment horizontal="center" vertical="center" wrapText="1"/>
    </xf>
    <xf numFmtId="0" fontId="14" fillId="5" borderId="18" xfId="0" applyFont="1" applyFill="1" applyBorder="1" applyAlignment="1">
      <alignment horizontal="right" vertical="center"/>
    </xf>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49" fontId="13" fillId="5" borderId="5" xfId="0" applyNumberFormat="1" applyFont="1" applyFill="1" applyBorder="1" applyAlignment="1">
      <alignment horizontal="center" vertical="center" wrapText="1"/>
    </xf>
    <xf numFmtId="49" fontId="13" fillId="5" borderId="5" xfId="0" applyNumberFormat="1" applyFont="1" applyFill="1" applyBorder="1" applyAlignment="1">
      <alignment horizontal="justify" vertical="center" wrapText="1"/>
    </xf>
    <xf numFmtId="0" fontId="13" fillId="5" borderId="5" xfId="0" applyFont="1" applyFill="1" applyBorder="1" applyAlignment="1">
      <alignment horizontal="center" vertical="center" wrapText="1"/>
    </xf>
    <xf numFmtId="3" fontId="13" fillId="5" borderId="5" xfId="0" applyNumberFormat="1" applyFont="1" applyFill="1" applyBorder="1" applyAlignment="1">
      <alignment horizontal="right" vertical="center"/>
    </xf>
    <xf numFmtId="177" fontId="13" fillId="5" borderId="5" xfId="0" applyNumberFormat="1" applyFont="1" applyFill="1" applyBorder="1" applyAlignment="1">
      <alignment horizontal="center" vertical="center"/>
    </xf>
    <xf numFmtId="3" fontId="13" fillId="5" borderId="5" xfId="0" applyNumberFormat="1" applyFont="1" applyFill="1" applyBorder="1" applyAlignment="1">
      <alignment vertical="center"/>
    </xf>
    <xf numFmtId="49" fontId="13" fillId="5" borderId="1" xfId="0" applyNumberFormat="1" applyFont="1" applyFill="1" applyBorder="1" applyAlignment="1">
      <alignment horizontal="center" vertical="center" wrapText="1"/>
    </xf>
    <xf numFmtId="49" fontId="13" fillId="5" borderId="1" xfId="0" applyNumberFormat="1" applyFont="1" applyFill="1" applyBorder="1" applyAlignment="1">
      <alignment horizontal="justify" vertical="center" wrapText="1"/>
    </xf>
    <xf numFmtId="0" fontId="13" fillId="5" borderId="1" xfId="0" applyFont="1" applyFill="1" applyBorder="1" applyAlignment="1">
      <alignment horizontal="center" vertical="center" wrapText="1"/>
    </xf>
    <xf numFmtId="177" fontId="13" fillId="5" borderId="1" xfId="0" applyNumberFormat="1" applyFont="1" applyFill="1" applyBorder="1" applyAlignment="1">
      <alignment horizontal="center" vertical="center"/>
    </xf>
    <xf numFmtId="3" fontId="13" fillId="5" borderId="1" xfId="0" applyNumberFormat="1" applyFont="1" applyFill="1" applyBorder="1" applyAlignment="1">
      <alignment vertical="center"/>
    </xf>
    <xf numFmtId="49" fontId="13" fillId="5" borderId="12" xfId="0" applyNumberFormat="1" applyFont="1" applyFill="1" applyBorder="1" applyAlignment="1">
      <alignment horizontal="center" vertical="center" wrapText="1"/>
    </xf>
    <xf numFmtId="49" fontId="13" fillId="5" borderId="12" xfId="0" applyNumberFormat="1" applyFont="1" applyFill="1" applyBorder="1" applyAlignment="1">
      <alignment horizontal="justify" vertical="center" wrapText="1"/>
    </xf>
    <xf numFmtId="0" fontId="13" fillId="5" borderId="12" xfId="0" applyFont="1" applyFill="1" applyBorder="1" applyAlignment="1">
      <alignment horizontal="center" vertical="center" wrapText="1"/>
    </xf>
    <xf numFmtId="0" fontId="11" fillId="5" borderId="0" xfId="0" applyFont="1" applyFill="1"/>
    <xf numFmtId="0" fontId="23" fillId="5" borderId="21" xfId="0" applyFont="1" applyFill="1" applyBorder="1" applyAlignment="1">
      <alignment horizontal="center" wrapText="1"/>
    </xf>
    <xf numFmtId="0" fontId="23" fillId="5" borderId="22" xfId="0" applyFont="1" applyFill="1" applyBorder="1" applyAlignment="1">
      <alignment wrapText="1"/>
    </xf>
    <xf numFmtId="0" fontId="70" fillId="5" borderId="22" xfId="0" applyFont="1" applyFill="1" applyBorder="1" applyAlignment="1">
      <alignment horizontal="center" wrapText="1"/>
    </xf>
    <xf numFmtId="0" fontId="13" fillId="5" borderId="12" xfId="8" applyFont="1" applyFill="1" applyBorder="1" applyAlignment="1">
      <alignment horizontal="center" wrapText="1"/>
    </xf>
    <xf numFmtId="0" fontId="13" fillId="5" borderId="12" xfId="8" applyFont="1" applyFill="1" applyBorder="1" applyAlignment="1">
      <alignment wrapText="1"/>
    </xf>
    <xf numFmtId="0" fontId="20" fillId="5" borderId="12" xfId="8" applyFont="1" applyFill="1" applyBorder="1" applyAlignment="1">
      <alignment horizontal="center" wrapText="1"/>
    </xf>
    <xf numFmtId="0" fontId="20" fillId="5" borderId="12" xfId="8" applyFont="1" applyFill="1" applyBorder="1" applyAlignment="1">
      <alignment wrapText="1"/>
    </xf>
    <xf numFmtId="0" fontId="13" fillId="5" borderId="9" xfId="8" applyFont="1" applyFill="1" applyBorder="1" applyAlignment="1">
      <alignment wrapText="1"/>
    </xf>
    <xf numFmtId="0" fontId="23" fillId="5" borderId="12" xfId="0" applyFont="1" applyFill="1" applyBorder="1" applyAlignment="1">
      <alignment wrapText="1"/>
    </xf>
    <xf numFmtId="0" fontId="70" fillId="5" borderId="12" xfId="0" applyFont="1" applyFill="1" applyBorder="1" applyAlignment="1">
      <alignment horizontal="center" wrapText="1"/>
    </xf>
    <xf numFmtId="0" fontId="70" fillId="5" borderId="12" xfId="0" applyFont="1" applyFill="1" applyBorder="1" applyAlignment="1">
      <alignment wrapText="1"/>
    </xf>
    <xf numFmtId="0" fontId="70" fillId="5" borderId="9" xfId="0" applyFont="1" applyFill="1" applyBorder="1" applyAlignment="1">
      <alignment horizontal="left" wrapText="1"/>
    </xf>
    <xf numFmtId="0" fontId="70" fillId="5" borderId="9" xfId="0" applyFont="1" applyFill="1" applyBorder="1" applyAlignment="1">
      <alignment horizontal="center" wrapText="1"/>
    </xf>
    <xf numFmtId="49" fontId="70" fillId="5" borderId="9" xfId="0" applyNumberFormat="1" applyFont="1" applyFill="1" applyBorder="1" applyAlignment="1">
      <alignment horizontal="center" wrapText="1"/>
    </xf>
    <xf numFmtId="49" fontId="70" fillId="5" borderId="12" xfId="0" applyNumberFormat="1" applyFont="1" applyFill="1" applyBorder="1" applyAlignment="1">
      <alignment horizontal="center" wrapText="1"/>
    </xf>
    <xf numFmtId="0" fontId="23" fillId="5" borderId="12" xfId="0" applyFont="1" applyFill="1" applyBorder="1" applyAlignment="1">
      <alignment horizontal="center" wrapText="1"/>
    </xf>
    <xf numFmtId="0" fontId="70" fillId="5" borderId="12" xfId="0" applyFont="1" applyFill="1" applyBorder="1" applyAlignment="1">
      <alignment horizontal="right" wrapText="1"/>
    </xf>
    <xf numFmtId="0" fontId="23" fillId="5" borderId="0" xfId="0" applyFont="1" applyFill="1" applyBorder="1" applyAlignment="1">
      <alignment horizontal="center" wrapText="1"/>
    </xf>
    <xf numFmtId="0" fontId="70" fillId="5" borderId="0" xfId="0" applyFont="1" applyFill="1" applyBorder="1" applyAlignment="1">
      <alignment horizontal="center" wrapText="1"/>
    </xf>
    <xf numFmtId="0" fontId="71" fillId="5" borderId="12" xfId="0" applyFont="1" applyFill="1" applyBorder="1" applyAlignment="1">
      <alignment horizontal="center" wrapText="1"/>
    </xf>
    <xf numFmtId="0" fontId="71" fillId="5" borderId="0" xfId="0" applyFont="1" applyFill="1" applyBorder="1" applyAlignment="1">
      <alignment horizontal="center" wrapText="1"/>
    </xf>
    <xf numFmtId="3" fontId="70" fillId="5" borderId="12" xfId="0" applyNumberFormat="1" applyFont="1" applyFill="1" applyBorder="1" applyAlignment="1">
      <alignment horizontal="right" wrapText="1"/>
    </xf>
    <xf numFmtId="0" fontId="23" fillId="5" borderId="0" xfId="0" applyFont="1" applyFill="1"/>
    <xf numFmtId="0" fontId="11" fillId="5" borderId="0" xfId="0" applyFont="1" applyFill="1" applyAlignment="1">
      <alignment horizontal="right"/>
    </xf>
    <xf numFmtId="0" fontId="11" fillId="5" borderId="0" xfId="0" applyFont="1" applyFill="1" applyAlignment="1">
      <alignment horizontal="center"/>
    </xf>
    <xf numFmtId="0" fontId="70" fillId="5" borderId="17" xfId="0" applyFont="1" applyFill="1" applyBorder="1" applyAlignment="1">
      <alignment horizontal="center" wrapText="1"/>
    </xf>
    <xf numFmtId="0" fontId="70" fillId="5" borderId="17" xfId="0" applyFont="1" applyFill="1" applyBorder="1" applyAlignment="1">
      <alignment wrapText="1"/>
    </xf>
    <xf numFmtId="0" fontId="70" fillId="5" borderId="19" xfId="0" applyFont="1" applyFill="1" applyBorder="1" applyAlignment="1">
      <alignment horizontal="center" wrapText="1"/>
    </xf>
    <xf numFmtId="49" fontId="70" fillId="5" borderId="18" xfId="0" applyNumberFormat="1" applyFont="1" applyFill="1" applyBorder="1" applyAlignment="1">
      <alignment horizontal="center"/>
    </xf>
    <xf numFmtId="0" fontId="71" fillId="5" borderId="18" xfId="0" applyFont="1" applyFill="1" applyBorder="1" applyAlignment="1">
      <alignment horizontal="center" wrapText="1"/>
    </xf>
    <xf numFmtId="0" fontId="70" fillId="5" borderId="23" xfId="0" applyFont="1" applyFill="1" applyBorder="1" applyAlignment="1">
      <alignment horizontal="center" wrapText="1"/>
    </xf>
    <xf numFmtId="0" fontId="70" fillId="5" borderId="18" xfId="0" applyFont="1" applyFill="1" applyBorder="1" applyAlignment="1">
      <alignment horizontal="center" wrapText="1"/>
    </xf>
    <xf numFmtId="0" fontId="70" fillId="5" borderId="18" xfId="0" applyFont="1" applyFill="1" applyBorder="1" applyAlignment="1">
      <alignment wrapText="1"/>
    </xf>
    <xf numFmtId="49" fontId="70" fillId="5" borderId="18" xfId="0" applyNumberFormat="1" applyFont="1" applyFill="1" applyBorder="1" applyAlignment="1">
      <alignment horizontal="center" wrapText="1"/>
    </xf>
    <xf numFmtId="0" fontId="70" fillId="5" borderId="20" xfId="0" applyFont="1" applyFill="1" applyBorder="1" applyAlignment="1">
      <alignment horizontal="center" wrapText="1"/>
    </xf>
    <xf numFmtId="0" fontId="11" fillId="5" borderId="20" xfId="0" applyFont="1" applyFill="1" applyBorder="1" applyAlignment="1">
      <alignment horizontal="center" wrapText="1"/>
    </xf>
    <xf numFmtId="0" fontId="11" fillId="5" borderId="23" xfId="0" applyFont="1" applyFill="1" applyBorder="1" applyAlignment="1">
      <alignment horizontal="center" wrapText="1"/>
    </xf>
    <xf numFmtId="0" fontId="23" fillId="5" borderId="18" xfId="0" applyFont="1" applyFill="1" applyBorder="1" applyAlignment="1">
      <alignment horizontal="center" wrapText="1"/>
    </xf>
    <xf numFmtId="0" fontId="23" fillId="5" borderId="18" xfId="0" applyFont="1" applyFill="1" applyBorder="1" applyAlignment="1">
      <alignment wrapText="1"/>
    </xf>
    <xf numFmtId="0" fontId="23" fillId="5" borderId="12" xfId="0" applyFont="1" applyFill="1" applyBorder="1" applyAlignment="1">
      <alignment horizontal="center" vertical="center" wrapText="1"/>
    </xf>
    <xf numFmtId="0" fontId="23" fillId="5" borderId="17" xfId="0" applyFont="1" applyFill="1" applyBorder="1" applyAlignment="1">
      <alignment horizontal="center" wrapText="1"/>
    </xf>
    <xf numFmtId="0" fontId="23" fillId="5" borderId="17" xfId="0" applyFont="1" applyFill="1" applyBorder="1" applyAlignment="1">
      <alignment wrapText="1"/>
    </xf>
    <xf numFmtId="0" fontId="0" fillId="5" borderId="0" xfId="0" applyFill="1"/>
    <xf numFmtId="49" fontId="18" fillId="5" borderId="0" xfId="0" applyNumberFormat="1" applyFont="1" applyFill="1" applyBorder="1" applyAlignment="1">
      <alignment horizontal="center"/>
    </xf>
    <xf numFmtId="0" fontId="3" fillId="5" borderId="13" xfId="0" applyFont="1" applyFill="1" applyBorder="1"/>
    <xf numFmtId="0" fontId="3" fillId="5" borderId="13" xfId="0" applyFont="1" applyFill="1" applyBorder="1" applyAlignment="1">
      <alignment horizontal="center"/>
    </xf>
    <xf numFmtId="176" fontId="3" fillId="5" borderId="13" xfId="2" applyNumberFormat="1" applyFont="1" applyFill="1" applyBorder="1"/>
    <xf numFmtId="0" fontId="14" fillId="5" borderId="13" xfId="0" applyFont="1" applyFill="1" applyBorder="1"/>
    <xf numFmtId="0" fontId="3" fillId="5" borderId="1" xfId="0" applyFont="1" applyFill="1" applyBorder="1" applyAlignment="1">
      <alignment horizontal="center"/>
    </xf>
    <xf numFmtId="0" fontId="3" fillId="5" borderId="1" xfId="0" applyFont="1" applyFill="1" applyBorder="1" applyAlignment="1">
      <alignment horizontal="left"/>
    </xf>
    <xf numFmtId="176" fontId="3" fillId="5" borderId="1" xfId="2" applyNumberFormat="1" applyFont="1" applyFill="1" applyBorder="1" applyAlignment="1">
      <alignment horizontal="center"/>
    </xf>
    <xf numFmtId="2" fontId="3" fillId="5" borderId="1" xfId="0" applyNumberFormat="1" applyFont="1" applyFill="1" applyBorder="1"/>
    <xf numFmtId="177" fontId="3" fillId="5" borderId="1" xfId="2" applyNumberFormat="1" applyFont="1" applyFill="1" applyBorder="1"/>
    <xf numFmtId="3" fontId="3" fillId="5" borderId="1" xfId="2" applyNumberFormat="1" applyFont="1" applyFill="1" applyBorder="1"/>
    <xf numFmtId="177" fontId="3" fillId="5" borderId="1" xfId="0" applyNumberFormat="1" applyFont="1" applyFill="1" applyBorder="1"/>
    <xf numFmtId="3" fontId="3" fillId="5" borderId="4" xfId="0" applyNumberFormat="1" applyFont="1" applyFill="1" applyBorder="1"/>
    <xf numFmtId="3" fontId="3" fillId="5" borderId="1" xfId="0" applyNumberFormat="1" applyFont="1" applyFill="1" applyBorder="1"/>
    <xf numFmtId="0" fontId="14" fillId="5" borderId="12" xfId="0" applyFont="1" applyFill="1" applyBorder="1"/>
    <xf numFmtId="176" fontId="8" fillId="5" borderId="12" xfId="0" applyNumberFormat="1" applyFont="1" applyFill="1" applyBorder="1" applyAlignment="1">
      <alignment horizontal="center"/>
    </xf>
    <xf numFmtId="176" fontId="8" fillId="5" borderId="12" xfId="0" applyNumberFormat="1" applyFont="1" applyFill="1" applyBorder="1"/>
    <xf numFmtId="0" fontId="8" fillId="5" borderId="12" xfId="0" applyFont="1" applyFill="1" applyBorder="1"/>
    <xf numFmtId="3" fontId="8" fillId="5" borderId="12" xfId="0" applyNumberFormat="1" applyFont="1" applyFill="1" applyBorder="1"/>
    <xf numFmtId="2" fontId="0" fillId="5" borderId="0" xfId="0" applyNumberFormat="1" applyFill="1"/>
    <xf numFmtId="0" fontId="3" fillId="5" borderId="14" xfId="0" applyFont="1" applyFill="1" applyBorder="1"/>
    <xf numFmtId="0" fontId="8" fillId="5" borderId="14" xfId="0" applyFont="1" applyFill="1" applyBorder="1"/>
    <xf numFmtId="0" fontId="8" fillId="5" borderId="14" xfId="0" applyFont="1" applyFill="1" applyBorder="1" applyAlignment="1">
      <alignment horizontal="center"/>
    </xf>
    <xf numFmtId="0" fontId="14" fillId="5" borderId="14" xfId="0" applyFont="1" applyFill="1" applyBorder="1"/>
    <xf numFmtId="176" fontId="3" fillId="5" borderId="14" xfId="2" applyNumberFormat="1" applyFont="1" applyFill="1" applyBorder="1"/>
    <xf numFmtId="176" fontId="8" fillId="5" borderId="14" xfId="0" applyNumberFormat="1" applyFont="1" applyFill="1" applyBorder="1"/>
    <xf numFmtId="0" fontId="8" fillId="5" borderId="0" xfId="0" applyFont="1" applyFill="1" applyBorder="1" applyAlignment="1">
      <alignment horizontal="left"/>
    </xf>
    <xf numFmtId="0" fontId="8" fillId="5" borderId="0" xfId="0" applyFont="1" applyFill="1" applyBorder="1" applyAlignment="1">
      <alignment horizontal="center"/>
    </xf>
    <xf numFmtId="176" fontId="3" fillId="5" borderId="0" xfId="2" applyNumberFormat="1" applyFont="1" applyFill="1" applyBorder="1"/>
    <xf numFmtId="176" fontId="8" fillId="5" borderId="0" xfId="0" applyNumberFormat="1" applyFont="1" applyFill="1" applyBorder="1"/>
    <xf numFmtId="49" fontId="3" fillId="5" borderId="0" xfId="0" applyNumberFormat="1" applyFont="1" applyFill="1" applyBorder="1"/>
    <xf numFmtId="176" fontId="14" fillId="5" borderId="0" xfId="2" applyNumberFormat="1" applyFont="1" applyFill="1" applyBorder="1"/>
    <xf numFmtId="49" fontId="3" fillId="5" borderId="0" xfId="0" applyNumberFormat="1" applyFont="1" applyFill="1" applyBorder="1" applyAlignment="1">
      <alignment horizontal="left"/>
    </xf>
    <xf numFmtId="0" fontId="8" fillId="5" borderId="0" xfId="0" applyFont="1" applyFill="1" applyBorder="1"/>
    <xf numFmtId="176" fontId="8" fillId="5" borderId="0" xfId="2" applyNumberFormat="1" applyFont="1" applyFill="1" applyBorder="1"/>
    <xf numFmtId="176" fontId="0" fillId="5" borderId="0" xfId="0" applyNumberFormat="1" applyFill="1"/>
    <xf numFmtId="178" fontId="3" fillId="5" borderId="1" xfId="0" applyNumberFormat="1" applyFont="1" applyFill="1" applyBorder="1"/>
    <xf numFmtId="0" fontId="3" fillId="5" borderId="0" xfId="0" applyNumberFormat="1" applyFont="1" applyFill="1" applyBorder="1" applyAlignment="1">
      <alignment horizontal="left" vertical="center" wrapText="1"/>
    </xf>
    <xf numFmtId="184" fontId="3" fillId="5" borderId="1" xfId="0" applyNumberFormat="1" applyFont="1" applyFill="1" applyBorder="1"/>
    <xf numFmtId="176" fontId="3" fillId="5" borderId="13" xfId="2" applyNumberFormat="1" applyFont="1" applyFill="1" applyBorder="1" applyAlignment="1">
      <alignment horizontal="center"/>
    </xf>
    <xf numFmtId="0" fontId="23" fillId="5" borderId="9" xfId="0" applyFont="1" applyFill="1" applyBorder="1" applyAlignment="1">
      <alignment horizontal="center" vertical="center" wrapText="1"/>
    </xf>
    <xf numFmtId="0" fontId="3" fillId="5" borderId="12" xfId="0" applyFont="1" applyFill="1" applyBorder="1" applyAlignment="1">
      <alignment horizontal="center"/>
    </xf>
    <xf numFmtId="0" fontId="3" fillId="5" borderId="12" xfId="0" applyFont="1" applyFill="1" applyBorder="1" applyAlignment="1">
      <alignment horizontal="left"/>
    </xf>
    <xf numFmtId="176" fontId="3" fillId="5" borderId="12" xfId="2" applyNumberFormat="1" applyFont="1" applyFill="1" applyBorder="1" applyAlignment="1">
      <alignment horizontal="center"/>
    </xf>
    <xf numFmtId="177" fontId="3" fillId="5" borderId="12" xfId="0" applyNumberFormat="1" applyFont="1" applyFill="1" applyBorder="1"/>
    <xf numFmtId="0" fontId="14" fillId="5" borderId="16" xfId="0" applyFont="1" applyFill="1" applyBorder="1"/>
    <xf numFmtId="0" fontId="14" fillId="5" borderId="24" xfId="0" applyFont="1" applyFill="1" applyBorder="1"/>
    <xf numFmtId="0" fontId="14" fillId="5" borderId="25" xfId="0" applyFont="1" applyFill="1" applyBorder="1"/>
    <xf numFmtId="177" fontId="8" fillId="5" borderId="12" xfId="0" applyNumberFormat="1" applyFont="1" applyFill="1" applyBorder="1"/>
    <xf numFmtId="176" fontId="8" fillId="5" borderId="12" xfId="2" applyNumberFormat="1" applyFont="1" applyFill="1" applyBorder="1" applyAlignment="1">
      <alignment horizontal="center"/>
    </xf>
    <xf numFmtId="0" fontId="3" fillId="5" borderId="6" xfId="0" applyFont="1" applyFill="1" applyBorder="1" applyAlignment="1">
      <alignment horizontal="center"/>
    </xf>
    <xf numFmtId="0" fontId="3" fillId="5" borderId="6" xfId="0" applyFont="1" applyFill="1" applyBorder="1" applyAlignment="1">
      <alignment horizontal="left"/>
    </xf>
    <xf numFmtId="176" fontId="3" fillId="5" borderId="6" xfId="2" applyNumberFormat="1" applyFont="1" applyFill="1" applyBorder="1" applyAlignment="1">
      <alignment horizontal="center"/>
    </xf>
    <xf numFmtId="177" fontId="3" fillId="5"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5" borderId="26" xfId="0" applyNumberFormat="1" applyFont="1" applyFill="1" applyBorder="1" applyAlignment="1">
      <alignment horizontal="right"/>
    </xf>
    <xf numFmtId="185" fontId="14" fillId="5" borderId="0" xfId="0" applyNumberFormat="1" applyFont="1" applyFill="1"/>
    <xf numFmtId="0" fontId="15" fillId="5" borderId="1" xfId="0" applyFont="1" applyFill="1" applyBorder="1" applyAlignment="1">
      <alignment horizontal="left"/>
    </xf>
    <xf numFmtId="0" fontId="15" fillId="5" borderId="1" xfId="0" applyFont="1" applyFill="1" applyBorder="1" applyAlignment="1">
      <alignment horizontal="center"/>
    </xf>
    <xf numFmtId="2" fontId="3" fillId="5" borderId="1" xfId="2" applyNumberFormat="1" applyFont="1" applyFill="1" applyBorder="1"/>
    <xf numFmtId="0" fontId="3" fillId="5" borderId="12" xfId="0" applyFont="1" applyFill="1" applyBorder="1"/>
    <xf numFmtId="176" fontId="3" fillId="5" borderId="12" xfId="2" applyNumberFormat="1" applyFont="1" applyFill="1" applyBorder="1"/>
    <xf numFmtId="2" fontId="14" fillId="5" borderId="0" xfId="0" applyNumberFormat="1" applyFont="1" applyFill="1"/>
    <xf numFmtId="176" fontId="14" fillId="5" borderId="12" xfId="2" applyNumberFormat="1" applyFont="1" applyFill="1" applyBorder="1"/>
    <xf numFmtId="176" fontId="14" fillId="5" borderId="0" xfId="0" applyNumberFormat="1" applyFont="1" applyFill="1"/>
    <xf numFmtId="176" fontId="14" fillId="5" borderId="14" xfId="2" applyNumberFormat="1" applyFont="1" applyFill="1" applyBorder="1"/>
    <xf numFmtId="176" fontId="3" fillId="5" borderId="10" xfId="2" applyNumberFormat="1" applyFont="1" applyFill="1" applyBorder="1" applyAlignment="1">
      <alignment horizontal="center"/>
    </xf>
    <xf numFmtId="177" fontId="3" fillId="5" borderId="10" xfId="0" applyNumberFormat="1" applyFont="1" applyFill="1" applyBorder="1"/>
    <xf numFmtId="177" fontId="3" fillId="5" borderId="10" xfId="2" applyNumberFormat="1" applyFont="1" applyFill="1" applyBorder="1"/>
    <xf numFmtId="3" fontId="3" fillId="5" borderId="10" xfId="2" applyNumberFormat="1" applyFont="1" applyFill="1" applyBorder="1"/>
    <xf numFmtId="3" fontId="3" fillId="5" borderId="8" xfId="0" applyNumberFormat="1" applyFont="1" applyFill="1" applyBorder="1"/>
    <xf numFmtId="0" fontId="3" fillId="5" borderId="5" xfId="0" applyFont="1" applyFill="1" applyBorder="1" applyAlignment="1">
      <alignment horizontal="center"/>
    </xf>
    <xf numFmtId="0" fontId="3" fillId="5" borderId="5" xfId="0" applyFont="1" applyFill="1" applyBorder="1" applyAlignment="1">
      <alignment horizontal="left"/>
    </xf>
    <xf numFmtId="176" fontId="3" fillId="5" borderId="5" xfId="2" applyNumberFormat="1" applyFont="1" applyFill="1" applyBorder="1" applyAlignment="1">
      <alignment horizontal="center"/>
    </xf>
    <xf numFmtId="177" fontId="3" fillId="5" borderId="5" xfId="0" applyNumberFormat="1" applyFont="1" applyFill="1" applyBorder="1"/>
    <xf numFmtId="177" fontId="3" fillId="5" borderId="5" xfId="2" applyNumberFormat="1" applyFont="1" applyFill="1" applyBorder="1"/>
    <xf numFmtId="3" fontId="3" fillId="5" borderId="5" xfId="2" applyNumberFormat="1" applyFont="1" applyFill="1" applyBorder="1"/>
    <xf numFmtId="1" fontId="14" fillId="5" borderId="0" xfId="0" applyNumberFormat="1" applyFont="1" applyFill="1"/>
    <xf numFmtId="0" fontId="57" fillId="5" borderId="0" xfId="0" applyFont="1" applyFill="1" applyBorder="1" applyAlignment="1">
      <alignment horizontal="center" wrapText="1"/>
    </xf>
    <xf numFmtId="177" fontId="14" fillId="5" borderId="0" xfId="0" applyNumberFormat="1" applyFont="1" applyFill="1"/>
    <xf numFmtId="178" fontId="3" fillId="5" borderId="6" xfId="0" applyNumberFormat="1" applyFont="1" applyFill="1" applyBorder="1" applyAlignment="1">
      <alignment horizontal="right"/>
    </xf>
    <xf numFmtId="176" fontId="23" fillId="5" borderId="12" xfId="2" applyNumberFormat="1" applyFont="1" applyFill="1" applyBorder="1" applyAlignment="1">
      <alignment horizontal="center" vertical="center" wrapText="1"/>
    </xf>
    <xf numFmtId="0" fontId="3" fillId="5" borderId="3" xfId="0" applyFont="1" applyFill="1" applyBorder="1" applyAlignment="1">
      <alignment horizontal="center"/>
    </xf>
    <xf numFmtId="0" fontId="3" fillId="5" borderId="3" xfId="0" applyFont="1" applyFill="1" applyBorder="1" applyAlignment="1">
      <alignment horizontal="left"/>
    </xf>
    <xf numFmtId="176" fontId="3" fillId="5" borderId="3" xfId="2" applyNumberFormat="1" applyFont="1" applyFill="1" applyBorder="1" applyAlignment="1">
      <alignment horizontal="center"/>
    </xf>
    <xf numFmtId="177" fontId="3" fillId="5" borderId="3" xfId="0" applyNumberFormat="1" applyFont="1" applyFill="1" applyBorder="1" applyAlignment="1">
      <alignment horizontal="right"/>
    </xf>
    <xf numFmtId="0" fontId="14" fillId="5" borderId="26" xfId="0" applyFont="1" applyFill="1" applyBorder="1"/>
    <xf numFmtId="0" fontId="14" fillId="5" borderId="27" xfId="0" applyFont="1" applyFill="1" applyBorder="1"/>
    <xf numFmtId="0" fontId="14" fillId="5" borderId="28" xfId="0" applyFont="1" applyFill="1" applyBorder="1"/>
    <xf numFmtId="0" fontId="14" fillId="5" borderId="4" xfId="0" applyFont="1" applyFill="1" applyBorder="1"/>
    <xf numFmtId="0" fontId="14" fillId="5" borderId="29" xfId="0" applyFont="1" applyFill="1" applyBorder="1"/>
    <xf numFmtId="0" fontId="14" fillId="5" borderId="30" xfId="0" applyFont="1" applyFill="1" applyBorder="1"/>
    <xf numFmtId="0" fontId="14" fillId="5" borderId="31" xfId="0" applyFont="1" applyFill="1" applyBorder="1"/>
    <xf numFmtId="0" fontId="14" fillId="5" borderId="32" xfId="0" applyFont="1" applyFill="1" applyBorder="1"/>
    <xf numFmtId="0" fontId="14" fillId="5" borderId="33" xfId="0" applyFont="1" applyFill="1" applyBorder="1"/>
    <xf numFmtId="176" fontId="8" fillId="5" borderId="12" xfId="2" applyNumberFormat="1" applyFont="1" applyFill="1" applyBorder="1"/>
    <xf numFmtId="0" fontId="16" fillId="5" borderId="0" xfId="0" applyFont="1" applyFill="1"/>
    <xf numFmtId="0" fontId="3" fillId="5" borderId="0" xfId="0" applyFont="1" applyFill="1" applyBorder="1" applyAlignment="1">
      <alignment horizontal="center"/>
    </xf>
    <xf numFmtId="177" fontId="3" fillId="5" borderId="0" xfId="0" applyNumberFormat="1" applyFont="1" applyFill="1" applyBorder="1"/>
    <xf numFmtId="176" fontId="3" fillId="5" borderId="0" xfId="0" applyNumberFormat="1" applyFont="1" applyFill="1" applyBorder="1"/>
    <xf numFmtId="49" fontId="8" fillId="5" borderId="0" xfId="0" applyNumberFormat="1" applyFont="1" applyFill="1" applyBorder="1"/>
    <xf numFmtId="177" fontId="14" fillId="5" borderId="0" xfId="0" applyNumberFormat="1" applyFont="1" applyFill="1" applyBorder="1"/>
    <xf numFmtId="177" fontId="8" fillId="5" borderId="12" xfId="0" applyNumberFormat="1" applyFont="1" applyFill="1" applyBorder="1" applyAlignment="1">
      <alignment horizontal="center" vertical="center" wrapText="1"/>
    </xf>
    <xf numFmtId="175" fontId="3" fillId="5" borderId="3" xfId="2" applyNumberFormat="1" applyFont="1" applyFill="1" applyBorder="1" applyAlignment="1">
      <alignment horizontal="left"/>
    </xf>
    <xf numFmtId="175" fontId="3" fillId="5" borderId="3" xfId="2" applyNumberFormat="1" applyFont="1" applyFill="1" applyBorder="1" applyAlignment="1">
      <alignment horizontal="center"/>
    </xf>
    <xf numFmtId="175" fontId="3" fillId="5" borderId="1" xfId="2" applyNumberFormat="1" applyFont="1" applyFill="1" applyBorder="1" applyAlignment="1">
      <alignment horizontal="left"/>
    </xf>
    <xf numFmtId="175" fontId="3" fillId="5" borderId="1" xfId="2" applyNumberFormat="1" applyFont="1" applyFill="1" applyBorder="1" applyAlignment="1">
      <alignment horizontal="center"/>
    </xf>
    <xf numFmtId="175" fontId="3" fillId="5" borderId="2" xfId="2" applyNumberFormat="1" applyFont="1" applyFill="1" applyBorder="1" applyAlignment="1">
      <alignment horizontal="left"/>
    </xf>
    <xf numFmtId="175" fontId="3" fillId="5" borderId="2" xfId="2" applyNumberFormat="1" applyFont="1" applyFill="1" applyBorder="1" applyAlignment="1">
      <alignment horizontal="center"/>
    </xf>
    <xf numFmtId="176" fontId="3" fillId="5" borderId="4" xfId="2" applyNumberFormat="1" applyFont="1" applyFill="1" applyBorder="1" applyAlignment="1">
      <alignment horizontal="center"/>
    </xf>
    <xf numFmtId="177" fontId="3" fillId="5" borderId="2" xfId="0" applyNumberFormat="1" applyFont="1" applyFill="1" applyBorder="1"/>
    <xf numFmtId="177" fontId="3" fillId="5" borderId="2" xfId="2" applyNumberFormat="1" applyFont="1" applyFill="1" applyBorder="1"/>
    <xf numFmtId="2" fontId="3" fillId="5" borderId="2" xfId="2" applyNumberFormat="1" applyFont="1" applyFill="1" applyBorder="1"/>
    <xf numFmtId="0" fontId="3" fillId="5" borderId="2" xfId="0" applyFont="1" applyFill="1" applyBorder="1" applyAlignment="1">
      <alignment horizontal="center"/>
    </xf>
    <xf numFmtId="176" fontId="3" fillId="5" borderId="7" xfId="2" applyNumberFormat="1" applyFont="1" applyFill="1" applyBorder="1" applyAlignment="1">
      <alignment horizontal="center"/>
    </xf>
    <xf numFmtId="176" fontId="3" fillId="5" borderId="2" xfId="2" applyNumberFormat="1" applyFont="1" applyFill="1" applyBorder="1" applyAlignment="1">
      <alignment horizontal="center"/>
    </xf>
    <xf numFmtId="3" fontId="3" fillId="5" borderId="2" xfId="2" applyNumberFormat="1" applyFont="1" applyFill="1" applyBorder="1"/>
    <xf numFmtId="3" fontId="3" fillId="5" borderId="7" xfId="0" applyNumberFormat="1" applyFont="1" applyFill="1" applyBorder="1"/>
    <xf numFmtId="3" fontId="3" fillId="5" borderId="2" xfId="0" applyNumberFormat="1" applyFont="1" applyFill="1" applyBorder="1"/>
    <xf numFmtId="175" fontId="3" fillId="5" borderId="5" xfId="2" applyNumberFormat="1" applyFont="1" applyFill="1" applyBorder="1" applyAlignment="1">
      <alignment horizontal="left"/>
    </xf>
    <xf numFmtId="176" fontId="3" fillId="5" borderId="31" xfId="2" applyNumberFormat="1" applyFont="1" applyFill="1" applyBorder="1" applyAlignment="1">
      <alignment horizontal="center"/>
    </xf>
    <xf numFmtId="2" fontId="3" fillId="5" borderId="5" xfId="2" applyNumberFormat="1" applyFont="1" applyFill="1" applyBorder="1"/>
    <xf numFmtId="3" fontId="3" fillId="5" borderId="31" xfId="0" applyNumberFormat="1" applyFont="1" applyFill="1" applyBorder="1"/>
    <xf numFmtId="3" fontId="3" fillId="5" borderId="5" xfId="0" applyNumberFormat="1" applyFont="1" applyFill="1" applyBorder="1"/>
    <xf numFmtId="0" fontId="8" fillId="5" borderId="12" xfId="0" applyFont="1" applyFill="1" applyBorder="1" applyAlignment="1">
      <alignment horizontal="center"/>
    </xf>
    <xf numFmtId="175" fontId="8" fillId="5" borderId="12" xfId="2" applyNumberFormat="1" applyFont="1" applyFill="1" applyBorder="1" applyAlignment="1">
      <alignment horizontal="center"/>
    </xf>
    <xf numFmtId="177" fontId="8" fillId="5" borderId="12" xfId="2" applyNumberFormat="1" applyFont="1" applyFill="1" applyBorder="1"/>
    <xf numFmtId="3" fontId="8" fillId="5" borderId="12" xfId="2" applyNumberFormat="1" applyFont="1" applyFill="1" applyBorder="1"/>
    <xf numFmtId="177" fontId="8" fillId="5" borderId="12" xfId="2" applyNumberFormat="1" applyFont="1" applyFill="1" applyBorder="1" applyAlignment="1">
      <alignment horizontal="center"/>
    </xf>
    <xf numFmtId="0" fontId="16" fillId="5" borderId="12" xfId="0" applyFont="1" applyFill="1" applyBorder="1"/>
    <xf numFmtId="177" fontId="16" fillId="5" borderId="12" xfId="0" applyNumberFormat="1" applyFont="1" applyFill="1" applyBorder="1"/>
    <xf numFmtId="176" fontId="8" fillId="5" borderId="14" xfId="0" applyNumberFormat="1" applyFont="1" applyFill="1" applyBorder="1" applyAlignment="1">
      <alignment horizontal="center"/>
    </xf>
    <xf numFmtId="177" fontId="14" fillId="5" borderId="14" xfId="0" applyNumberFormat="1" applyFont="1" applyFill="1" applyBorder="1"/>
    <xf numFmtId="177" fontId="8" fillId="5" borderId="14" xfId="0" applyNumberFormat="1" applyFont="1" applyFill="1" applyBorder="1"/>
    <xf numFmtId="3" fontId="8" fillId="5" borderId="14" xfId="0" applyNumberFormat="1" applyFont="1" applyFill="1" applyBorder="1"/>
    <xf numFmtId="0" fontId="8" fillId="5" borderId="0" xfId="0" applyFont="1" applyFill="1" applyBorder="1" applyAlignment="1">
      <alignment horizontal="right"/>
    </xf>
    <xf numFmtId="177" fontId="3" fillId="5" borderId="0" xfId="0" applyNumberFormat="1" applyFont="1" applyFill="1" applyBorder="1" applyAlignment="1">
      <alignment horizontal="left" vertical="center" wrapText="1"/>
    </xf>
    <xf numFmtId="1" fontId="3" fillId="5" borderId="4" xfId="0" applyNumberFormat="1" applyFont="1" applyFill="1" applyBorder="1"/>
    <xf numFmtId="3" fontId="14" fillId="5" borderId="0" xfId="0" applyNumberFormat="1" applyFont="1" applyFill="1" applyBorder="1"/>
    <xf numFmtId="49" fontId="9" fillId="5" borderId="0" xfId="0" applyNumberFormat="1" applyFont="1" applyFill="1" applyBorder="1"/>
    <xf numFmtId="0" fontId="2" fillId="5" borderId="0" xfId="0" applyFont="1" applyFill="1" applyBorder="1"/>
    <xf numFmtId="0" fontId="2" fillId="5" borderId="0" xfId="0" applyFont="1" applyFill="1" applyBorder="1" applyAlignment="1">
      <alignment horizontal="center"/>
    </xf>
    <xf numFmtId="184" fontId="3" fillId="5" borderId="1" xfId="2" applyNumberFormat="1" applyFont="1" applyFill="1" applyBorder="1"/>
    <xf numFmtId="175" fontId="3" fillId="5" borderId="7" xfId="2" applyNumberFormat="1" applyFont="1" applyFill="1" applyBorder="1" applyAlignment="1">
      <alignment horizontal="center"/>
    </xf>
    <xf numFmtId="177" fontId="23" fillId="5" borderId="12" xfId="0" applyNumberFormat="1" applyFont="1" applyFill="1" applyBorder="1" applyAlignment="1">
      <alignment horizontal="center" vertical="center" wrapText="1"/>
    </xf>
    <xf numFmtId="184" fontId="3" fillId="5" borderId="6" xfId="0" applyNumberFormat="1" applyFont="1" applyFill="1" applyBorder="1" applyAlignment="1">
      <alignment horizontal="right"/>
    </xf>
    <xf numFmtId="184" fontId="3" fillId="5" borderId="2" xfId="2" applyNumberFormat="1" applyFont="1" applyFill="1" applyBorder="1"/>
    <xf numFmtId="184" fontId="3" fillId="5" borderId="2" xfId="0" applyNumberFormat="1" applyFont="1" applyFill="1" applyBorder="1"/>
    <xf numFmtId="0" fontId="8" fillId="5" borderId="9" xfId="0" applyFont="1" applyFill="1" applyBorder="1" applyAlignment="1">
      <alignment horizontal="center" vertical="center" wrapText="1"/>
    </xf>
    <xf numFmtId="177" fontId="14" fillId="5" borderId="34" xfId="0" applyNumberFormat="1" applyFont="1" applyFill="1" applyBorder="1"/>
    <xf numFmtId="0" fontId="14" fillId="5" borderId="35" xfId="0" applyFont="1" applyFill="1" applyBorder="1"/>
    <xf numFmtId="177" fontId="14" fillId="5" borderId="35" xfId="0" applyNumberFormat="1" applyFont="1" applyFill="1" applyBorder="1"/>
    <xf numFmtId="0" fontId="14" fillId="5" borderId="36" xfId="0" applyFont="1" applyFill="1" applyBorder="1"/>
    <xf numFmtId="177" fontId="14" fillId="5" borderId="4" xfId="0" applyNumberFormat="1" applyFont="1" applyFill="1" applyBorder="1"/>
    <xf numFmtId="177" fontId="14" fillId="5" borderId="29" xfId="0" applyNumberFormat="1" applyFont="1" applyFill="1" applyBorder="1"/>
    <xf numFmtId="177" fontId="14" fillId="5" borderId="7" xfId="0" applyNumberFormat="1" applyFont="1" applyFill="1" applyBorder="1"/>
    <xf numFmtId="0" fontId="14" fillId="5" borderId="37" xfId="0" applyFont="1" applyFill="1" applyBorder="1"/>
    <xf numFmtId="177" fontId="14" fillId="5" borderId="37" xfId="0" applyNumberFormat="1" applyFont="1" applyFill="1" applyBorder="1"/>
    <xf numFmtId="0" fontId="14" fillId="5" borderId="38" xfId="0" applyFont="1" applyFill="1" applyBorder="1"/>
    <xf numFmtId="177" fontId="14" fillId="5" borderId="16" xfId="0" applyNumberFormat="1" applyFont="1" applyFill="1" applyBorder="1"/>
    <xf numFmtId="177" fontId="14" fillId="5" borderId="24" xfId="0" applyNumberFormat="1" applyFont="1" applyFill="1" applyBorder="1"/>
    <xf numFmtId="0" fontId="8" fillId="5" borderId="0" xfId="0" applyFont="1" applyFill="1"/>
    <xf numFmtId="0" fontId="3" fillId="5" borderId="2" xfId="0" applyFont="1" applyFill="1" applyBorder="1" applyAlignment="1">
      <alignment horizontal="left"/>
    </xf>
    <xf numFmtId="1" fontId="8" fillId="5" borderId="12" xfId="0" applyNumberFormat="1" applyFont="1" applyFill="1" applyBorder="1"/>
    <xf numFmtId="0" fontId="10" fillId="5" borderId="0" xfId="0" applyFont="1" applyFill="1"/>
    <xf numFmtId="0" fontId="8" fillId="5" borderId="10" xfId="0" applyFont="1" applyFill="1" applyBorder="1" applyAlignment="1">
      <alignment horizontal="center"/>
    </xf>
    <xf numFmtId="176" fontId="8" fillId="5" borderId="10" xfId="2" applyNumberFormat="1" applyFont="1" applyFill="1" applyBorder="1" applyAlignment="1">
      <alignment horizontal="center"/>
    </xf>
    <xf numFmtId="1" fontId="8" fillId="5" borderId="10" xfId="0" applyNumberFormat="1" applyFont="1" applyFill="1" applyBorder="1"/>
    <xf numFmtId="0" fontId="3" fillId="5" borderId="6" xfId="0" applyFont="1" applyFill="1" applyBorder="1"/>
    <xf numFmtId="0" fontId="8" fillId="5" borderId="6" xfId="0" applyFont="1" applyFill="1" applyBorder="1" applyAlignment="1">
      <alignment horizontal="center"/>
    </xf>
    <xf numFmtId="0" fontId="14" fillId="5" borderId="6" xfId="0" applyFont="1" applyFill="1" applyBorder="1"/>
    <xf numFmtId="176" fontId="14" fillId="5" borderId="6" xfId="2" applyNumberFormat="1" applyFont="1" applyFill="1" applyBorder="1"/>
    <xf numFmtId="43" fontId="8" fillId="5" borderId="6" xfId="2" applyNumberFormat="1" applyFont="1" applyFill="1" applyBorder="1"/>
    <xf numFmtId="176" fontId="8" fillId="5" borderId="6" xfId="0" applyNumberFormat="1" applyFont="1" applyFill="1" applyBorder="1"/>
    <xf numFmtId="0" fontId="3" fillId="5" borderId="1" xfId="0" applyFont="1" applyFill="1" applyBorder="1"/>
    <xf numFmtId="0" fontId="8" fillId="5" borderId="1" xfId="0" applyFont="1" applyFill="1" applyBorder="1" applyAlignment="1">
      <alignment horizontal="center"/>
    </xf>
    <xf numFmtId="0" fontId="14" fillId="5" borderId="1" xfId="0" applyFont="1" applyFill="1" applyBorder="1"/>
    <xf numFmtId="176" fontId="14" fillId="5" borderId="1" xfId="2" applyNumberFormat="1" applyFont="1" applyFill="1" applyBorder="1"/>
    <xf numFmtId="43" fontId="8" fillId="5" borderId="1" xfId="2" applyNumberFormat="1" applyFont="1" applyFill="1" applyBorder="1"/>
    <xf numFmtId="176" fontId="8" fillId="5" borderId="1" xfId="0" applyNumberFormat="1" applyFont="1" applyFill="1" applyBorder="1"/>
    <xf numFmtId="176" fontId="8" fillId="5" borderId="5" xfId="2" applyNumberFormat="1" applyFont="1" applyFill="1" applyBorder="1"/>
    <xf numFmtId="0" fontId="3" fillId="5" borderId="5" xfId="0" applyFont="1" applyFill="1" applyBorder="1"/>
    <xf numFmtId="0" fontId="8" fillId="5" borderId="5" xfId="0" applyFont="1" applyFill="1" applyBorder="1" applyAlignment="1">
      <alignment horizontal="center"/>
    </xf>
    <xf numFmtId="0" fontId="14" fillId="5" borderId="5" xfId="0" applyFont="1" applyFill="1" applyBorder="1"/>
    <xf numFmtId="176" fontId="14" fillId="5" borderId="5" xfId="2" applyNumberFormat="1" applyFont="1" applyFill="1" applyBorder="1"/>
    <xf numFmtId="43" fontId="8" fillId="5" borderId="5" xfId="2" applyNumberFormat="1" applyFont="1" applyFill="1" applyBorder="1"/>
    <xf numFmtId="176" fontId="8" fillId="5" borderId="5" xfId="0" applyNumberFormat="1" applyFont="1" applyFill="1" applyBorder="1"/>
    <xf numFmtId="0" fontId="2" fillId="5" borderId="13" xfId="0" applyFont="1" applyFill="1" applyBorder="1"/>
    <xf numFmtId="0" fontId="2" fillId="5" borderId="13" xfId="0" applyFont="1" applyFill="1" applyBorder="1" applyAlignment="1">
      <alignment horizontal="center"/>
    </xf>
    <xf numFmtId="179" fontId="3" fillId="5" borderId="6" xfId="0" applyNumberFormat="1" applyFont="1" applyFill="1" applyBorder="1" applyAlignment="1">
      <alignment horizontal="right"/>
    </xf>
    <xf numFmtId="179" fontId="3" fillId="5" borderId="9" xfId="0" applyNumberFormat="1" applyFont="1" applyFill="1" applyBorder="1" applyAlignment="1">
      <alignment horizontal="right"/>
    </xf>
    <xf numFmtId="179" fontId="3" fillId="5" borderId="1" xfId="0" applyNumberFormat="1" applyFont="1" applyFill="1" applyBorder="1"/>
    <xf numFmtId="179" fontId="3" fillId="5" borderId="1" xfId="2" applyNumberFormat="1" applyFont="1" applyFill="1" applyBorder="1"/>
    <xf numFmtId="3" fontId="3" fillId="5" borderId="4" xfId="2" applyNumberFormat="1" applyFont="1" applyFill="1" applyBorder="1"/>
    <xf numFmtId="179" fontId="3" fillId="5" borderId="10" xfId="0" applyNumberFormat="1" applyFont="1" applyFill="1" applyBorder="1" applyAlignment="1">
      <alignment horizontal="right"/>
    </xf>
    <xf numFmtId="3" fontId="3" fillId="5" borderId="29" xfId="0" applyNumberFormat="1" applyFont="1" applyFill="1" applyBorder="1"/>
    <xf numFmtId="179" fontId="3" fillId="5" borderId="3" xfId="0" applyNumberFormat="1" applyFont="1" applyFill="1" applyBorder="1" applyAlignment="1">
      <alignment horizontal="right"/>
    </xf>
    <xf numFmtId="179" fontId="3" fillId="5" borderId="2" xfId="0" applyNumberFormat="1" applyFont="1" applyFill="1" applyBorder="1"/>
    <xf numFmtId="179" fontId="3" fillId="5" borderId="2" xfId="2" applyNumberFormat="1" applyFont="1" applyFill="1" applyBorder="1"/>
    <xf numFmtId="2" fontId="3" fillId="5" borderId="12" xfId="0" applyNumberFormat="1" applyFont="1" applyFill="1" applyBorder="1"/>
    <xf numFmtId="1" fontId="3" fillId="5" borderId="12" xfId="2" applyNumberFormat="1" applyFont="1" applyFill="1" applyBorder="1"/>
    <xf numFmtId="182" fontId="8" fillId="5" borderId="6" xfId="2" applyNumberFormat="1" applyFont="1" applyFill="1" applyBorder="1"/>
    <xf numFmtId="182" fontId="8" fillId="5" borderId="1" xfId="2" applyNumberFormat="1" applyFont="1" applyFill="1" applyBorder="1"/>
    <xf numFmtId="182" fontId="8" fillId="5" borderId="5" xfId="2" applyNumberFormat="1" applyFont="1" applyFill="1" applyBorder="1"/>
    <xf numFmtId="182" fontId="8" fillId="5" borderId="0" xfId="2" applyNumberFormat="1" applyFont="1" applyFill="1" applyBorder="1"/>
    <xf numFmtId="176" fontId="8" fillId="5" borderId="0" xfId="0" applyNumberFormat="1" applyFont="1" applyFill="1" applyBorder="1" applyAlignment="1">
      <alignment horizontal="center"/>
    </xf>
    <xf numFmtId="3" fontId="8" fillId="5" borderId="0" xfId="0" applyNumberFormat="1" applyFont="1" applyFill="1" applyBorder="1"/>
    <xf numFmtId="182" fontId="3" fillId="5" borderId="6" xfId="2" applyNumberFormat="1" applyFont="1" applyFill="1" applyBorder="1" applyAlignment="1">
      <alignment horizontal="center"/>
    </xf>
    <xf numFmtId="181" fontId="3" fillId="5" borderId="6" xfId="0" applyNumberFormat="1" applyFont="1" applyFill="1" applyBorder="1" applyAlignment="1">
      <alignment horizontal="right"/>
    </xf>
    <xf numFmtId="182" fontId="3" fillId="5" borderId="1" xfId="2" applyNumberFormat="1" applyFont="1" applyFill="1" applyBorder="1" applyAlignment="1">
      <alignment horizontal="center"/>
    </xf>
    <xf numFmtId="181" fontId="3" fillId="5" borderId="4" xfId="0" applyNumberFormat="1" applyFont="1" applyFill="1" applyBorder="1"/>
    <xf numFmtId="176" fontId="16" fillId="5" borderId="12" xfId="2" applyNumberFormat="1" applyFont="1" applyFill="1" applyBorder="1"/>
    <xf numFmtId="176" fontId="8" fillId="5" borderId="6" xfId="0" applyNumberFormat="1" applyFont="1" applyFill="1" applyBorder="1" applyAlignment="1">
      <alignment horizontal="center"/>
    </xf>
    <xf numFmtId="0" fontId="8" fillId="5" borderId="6" xfId="0" applyFont="1" applyFill="1" applyBorder="1"/>
    <xf numFmtId="0" fontId="8" fillId="5" borderId="5" xfId="0" applyFont="1" applyFill="1" applyBorder="1"/>
    <xf numFmtId="3" fontId="8" fillId="5" borderId="6" xfId="0" applyNumberFormat="1" applyFont="1" applyFill="1" applyBorder="1"/>
    <xf numFmtId="176" fontId="8" fillId="5" borderId="1" xfId="0" applyNumberFormat="1" applyFont="1" applyFill="1" applyBorder="1" applyAlignment="1">
      <alignment horizontal="center"/>
    </xf>
    <xf numFmtId="0" fontId="8" fillId="5" borderId="1" xfId="0" applyFont="1" applyFill="1" applyBorder="1"/>
    <xf numFmtId="3" fontId="8" fillId="5" borderId="1" xfId="0" applyNumberFormat="1" applyFont="1" applyFill="1" applyBorder="1"/>
    <xf numFmtId="176" fontId="8" fillId="5" borderId="5" xfId="0" applyNumberFormat="1" applyFont="1" applyFill="1" applyBorder="1" applyAlignment="1">
      <alignment horizontal="center"/>
    </xf>
    <xf numFmtId="3" fontId="8" fillId="5" borderId="5" xfId="0" applyNumberFormat="1" applyFont="1" applyFill="1" applyBorder="1"/>
    <xf numFmtId="181" fontId="3" fillId="5" borderId="1" xfId="0" applyNumberFormat="1" applyFont="1" applyFill="1" applyBorder="1"/>
    <xf numFmtId="178" fontId="14" fillId="5" borderId="0" xfId="0" applyNumberFormat="1" applyFont="1" applyFill="1"/>
    <xf numFmtId="0" fontId="14" fillId="5" borderId="2" xfId="0" applyFont="1" applyFill="1" applyBorder="1"/>
    <xf numFmtId="176" fontId="14" fillId="5" borderId="2" xfId="2" applyNumberFormat="1" applyFont="1" applyFill="1" applyBorder="1"/>
    <xf numFmtId="0" fontId="8" fillId="5" borderId="2" xfId="0" applyFont="1" applyFill="1" applyBorder="1"/>
    <xf numFmtId="176" fontId="8" fillId="5" borderId="2" xfId="0" applyNumberFormat="1" applyFont="1" applyFill="1" applyBorder="1"/>
    <xf numFmtId="3" fontId="8" fillId="5" borderId="2" xfId="0" applyNumberFormat="1" applyFont="1" applyFill="1" applyBorder="1"/>
    <xf numFmtId="43" fontId="3" fillId="5" borderId="1" xfId="2" applyNumberFormat="1" applyFont="1" applyFill="1" applyBorder="1" applyAlignment="1">
      <alignment horizontal="center"/>
    </xf>
    <xf numFmtId="181" fontId="3" fillId="5" borderId="1" xfId="2" applyNumberFormat="1" applyFont="1" applyFill="1" applyBorder="1"/>
    <xf numFmtId="43" fontId="8" fillId="5" borderId="12" xfId="0" applyNumberFormat="1" applyFont="1" applyFill="1" applyBorder="1"/>
    <xf numFmtId="43" fontId="8" fillId="5" borderId="12" xfId="2" applyNumberFormat="1" applyFont="1" applyFill="1" applyBorder="1" applyAlignment="1">
      <alignment horizontal="center"/>
    </xf>
    <xf numFmtId="43" fontId="8" fillId="5" borderId="12" xfId="2" applyNumberFormat="1" applyFont="1" applyFill="1" applyBorder="1"/>
    <xf numFmtId="49" fontId="3" fillId="5" borderId="0" xfId="0" applyNumberFormat="1" applyFont="1" applyFill="1" applyBorder="1" applyAlignment="1">
      <alignment horizontal="left" wrapText="1"/>
    </xf>
    <xf numFmtId="177" fontId="3" fillId="5" borderId="9" xfId="0" applyNumberFormat="1" applyFont="1" applyFill="1" applyBorder="1" applyAlignment="1">
      <alignment horizontal="right"/>
    </xf>
    <xf numFmtId="177" fontId="3" fillId="5" borderId="10" xfId="0" applyNumberFormat="1" applyFont="1" applyFill="1" applyBorder="1" applyAlignment="1">
      <alignment horizontal="right"/>
    </xf>
    <xf numFmtId="176" fontId="3" fillId="5" borderId="30" xfId="2" applyNumberFormat="1" applyFont="1" applyFill="1" applyBorder="1" applyAlignment="1">
      <alignment horizontal="center"/>
    </xf>
    <xf numFmtId="171" fontId="14" fillId="5" borderId="0" xfId="0" applyNumberFormat="1" applyFont="1" applyFill="1"/>
    <xf numFmtId="49" fontId="20" fillId="5" borderId="13" xfId="0" applyNumberFormat="1" applyFont="1" applyFill="1" applyBorder="1"/>
    <xf numFmtId="4" fontId="3" fillId="5" borderId="1" xfId="2" applyNumberFormat="1" applyFont="1" applyFill="1" applyBorder="1"/>
    <xf numFmtId="176" fontId="8" fillId="5" borderId="9" xfId="2" applyNumberFormat="1" applyFont="1" applyFill="1" applyBorder="1" applyAlignment="1">
      <alignment horizontal="center" vertical="center" wrapText="1"/>
    </xf>
    <xf numFmtId="1" fontId="3" fillId="5" borderId="3" xfId="2" applyNumberFormat="1" applyFont="1" applyFill="1" applyBorder="1"/>
    <xf numFmtId="0" fontId="14" fillId="5" borderId="34" xfId="0" applyFont="1" applyFill="1" applyBorder="1"/>
    <xf numFmtId="1" fontId="3" fillId="5" borderId="1" xfId="2" applyNumberFormat="1" applyFont="1" applyFill="1" applyBorder="1"/>
    <xf numFmtId="0" fontId="14" fillId="5" borderId="7" xfId="0" applyFont="1" applyFill="1" applyBorder="1"/>
    <xf numFmtId="0" fontId="52" fillId="5" borderId="0" xfId="0" applyFont="1" applyFill="1"/>
    <xf numFmtId="0" fontId="16" fillId="5" borderId="0" xfId="0" applyFont="1" applyFill="1" applyAlignment="1">
      <alignment horizontal="right"/>
    </xf>
    <xf numFmtId="178" fontId="16" fillId="5" borderId="0" xfId="0" applyNumberFormat="1" applyFont="1" applyFill="1" applyAlignment="1">
      <alignment horizontal="center"/>
    </xf>
    <xf numFmtId="0" fontId="3" fillId="5" borderId="0" xfId="0" applyFont="1" applyFill="1" applyAlignment="1">
      <alignment horizontal="center" vertical="center" wrapText="1"/>
    </xf>
    <xf numFmtId="49" fontId="13" fillId="5" borderId="0" xfId="0" quotePrefix="1" applyNumberFormat="1" applyFont="1" applyFill="1" applyAlignment="1">
      <alignment horizontal="center" vertical="center"/>
    </xf>
    <xf numFmtId="0" fontId="8" fillId="5" borderId="0" xfId="0" applyFont="1" applyFill="1" applyAlignment="1">
      <alignment horizontal="right" vertical="center"/>
    </xf>
    <xf numFmtId="188" fontId="8" fillId="5" borderId="0" xfId="0" applyNumberFormat="1" applyFont="1" applyFill="1" applyAlignment="1">
      <alignment horizontal="center" vertical="center"/>
    </xf>
    <xf numFmtId="3" fontId="8" fillId="5" borderId="0" xfId="0" applyNumberFormat="1" applyFont="1" applyFill="1" applyAlignment="1">
      <alignment horizontal="center" vertical="center"/>
    </xf>
    <xf numFmtId="3" fontId="8" fillId="5" borderId="0" xfId="0" applyNumberFormat="1" applyFont="1" applyFill="1" applyAlignment="1">
      <alignment horizontal="left" vertical="center"/>
    </xf>
    <xf numFmtId="0" fontId="34" fillId="5" borderId="0" xfId="0" applyFont="1" applyFill="1"/>
    <xf numFmtId="0" fontId="32" fillId="5" borderId="12" xfId="0" applyFont="1" applyFill="1" applyBorder="1" applyAlignment="1">
      <alignment horizontal="center" vertical="center" wrapText="1"/>
    </xf>
    <xf numFmtId="188" fontId="32" fillId="5" borderId="12" xfId="0" applyNumberFormat="1" applyFont="1" applyFill="1" applyBorder="1" applyAlignment="1">
      <alignment horizontal="center" vertical="center" wrapText="1"/>
    </xf>
    <xf numFmtId="49" fontId="32" fillId="5" borderId="12" xfId="0" applyNumberFormat="1" applyFont="1" applyFill="1" applyBorder="1" applyAlignment="1">
      <alignment horizontal="center" vertical="center" wrapText="1"/>
    </xf>
    <xf numFmtId="0" fontId="32" fillId="5" borderId="12" xfId="0" applyNumberFormat="1" applyFont="1" applyFill="1" applyBorder="1" applyAlignment="1">
      <alignment horizontal="justify" vertical="center" wrapText="1"/>
    </xf>
    <xf numFmtId="0" fontId="55" fillId="5" borderId="12" xfId="0" applyFont="1" applyFill="1" applyBorder="1" applyAlignment="1">
      <alignment vertical="center" wrapText="1"/>
    </xf>
    <xf numFmtId="3" fontId="32" fillId="5" borderId="12" xfId="0" applyNumberFormat="1" applyFont="1" applyFill="1" applyBorder="1" applyAlignment="1">
      <alignment horizontal="right" vertical="center" wrapText="1"/>
    </xf>
    <xf numFmtId="49" fontId="32" fillId="5" borderId="12" xfId="0" applyNumberFormat="1" applyFont="1" applyFill="1" applyBorder="1" applyAlignment="1">
      <alignment horizontal="justify" vertical="center" wrapText="1"/>
    </xf>
    <xf numFmtId="2" fontId="31" fillId="5" borderId="0" xfId="0" applyNumberFormat="1" applyFont="1" applyFill="1"/>
    <xf numFmtId="0" fontId="55" fillId="5" borderId="12" xfId="0" applyFont="1" applyFill="1" applyBorder="1" applyAlignment="1">
      <alignment horizontal="center" vertical="center" wrapText="1"/>
    </xf>
    <xf numFmtId="49" fontId="54" fillId="5" borderId="12" xfId="0" applyNumberFormat="1" applyFont="1" applyFill="1" applyBorder="1" applyAlignment="1">
      <alignment horizontal="center" vertical="center" wrapText="1"/>
    </xf>
    <xf numFmtId="3" fontId="20" fillId="5" borderId="12" xfId="0" applyNumberFormat="1" applyFont="1" applyFill="1" applyBorder="1" applyAlignment="1">
      <alignment vertical="center" wrapText="1"/>
    </xf>
    <xf numFmtId="3" fontId="35" fillId="5" borderId="12" xfId="0" applyNumberFormat="1" applyFont="1" applyFill="1" applyBorder="1" applyAlignment="1">
      <alignment vertical="center" wrapText="1"/>
    </xf>
    <xf numFmtId="188" fontId="13" fillId="5" borderId="12" xfId="0" applyNumberFormat="1" applyFont="1" applyFill="1" applyBorder="1" applyAlignment="1">
      <alignment horizontal="center" vertical="center" wrapText="1"/>
    </xf>
    <xf numFmtId="3" fontId="36" fillId="5" borderId="12" xfId="0" applyNumberFormat="1" applyFont="1" applyFill="1" applyBorder="1" applyAlignment="1">
      <alignment vertical="center" wrapText="1"/>
    </xf>
    <xf numFmtId="0" fontId="9" fillId="5" borderId="0" xfId="0" applyFont="1" applyFill="1"/>
    <xf numFmtId="0" fontId="54" fillId="5" borderId="12" xfId="0" applyFont="1" applyFill="1" applyBorder="1" applyAlignment="1">
      <alignment horizontal="center" vertical="center" wrapText="1"/>
    </xf>
    <xf numFmtId="0" fontId="54" fillId="5" borderId="12" xfId="0" applyFont="1" applyFill="1" applyBorder="1" applyAlignment="1">
      <alignment vertical="center" wrapText="1"/>
    </xf>
    <xf numFmtId="49" fontId="35" fillId="5" borderId="12" xfId="0" applyNumberFormat="1" applyFont="1" applyFill="1" applyBorder="1" applyAlignment="1">
      <alignment horizontal="center" vertical="center" wrapText="1"/>
    </xf>
    <xf numFmtId="179" fontId="35" fillId="5" borderId="12" xfId="0" applyNumberFormat="1" applyFont="1" applyFill="1" applyBorder="1" applyAlignment="1">
      <alignment vertical="center"/>
    </xf>
    <xf numFmtId="49" fontId="21" fillId="5" borderId="0" xfId="0" applyNumberFormat="1" applyFont="1" applyFill="1" applyBorder="1" applyAlignment="1">
      <alignment horizontal="justify" vertical="center" wrapText="1"/>
    </xf>
    <xf numFmtId="3" fontId="3" fillId="5" borderId="0" xfId="0" applyNumberFormat="1" applyFont="1" applyFill="1" applyBorder="1" applyAlignment="1">
      <alignment vertical="center"/>
    </xf>
    <xf numFmtId="188" fontId="3" fillId="5" borderId="0" xfId="0" applyNumberFormat="1" applyFont="1" applyFill="1" applyBorder="1" applyAlignment="1">
      <alignment horizontal="center" vertical="center"/>
    </xf>
    <xf numFmtId="0" fontId="3" fillId="5" borderId="0" xfId="0" applyFont="1" applyFill="1" applyBorder="1" applyAlignment="1">
      <alignment vertical="center"/>
    </xf>
    <xf numFmtId="179" fontId="14" fillId="5" borderId="0" xfId="0" applyNumberFormat="1" applyFont="1" applyFill="1"/>
    <xf numFmtId="0" fontId="20" fillId="5" borderId="0" xfId="0" applyNumberFormat="1" applyFont="1" applyFill="1" applyBorder="1" applyAlignment="1">
      <alignment horizontal="left" vertical="center" wrapText="1"/>
    </xf>
    <xf numFmtId="3" fontId="20" fillId="5" borderId="12" xfId="0" applyNumberFormat="1" applyFont="1" applyFill="1" applyBorder="1" applyAlignment="1">
      <alignment vertical="center"/>
    </xf>
    <xf numFmtId="3" fontId="35" fillId="5" borderId="12" xfId="0" applyNumberFormat="1" applyFont="1" applyFill="1" applyBorder="1" applyAlignment="1">
      <alignment vertical="center"/>
    </xf>
    <xf numFmtId="3" fontId="36" fillId="5" borderId="12" xfId="0" applyNumberFormat="1" applyFont="1" applyFill="1" applyBorder="1" applyAlignment="1">
      <alignment vertical="center"/>
    </xf>
    <xf numFmtId="49" fontId="35" fillId="5" borderId="12" xfId="0" applyNumberFormat="1" applyFont="1" applyFill="1" applyBorder="1" applyAlignment="1">
      <alignment horizontal="center" vertical="center"/>
    </xf>
    <xf numFmtId="4" fontId="35" fillId="5" borderId="12" xfId="0" applyNumberFormat="1" applyFont="1" applyFill="1" applyBorder="1" applyAlignment="1">
      <alignment vertical="center"/>
    </xf>
    <xf numFmtId="181" fontId="35" fillId="5" borderId="12" xfId="0" applyNumberFormat="1" applyFont="1" applyFill="1" applyBorder="1" applyAlignment="1">
      <alignment vertical="center"/>
    </xf>
    <xf numFmtId="181" fontId="35" fillId="5" borderId="0" xfId="0" applyNumberFormat="1" applyFont="1" applyFill="1" applyBorder="1" applyAlignment="1">
      <alignment vertical="center"/>
    </xf>
    <xf numFmtId="0" fontId="35" fillId="5" borderId="0" xfId="0" applyFont="1" applyFill="1"/>
    <xf numFmtId="0" fontId="13" fillId="5" borderId="0" xfId="0" applyFont="1" applyFill="1"/>
    <xf numFmtId="0" fontId="67" fillId="5" borderId="0" xfId="0" applyFont="1" applyFill="1"/>
    <xf numFmtId="2" fontId="32" fillId="5" borderId="0" xfId="0" applyNumberFormat="1" applyFont="1" applyFill="1"/>
    <xf numFmtId="0" fontId="20" fillId="5" borderId="0" xfId="0" applyFont="1" applyFill="1"/>
    <xf numFmtId="179" fontId="3" fillId="5" borderId="0" xfId="0" applyNumberFormat="1" applyFont="1" applyFill="1"/>
    <xf numFmtId="0" fontId="13" fillId="5" borderId="0" xfId="0" applyFont="1" applyFill="1" applyAlignment="1">
      <alignment horizontal="center" vertical="center"/>
    </xf>
    <xf numFmtId="188" fontId="3" fillId="5" borderId="0" xfId="0" applyNumberFormat="1" applyFont="1" applyFill="1" applyAlignment="1">
      <alignment horizontal="center" vertical="center"/>
    </xf>
    <xf numFmtId="179" fontId="13" fillId="5" borderId="0" xfId="0" applyNumberFormat="1" applyFont="1" applyFill="1"/>
    <xf numFmtId="0" fontId="63" fillId="5" borderId="0" xfId="0" applyFont="1" applyFill="1"/>
    <xf numFmtId="3" fontId="32" fillId="5" borderId="12" xfId="0" applyNumberFormat="1" applyFont="1" applyFill="1" applyBorder="1" applyAlignment="1">
      <alignment horizontal="center" vertical="center" wrapText="1"/>
    </xf>
    <xf numFmtId="179" fontId="20" fillId="5" borderId="0" xfId="0" applyNumberFormat="1" applyFont="1" applyFill="1"/>
    <xf numFmtId="3" fontId="13" fillId="5" borderId="12" xfId="0" applyNumberFormat="1" applyFont="1" applyFill="1" applyBorder="1" applyAlignment="1">
      <alignment horizontal="center" vertical="center" wrapText="1"/>
    </xf>
    <xf numFmtId="0" fontId="64" fillId="5" borderId="0" xfId="0" applyFont="1" applyFill="1"/>
    <xf numFmtId="179" fontId="35" fillId="5" borderId="18" xfId="0" applyNumberFormat="1" applyFont="1" applyFill="1" applyBorder="1" applyAlignment="1">
      <alignment vertical="center"/>
    </xf>
    <xf numFmtId="0" fontId="35" fillId="5" borderId="0" xfId="0" applyFont="1" applyFill="1" applyAlignment="1">
      <alignment vertical="center" wrapText="1"/>
    </xf>
    <xf numFmtId="179" fontId="13" fillId="5" borderId="0" xfId="0" applyNumberFormat="1" applyFont="1" applyFill="1" applyAlignment="1">
      <alignment vertical="center" wrapText="1"/>
    </xf>
    <xf numFmtId="0" fontId="13" fillId="5" borderId="0" xfId="0" applyFont="1" applyFill="1" applyAlignment="1">
      <alignment vertical="center" wrapText="1"/>
    </xf>
    <xf numFmtId="0" fontId="63" fillId="5" borderId="0" xfId="0" applyFont="1" applyFill="1" applyAlignment="1">
      <alignment vertical="center" wrapText="1"/>
    </xf>
    <xf numFmtId="2" fontId="32" fillId="5" borderId="0" xfId="0" applyNumberFormat="1" applyFont="1" applyFill="1" applyAlignment="1">
      <alignment vertical="center" wrapText="1"/>
    </xf>
    <xf numFmtId="179" fontId="20" fillId="5" borderId="0" xfId="0" applyNumberFormat="1" applyFont="1" applyFill="1" applyAlignment="1">
      <alignment vertical="center" wrapText="1"/>
    </xf>
    <xf numFmtId="0" fontId="20" fillId="5" borderId="0" xfId="0" applyFont="1" applyFill="1" applyAlignment="1">
      <alignment vertical="center" wrapText="1"/>
    </xf>
    <xf numFmtId="0" fontId="64" fillId="5" borderId="0" xfId="0" applyFont="1" applyFill="1" applyAlignment="1">
      <alignment vertical="center" wrapText="1"/>
    </xf>
    <xf numFmtId="179" fontId="35" fillId="5" borderId="18" xfId="0" applyNumberFormat="1" applyFont="1" applyFill="1" applyBorder="1" applyAlignment="1">
      <alignment vertical="center" wrapText="1"/>
    </xf>
    <xf numFmtId="49" fontId="32" fillId="5" borderId="12" xfId="0" applyNumberFormat="1" applyFont="1" applyFill="1" applyBorder="1" applyAlignment="1">
      <alignment horizontal="left" vertical="center" wrapText="1"/>
    </xf>
    <xf numFmtId="179" fontId="8" fillId="5" borderId="0" xfId="0" applyNumberFormat="1" applyFont="1" applyFill="1"/>
    <xf numFmtId="49" fontId="0" fillId="5" borderId="0" xfId="0" applyNumberFormat="1" applyFill="1" applyAlignment="1">
      <alignment horizontal="center" vertical="center"/>
    </xf>
    <xf numFmtId="49" fontId="0" fillId="5" borderId="0" xfId="0" applyNumberFormat="1" applyFill="1" applyAlignment="1">
      <alignment horizontal="justify" vertical="center" wrapText="1"/>
    </xf>
    <xf numFmtId="0" fontId="0" fillId="5" borderId="0" xfId="0" applyFill="1" applyAlignment="1">
      <alignment horizontal="center" vertical="center" wrapText="1"/>
    </xf>
    <xf numFmtId="0" fontId="6" fillId="5" borderId="0" xfId="0" applyFont="1" applyFill="1" applyAlignment="1">
      <alignment horizontal="center" vertical="center"/>
    </xf>
    <xf numFmtId="188" fontId="14" fillId="5" borderId="0" xfId="0" applyNumberFormat="1" applyFont="1" applyFill="1" applyAlignment="1">
      <alignment horizontal="center" vertical="center"/>
    </xf>
    <xf numFmtId="1" fontId="32" fillId="5" borderId="0" xfId="0" applyNumberFormat="1" applyFont="1" applyFill="1" applyAlignment="1">
      <alignment vertical="center" wrapText="1"/>
    </xf>
    <xf numFmtId="49" fontId="32" fillId="5" borderId="9" xfId="0" applyNumberFormat="1" applyFont="1" applyFill="1" applyBorder="1" applyAlignment="1">
      <alignment horizontal="center" vertical="center" wrapText="1"/>
    </xf>
    <xf numFmtId="49" fontId="32" fillId="5" borderId="10" xfId="0" applyNumberFormat="1" applyFont="1" applyFill="1" applyBorder="1" applyAlignment="1">
      <alignment horizontal="center" vertical="center" wrapText="1"/>
    </xf>
    <xf numFmtId="49" fontId="32" fillId="5" borderId="11" xfId="0" applyNumberFormat="1" applyFont="1" applyFill="1" applyBorder="1" applyAlignment="1">
      <alignment horizontal="center" vertical="center" wrapText="1"/>
    </xf>
    <xf numFmtId="0" fontId="20" fillId="5" borderId="12" xfId="0" applyNumberFormat="1" applyFont="1" applyFill="1" applyBorder="1" applyAlignment="1">
      <alignment horizontal="justify" vertical="center" wrapText="1"/>
    </xf>
    <xf numFmtId="0" fontId="36" fillId="5" borderId="12" xfId="0" applyFont="1" applyFill="1" applyBorder="1" applyAlignment="1">
      <alignment horizontal="center" vertical="center" wrapText="1"/>
    </xf>
    <xf numFmtId="4" fontId="36" fillId="5" borderId="12" xfId="0" applyNumberFormat="1" applyFont="1" applyFill="1" applyBorder="1" applyAlignment="1">
      <alignment vertical="center" wrapText="1"/>
    </xf>
    <xf numFmtId="0" fontId="32" fillId="5" borderId="0" xfId="0" applyFont="1" applyFill="1" applyAlignment="1">
      <alignment vertical="center" wrapText="1"/>
    </xf>
    <xf numFmtId="3" fontId="50" fillId="5" borderId="12" xfId="0" applyNumberFormat="1" applyFont="1" applyFill="1" applyBorder="1" applyAlignment="1">
      <alignment vertical="center" wrapText="1"/>
    </xf>
    <xf numFmtId="0" fontId="48" fillId="5" borderId="12" xfId="0" applyFont="1" applyFill="1" applyBorder="1" applyAlignment="1">
      <alignment vertical="center" wrapText="1"/>
    </xf>
    <xf numFmtId="3" fontId="38" fillId="5" borderId="12" xfId="0" applyNumberFormat="1" applyFont="1" applyFill="1" applyBorder="1" applyAlignment="1">
      <alignment vertical="center" wrapText="1"/>
    </xf>
    <xf numFmtId="3" fontId="48" fillId="5" borderId="12" xfId="0" applyNumberFormat="1" applyFont="1" applyFill="1" applyBorder="1" applyAlignment="1">
      <alignment vertical="center" wrapText="1"/>
    </xf>
    <xf numFmtId="0" fontId="38" fillId="5" borderId="0" xfId="0" applyFont="1" applyFill="1" applyAlignment="1">
      <alignment vertical="center" wrapText="1"/>
    </xf>
    <xf numFmtId="0" fontId="61" fillId="5" borderId="0" xfId="0" applyFont="1" applyFill="1" applyAlignment="1">
      <alignment vertical="center" wrapText="1"/>
    </xf>
    <xf numFmtId="0" fontId="65" fillId="5" borderId="0" xfId="0" applyFont="1" applyFill="1" applyAlignment="1">
      <alignment vertical="center" wrapText="1"/>
    </xf>
    <xf numFmtId="179" fontId="38" fillId="5" borderId="12" xfId="0" applyNumberFormat="1" applyFont="1" applyFill="1" applyBorder="1" applyAlignment="1">
      <alignment vertical="center" wrapText="1"/>
    </xf>
    <xf numFmtId="4" fontId="38" fillId="5" borderId="12" xfId="0" applyNumberFormat="1" applyFont="1" applyFill="1" applyBorder="1" applyAlignment="1">
      <alignment vertical="center" wrapText="1"/>
    </xf>
    <xf numFmtId="180" fontId="38" fillId="5" borderId="12" xfId="0" applyNumberFormat="1" applyFont="1" applyFill="1" applyBorder="1" applyAlignment="1">
      <alignment vertical="center" wrapText="1"/>
    </xf>
    <xf numFmtId="0" fontId="13" fillId="5" borderId="0" xfId="0" applyNumberFormat="1" applyFont="1" applyFill="1" applyBorder="1" applyAlignment="1">
      <alignment horizontal="justify" vertical="center" wrapText="1"/>
    </xf>
    <xf numFmtId="49" fontId="36" fillId="5" borderId="12" xfId="0" applyNumberFormat="1" applyFont="1" applyFill="1" applyBorder="1" applyAlignment="1">
      <alignment horizontal="center" vertical="center" wrapText="1"/>
    </xf>
    <xf numFmtId="188" fontId="36" fillId="5" borderId="12" xfId="0" applyNumberFormat="1" applyFont="1" applyFill="1" applyBorder="1" applyAlignment="1">
      <alignment vertical="center" wrapText="1"/>
    </xf>
    <xf numFmtId="179" fontId="36" fillId="5" borderId="12" xfId="0" applyNumberFormat="1" applyFont="1" applyFill="1" applyBorder="1" applyAlignment="1">
      <alignment vertical="center" wrapText="1"/>
    </xf>
    <xf numFmtId="179" fontId="37" fillId="5" borderId="0" xfId="0" applyNumberFormat="1" applyFont="1" applyFill="1" applyAlignment="1">
      <alignment vertical="center" wrapText="1"/>
    </xf>
    <xf numFmtId="0" fontId="36" fillId="5" borderId="0" xfId="0" applyFont="1" applyFill="1" applyAlignment="1">
      <alignment vertical="center" wrapText="1"/>
    </xf>
    <xf numFmtId="49" fontId="38" fillId="5" borderId="12" xfId="0" applyNumberFormat="1" applyFont="1" applyFill="1" applyBorder="1" applyAlignment="1">
      <alignment horizontal="center" vertical="center" wrapText="1"/>
    </xf>
    <xf numFmtId="3" fontId="38" fillId="5" borderId="39" xfId="0" applyNumberFormat="1" applyFont="1" applyFill="1" applyBorder="1" applyAlignment="1">
      <alignment vertical="center" wrapText="1"/>
    </xf>
    <xf numFmtId="179" fontId="38" fillId="5" borderId="0" xfId="0" applyNumberFormat="1" applyFont="1" applyFill="1" applyAlignment="1">
      <alignment vertical="center" wrapText="1"/>
    </xf>
    <xf numFmtId="179" fontId="38" fillId="5" borderId="18" xfId="0" applyNumberFormat="1" applyFont="1" applyFill="1" applyBorder="1" applyAlignment="1">
      <alignment vertical="center" wrapText="1"/>
    </xf>
    <xf numFmtId="179" fontId="38" fillId="5" borderId="0" xfId="0" applyNumberFormat="1" applyFont="1" applyFill="1" applyBorder="1" applyAlignment="1">
      <alignment vertical="center" wrapText="1"/>
    </xf>
    <xf numFmtId="3" fontId="61" fillId="5" borderId="12" xfId="0" applyNumberFormat="1" applyFont="1" applyFill="1" applyBorder="1" applyAlignment="1">
      <alignment vertical="center" wrapText="1"/>
    </xf>
    <xf numFmtId="181" fontId="36" fillId="5" borderId="12" xfId="0" applyNumberFormat="1" applyFont="1" applyFill="1" applyBorder="1" applyAlignment="1">
      <alignment vertical="center" wrapText="1"/>
    </xf>
    <xf numFmtId="3" fontId="61" fillId="5" borderId="39" xfId="0" applyNumberFormat="1" applyFont="1" applyFill="1" applyBorder="1" applyAlignment="1">
      <alignment vertical="center" wrapText="1"/>
    </xf>
    <xf numFmtId="0" fontId="54" fillId="5" borderId="40" xfId="0" applyFont="1" applyFill="1" applyBorder="1" applyAlignment="1">
      <alignment horizontal="center" vertical="center" wrapText="1"/>
    </xf>
    <xf numFmtId="0" fontId="54" fillId="5" borderId="40" xfId="0" applyFont="1" applyFill="1" applyBorder="1" applyAlignment="1">
      <alignment vertical="center" wrapText="1"/>
    </xf>
    <xf numFmtId="49" fontId="54" fillId="5" borderId="40" xfId="0" applyNumberFormat="1" applyFont="1" applyFill="1" applyBorder="1" applyAlignment="1">
      <alignment horizontal="center" vertical="center" wrapText="1"/>
    </xf>
    <xf numFmtId="3" fontId="38" fillId="5" borderId="40" xfId="0" applyNumberFormat="1" applyFont="1" applyFill="1" applyBorder="1" applyAlignment="1">
      <alignment vertical="center" wrapText="1"/>
    </xf>
    <xf numFmtId="188" fontId="13" fillId="5" borderId="40" xfId="0" applyNumberFormat="1" applyFont="1" applyFill="1" applyBorder="1" applyAlignment="1">
      <alignment horizontal="center" vertical="center" wrapText="1"/>
    </xf>
    <xf numFmtId="3" fontId="48" fillId="5" borderId="40" xfId="0" applyNumberFormat="1" applyFont="1" applyFill="1" applyBorder="1" applyAlignment="1">
      <alignment vertical="center" wrapText="1"/>
    </xf>
    <xf numFmtId="3" fontId="38" fillId="5" borderId="41" xfId="0" applyNumberFormat="1" applyFont="1" applyFill="1" applyBorder="1" applyAlignment="1">
      <alignment vertical="center" wrapText="1"/>
    </xf>
    <xf numFmtId="49" fontId="6" fillId="5" borderId="0" xfId="0" applyNumberFormat="1" applyFont="1" applyFill="1" applyBorder="1" applyAlignment="1">
      <alignment horizontal="center" vertical="center"/>
    </xf>
    <xf numFmtId="0" fontId="13" fillId="5" borderId="0" xfId="0" applyNumberFormat="1" applyFont="1" applyFill="1" applyBorder="1" applyAlignment="1">
      <alignment horizontal="left" vertical="center" wrapText="1"/>
    </xf>
    <xf numFmtId="0" fontId="35" fillId="5" borderId="0" xfId="0" applyFont="1" applyFill="1" applyAlignment="1">
      <alignment vertical="center"/>
    </xf>
    <xf numFmtId="179" fontId="13" fillId="5" borderId="0" xfId="0" applyNumberFormat="1" applyFont="1" applyFill="1" applyAlignment="1">
      <alignment vertical="center"/>
    </xf>
    <xf numFmtId="0" fontId="13" fillId="5" borderId="0" xfId="0" applyFont="1" applyFill="1" applyAlignment="1">
      <alignment vertical="center"/>
    </xf>
    <xf numFmtId="0" fontId="63" fillId="5" borderId="0" xfId="0" applyFont="1" applyFill="1" applyAlignment="1">
      <alignment vertical="center"/>
    </xf>
    <xf numFmtId="2" fontId="32" fillId="5" borderId="0" xfId="0" applyNumberFormat="1" applyFont="1" applyFill="1" applyAlignment="1">
      <alignment vertical="center"/>
    </xf>
    <xf numFmtId="179" fontId="20" fillId="5" borderId="0" xfId="0" applyNumberFormat="1" applyFont="1" applyFill="1" applyAlignment="1">
      <alignment vertical="center"/>
    </xf>
    <xf numFmtId="0" fontId="20" fillId="5" borderId="0" xfId="0" applyFont="1" applyFill="1" applyAlignment="1">
      <alignment vertical="center"/>
    </xf>
    <xf numFmtId="0" fontId="64" fillId="5" borderId="0" xfId="0" applyFont="1" applyFill="1" applyAlignment="1">
      <alignment vertical="center"/>
    </xf>
    <xf numFmtId="49" fontId="13" fillId="5" borderId="14" xfId="0" applyNumberFormat="1" applyFont="1" applyFill="1" applyBorder="1" applyAlignment="1">
      <alignment horizontal="center" vertical="center"/>
    </xf>
    <xf numFmtId="49" fontId="21" fillId="5" borderId="14" xfId="0" applyNumberFormat="1" applyFont="1" applyFill="1" applyBorder="1" applyAlignment="1">
      <alignment horizontal="justify" vertical="center" wrapText="1"/>
    </xf>
    <xf numFmtId="0" fontId="13" fillId="5" borderId="14" xfId="0" applyFont="1" applyFill="1" applyBorder="1" applyAlignment="1">
      <alignment horizontal="center" vertical="center" wrapText="1"/>
    </xf>
    <xf numFmtId="3" fontId="3" fillId="5" borderId="14" xfId="0" applyNumberFormat="1" applyFont="1" applyFill="1" applyBorder="1" applyAlignment="1">
      <alignment vertical="center"/>
    </xf>
    <xf numFmtId="188" fontId="3" fillId="5" borderId="14" xfId="0" applyNumberFormat="1" applyFont="1" applyFill="1" applyBorder="1" applyAlignment="1">
      <alignment horizontal="center" vertical="center"/>
    </xf>
    <xf numFmtId="0" fontId="3" fillId="5" borderId="14" xfId="0" applyFont="1" applyFill="1" applyBorder="1" applyAlignment="1">
      <alignment vertical="center"/>
    </xf>
    <xf numFmtId="3" fontId="13" fillId="5" borderId="14" xfId="0" applyNumberFormat="1" applyFont="1" applyFill="1" applyBorder="1" applyAlignment="1">
      <alignment vertical="center"/>
    </xf>
    <xf numFmtId="0" fontId="55" fillId="5" borderId="12" xfId="0" applyFont="1" applyFill="1" applyBorder="1" applyAlignment="1">
      <alignment horizontal="center" wrapText="1"/>
    </xf>
    <xf numFmtId="0" fontId="55" fillId="5" borderId="12" xfId="0" applyFont="1" applyFill="1" applyBorder="1" applyAlignment="1">
      <alignment wrapText="1"/>
    </xf>
    <xf numFmtId="0" fontId="54" fillId="5" borderId="12" xfId="0" applyFont="1" applyFill="1" applyBorder="1" applyAlignment="1">
      <alignment horizontal="center" wrapText="1"/>
    </xf>
    <xf numFmtId="0" fontId="54" fillId="5" borderId="12" xfId="0" applyFont="1" applyFill="1" applyBorder="1" applyAlignment="1">
      <alignment wrapText="1"/>
    </xf>
    <xf numFmtId="49" fontId="54" fillId="5" borderId="12" xfId="0" applyNumberFormat="1" applyFont="1" applyFill="1" applyBorder="1" applyAlignment="1">
      <alignment horizontal="center" wrapText="1"/>
    </xf>
    <xf numFmtId="0" fontId="67" fillId="5" borderId="0" xfId="0" applyFont="1" applyFill="1" applyAlignment="1">
      <alignment vertical="center" wrapText="1"/>
    </xf>
    <xf numFmtId="179" fontId="35" fillId="5" borderId="12" xfId="0" applyNumberFormat="1" applyFont="1" applyFill="1" applyBorder="1" applyAlignment="1">
      <alignment vertical="center" wrapText="1"/>
    </xf>
    <xf numFmtId="0" fontId="6" fillId="5" borderId="12" xfId="0" applyFont="1" applyFill="1" applyBorder="1" applyAlignment="1">
      <alignment horizontal="center" vertical="center" wrapText="1"/>
    </xf>
    <xf numFmtId="3" fontId="13" fillId="5" borderId="12" xfId="0" applyNumberFormat="1" applyFont="1" applyFill="1" applyBorder="1" applyAlignment="1">
      <alignment vertical="center" wrapText="1"/>
    </xf>
    <xf numFmtId="0" fontId="13" fillId="5" borderId="12" xfId="0" applyFont="1" applyFill="1" applyBorder="1" applyAlignment="1">
      <alignment vertical="center" wrapText="1"/>
    </xf>
    <xf numFmtId="0" fontId="67" fillId="5" borderId="12" xfId="0" applyFont="1" applyFill="1" applyBorder="1" applyAlignment="1">
      <alignment horizontal="center" vertical="center" wrapText="1"/>
    </xf>
    <xf numFmtId="4" fontId="20" fillId="5" borderId="12" xfId="0" applyNumberFormat="1" applyFont="1" applyFill="1" applyBorder="1" applyAlignment="1">
      <alignment vertical="center" wrapText="1"/>
    </xf>
    <xf numFmtId="0" fontId="31" fillId="5" borderId="10" xfId="0" applyFont="1" applyFill="1" applyBorder="1" applyAlignment="1">
      <alignment horizontal="center" vertical="center" wrapText="1"/>
    </xf>
    <xf numFmtId="3" fontId="32" fillId="5" borderId="6" xfId="0" applyNumberFormat="1" applyFont="1" applyFill="1" applyBorder="1" applyAlignment="1">
      <alignment horizontal="right" vertical="center" wrapText="1"/>
    </xf>
    <xf numFmtId="3" fontId="35" fillId="5" borderId="2" xfId="0" applyNumberFormat="1" applyFont="1" applyFill="1" applyBorder="1" applyAlignment="1">
      <alignment vertical="center"/>
    </xf>
    <xf numFmtId="3" fontId="63" fillId="5" borderId="0" xfId="0" applyNumberFormat="1" applyFont="1" applyFill="1" applyAlignment="1">
      <alignment vertical="center" wrapText="1"/>
    </xf>
    <xf numFmtId="0" fontId="72" fillId="5" borderId="0" xfId="0" applyFont="1" applyFill="1" applyAlignment="1">
      <alignment vertical="center" wrapText="1"/>
    </xf>
    <xf numFmtId="0" fontId="65" fillId="5" borderId="0" xfId="0" applyFont="1" applyFill="1"/>
    <xf numFmtId="0" fontId="36" fillId="5" borderId="0" xfId="0" applyFont="1" applyFill="1"/>
    <xf numFmtId="0" fontId="66" fillId="5" borderId="0" xfId="0" applyFont="1" applyFill="1"/>
    <xf numFmtId="0" fontId="37" fillId="5" borderId="0" xfId="0" applyFont="1" applyFill="1" applyAlignment="1">
      <alignment vertical="center" wrapText="1"/>
    </xf>
    <xf numFmtId="49" fontId="12" fillId="5" borderId="0" xfId="0" applyNumberFormat="1" applyFont="1" applyFill="1" applyAlignment="1">
      <alignment horizontal="center" vertical="center" wrapText="1"/>
    </xf>
    <xf numFmtId="49" fontId="20" fillId="5" borderId="0" xfId="0" applyNumberFormat="1" applyFont="1" applyFill="1" applyAlignment="1">
      <alignment horizontal="center" vertical="center"/>
    </xf>
    <xf numFmtId="188" fontId="12" fillId="5" borderId="0" xfId="0" applyNumberFormat="1" applyFont="1" applyFill="1" applyAlignment="1">
      <alignment horizontal="center" vertical="center"/>
    </xf>
    <xf numFmtId="49" fontId="3" fillId="5" borderId="0" xfId="0" applyNumberFormat="1" applyFont="1" applyFill="1" applyAlignment="1">
      <alignment vertical="center" wrapText="1"/>
    </xf>
    <xf numFmtId="4" fontId="32" fillId="5" borderId="12" xfId="0" applyNumberFormat="1" applyFont="1" applyFill="1" applyBorder="1" applyAlignment="1">
      <alignment horizontal="right" vertical="center" wrapText="1"/>
    </xf>
    <xf numFmtId="0" fontId="20" fillId="5" borderId="12" xfId="0" applyFont="1" applyFill="1" applyBorder="1" applyAlignment="1">
      <alignment horizontal="center" vertical="center" wrapText="1"/>
    </xf>
    <xf numFmtId="0" fontId="20" fillId="5" borderId="12" xfId="0" applyFont="1" applyFill="1" applyBorder="1" applyAlignment="1">
      <alignment horizontal="left" vertical="center" wrapText="1"/>
    </xf>
    <xf numFmtId="3" fontId="38" fillId="5" borderId="0" xfId="0" applyNumberFormat="1" applyFont="1" applyFill="1" applyAlignment="1">
      <alignment vertical="center" wrapText="1"/>
    </xf>
    <xf numFmtId="4" fontId="48" fillId="5" borderId="12" xfId="0" applyNumberFormat="1" applyFont="1" applyFill="1" applyBorder="1" applyAlignment="1">
      <alignment vertical="center" wrapText="1"/>
    </xf>
    <xf numFmtId="1" fontId="38" fillId="5" borderId="0" xfId="0" applyNumberFormat="1" applyFont="1" applyFill="1" applyAlignment="1">
      <alignment vertical="center" wrapText="1"/>
    </xf>
    <xf numFmtId="180" fontId="48" fillId="5" borderId="12" xfId="0" applyNumberFormat="1" applyFont="1" applyFill="1" applyBorder="1" applyAlignment="1">
      <alignment vertical="center" wrapText="1"/>
    </xf>
    <xf numFmtId="192" fontId="48" fillId="5" borderId="12" xfId="2" applyNumberFormat="1" applyFont="1" applyFill="1" applyBorder="1" applyAlignment="1">
      <alignment vertical="center" wrapText="1"/>
    </xf>
    <xf numFmtId="3" fontId="59" fillId="5" borderId="12" xfId="0" applyNumberFormat="1" applyFont="1" applyFill="1" applyBorder="1" applyAlignment="1">
      <alignment vertical="center" wrapText="1"/>
    </xf>
    <xf numFmtId="4" fontId="59" fillId="5" borderId="12" xfId="0" applyNumberFormat="1" applyFont="1" applyFill="1" applyBorder="1" applyAlignment="1">
      <alignment vertical="center" wrapText="1"/>
    </xf>
    <xf numFmtId="0" fontId="64" fillId="5" borderId="0" xfId="0" applyFont="1" applyFill="1" applyAlignment="1">
      <alignment horizontal="center" vertical="center" wrapText="1"/>
    </xf>
    <xf numFmtId="179" fontId="48" fillId="5" borderId="12" xfId="0" applyNumberFormat="1" applyFont="1" applyFill="1" applyBorder="1" applyAlignment="1">
      <alignment vertical="center" wrapText="1"/>
    </xf>
    <xf numFmtId="0" fontId="73" fillId="5" borderId="12" xfId="0" applyFont="1" applyFill="1" applyBorder="1" applyAlignment="1">
      <alignment horizontal="center" vertical="center" wrapText="1"/>
    </xf>
    <xf numFmtId="0" fontId="73" fillId="5" borderId="12" xfId="0" applyFont="1" applyFill="1" applyBorder="1" applyAlignment="1">
      <alignment vertical="center" wrapText="1"/>
    </xf>
    <xf numFmtId="49" fontId="73" fillId="5" borderId="12" xfId="0" applyNumberFormat="1" applyFont="1" applyFill="1" applyBorder="1" applyAlignment="1">
      <alignment horizontal="center" vertical="center" wrapText="1"/>
    </xf>
    <xf numFmtId="3" fontId="74" fillId="5" borderId="12" xfId="0" applyNumberFormat="1" applyFont="1" applyFill="1" applyBorder="1" applyAlignment="1">
      <alignment vertical="center" wrapText="1"/>
    </xf>
    <xf numFmtId="188" fontId="73" fillId="5" borderId="12" xfId="0" applyNumberFormat="1" applyFont="1" applyFill="1" applyBorder="1" applyAlignment="1">
      <alignment horizontal="center" vertical="center" wrapText="1"/>
    </xf>
    <xf numFmtId="4" fontId="74" fillId="5" borderId="12" xfId="0" applyNumberFormat="1" applyFont="1" applyFill="1" applyBorder="1" applyAlignment="1">
      <alignment vertical="center" wrapText="1"/>
    </xf>
    <xf numFmtId="4" fontId="75" fillId="5" borderId="12" xfId="0" applyNumberFormat="1" applyFont="1" applyFill="1" applyBorder="1" applyAlignment="1">
      <alignment vertical="center" wrapText="1"/>
    </xf>
    <xf numFmtId="3" fontId="75" fillId="5" borderId="12" xfId="0" applyNumberFormat="1" applyFont="1" applyFill="1" applyBorder="1" applyAlignment="1">
      <alignment vertical="center" wrapText="1"/>
    </xf>
    <xf numFmtId="1" fontId="76" fillId="5" borderId="0" xfId="0" applyNumberFormat="1" applyFont="1" applyFill="1" applyAlignment="1">
      <alignment vertical="center" wrapText="1"/>
    </xf>
    <xf numFmtId="49" fontId="21" fillId="5" borderId="0" xfId="0" applyNumberFormat="1" applyFont="1" applyFill="1" applyBorder="1" applyAlignment="1">
      <alignment vertical="center" wrapText="1"/>
    </xf>
    <xf numFmtId="1" fontId="32" fillId="5" borderId="0" xfId="0" applyNumberFormat="1" applyFont="1" applyFill="1"/>
    <xf numFmtId="4" fontId="32" fillId="5" borderId="12" xfId="0" applyNumberFormat="1" applyFont="1" applyFill="1" applyBorder="1" applyAlignment="1">
      <alignment horizontal="center" vertical="center" wrapText="1"/>
    </xf>
    <xf numFmtId="0" fontId="32" fillId="5" borderId="0" xfId="0" applyFont="1" applyFill="1"/>
    <xf numFmtId="0" fontId="48" fillId="5" borderId="12" xfId="0" applyFont="1" applyFill="1" applyBorder="1" applyAlignment="1">
      <alignment horizontal="center" vertical="center" wrapText="1"/>
    </xf>
    <xf numFmtId="3" fontId="37" fillId="5" borderId="12" xfId="0" applyNumberFormat="1" applyFont="1" applyFill="1" applyBorder="1" applyAlignment="1">
      <alignment vertical="center" wrapText="1"/>
    </xf>
    <xf numFmtId="0" fontId="38" fillId="5" borderId="0" xfId="0" applyFont="1" applyFill="1"/>
    <xf numFmtId="4" fontId="38" fillId="5" borderId="12" xfId="0" applyNumberFormat="1" applyFont="1" applyFill="1" applyBorder="1" applyAlignment="1">
      <alignment vertical="center"/>
    </xf>
    <xf numFmtId="188" fontId="37" fillId="5" borderId="12" xfId="0" applyNumberFormat="1" applyFont="1" applyFill="1" applyBorder="1" applyAlignment="1">
      <alignment vertical="center" wrapText="1"/>
    </xf>
    <xf numFmtId="188" fontId="20" fillId="5" borderId="12" xfId="0" applyNumberFormat="1" applyFont="1" applyFill="1" applyBorder="1" applyAlignment="1">
      <alignment vertical="center" wrapText="1"/>
    </xf>
    <xf numFmtId="4" fontId="13" fillId="5" borderId="12" xfId="0" applyNumberFormat="1" applyFont="1" applyFill="1" applyBorder="1" applyAlignment="1">
      <alignment vertical="center" wrapText="1"/>
    </xf>
    <xf numFmtId="188" fontId="20" fillId="5" borderId="12" xfId="0" applyNumberFormat="1" applyFont="1" applyFill="1" applyBorder="1" applyAlignment="1">
      <alignment vertical="center"/>
    </xf>
    <xf numFmtId="188" fontId="13" fillId="5" borderId="12" xfId="0" applyNumberFormat="1" applyFont="1" applyFill="1" applyBorder="1" applyAlignment="1">
      <alignment vertical="center" wrapText="1"/>
    </xf>
    <xf numFmtId="3" fontId="36" fillId="5" borderId="12" xfId="0" applyNumberFormat="1" applyFont="1" applyFill="1" applyBorder="1" applyAlignment="1">
      <alignment horizontal="right" vertical="center" wrapText="1"/>
    </xf>
    <xf numFmtId="3" fontId="37" fillId="5" borderId="12" xfId="0" applyNumberFormat="1" applyFont="1" applyFill="1" applyBorder="1" applyAlignment="1">
      <alignment horizontal="right" vertical="center" wrapText="1"/>
    </xf>
    <xf numFmtId="180" fontId="38" fillId="5" borderId="12" xfId="0" applyNumberFormat="1" applyFont="1" applyFill="1" applyBorder="1" applyAlignment="1">
      <alignment vertical="center"/>
    </xf>
    <xf numFmtId="0" fontId="57" fillId="5" borderId="0" xfId="0" applyFont="1" applyFill="1" applyBorder="1" applyAlignment="1">
      <alignment wrapText="1"/>
    </xf>
    <xf numFmtId="16" fontId="57" fillId="5" borderId="0" xfId="0" applyNumberFormat="1" applyFont="1" applyFill="1" applyBorder="1" applyAlignment="1">
      <alignment horizontal="center" wrapText="1"/>
    </xf>
    <xf numFmtId="49" fontId="36" fillId="5" borderId="12" xfId="0" applyNumberFormat="1" applyFont="1" applyFill="1" applyBorder="1" applyAlignment="1">
      <alignment horizontal="justify" vertical="center" wrapText="1"/>
    </xf>
    <xf numFmtId="49" fontId="54" fillId="5" borderId="12" xfId="7" applyNumberFormat="1" applyFont="1" applyFill="1" applyBorder="1" applyAlignment="1">
      <alignment horizontal="center" vertical="center" wrapText="1"/>
    </xf>
    <xf numFmtId="181" fontId="36" fillId="5" borderId="12" xfId="0" applyNumberFormat="1" applyFont="1" applyFill="1" applyBorder="1" applyAlignment="1">
      <alignment vertical="center"/>
    </xf>
    <xf numFmtId="0" fontId="54" fillId="5" borderId="12" xfId="7" applyFont="1" applyFill="1" applyBorder="1" applyAlignment="1">
      <alignment horizontal="center" vertical="center" wrapText="1"/>
    </xf>
    <xf numFmtId="179" fontId="36" fillId="5" borderId="12" xfId="0" applyNumberFormat="1" applyFont="1" applyFill="1" applyBorder="1" applyAlignment="1">
      <alignment vertical="center"/>
    </xf>
    <xf numFmtId="4" fontId="36" fillId="5" borderId="12" xfId="0" applyNumberFormat="1" applyFont="1" applyFill="1" applyBorder="1" applyAlignment="1">
      <alignment vertical="center"/>
    </xf>
    <xf numFmtId="0" fontId="55" fillId="5" borderId="11" xfId="0" applyFont="1" applyFill="1" applyBorder="1" applyAlignment="1">
      <alignment horizontal="center" vertical="center" wrapText="1"/>
    </xf>
    <xf numFmtId="0" fontId="55" fillId="5" borderId="11" xfId="0" applyFont="1" applyFill="1" applyBorder="1" applyAlignment="1">
      <alignment vertical="center" wrapText="1"/>
    </xf>
    <xf numFmtId="0" fontId="54" fillId="5" borderId="11" xfId="0" applyFont="1" applyFill="1" applyBorder="1" applyAlignment="1">
      <alignment horizontal="center" vertical="center" wrapText="1"/>
    </xf>
    <xf numFmtId="3" fontId="36" fillId="5" borderId="11" xfId="0" applyNumberFormat="1" applyFont="1" applyFill="1" applyBorder="1" applyAlignment="1">
      <alignment horizontal="center" vertical="center" wrapText="1"/>
    </xf>
    <xf numFmtId="3" fontId="36" fillId="5" borderId="11" xfId="0" applyNumberFormat="1" applyFont="1" applyFill="1" applyBorder="1" applyAlignment="1">
      <alignment vertical="center" wrapText="1"/>
    </xf>
    <xf numFmtId="183" fontId="36" fillId="5" borderId="11" xfId="0" applyNumberFormat="1" applyFont="1" applyFill="1" applyBorder="1" applyAlignment="1">
      <alignment vertical="center"/>
    </xf>
    <xf numFmtId="3" fontId="48" fillId="5" borderId="12" xfId="0" applyNumberFormat="1" applyFont="1" applyFill="1" applyBorder="1" applyAlignment="1">
      <alignment horizontal="center" vertical="center" wrapText="1"/>
    </xf>
    <xf numFmtId="183" fontId="36" fillId="5" borderId="12" xfId="0" applyNumberFormat="1" applyFont="1" applyFill="1" applyBorder="1" applyAlignment="1">
      <alignment vertical="center"/>
    </xf>
    <xf numFmtId="49" fontId="55" fillId="5" borderId="12" xfId="7" applyNumberFormat="1" applyFont="1" applyFill="1" applyBorder="1" applyAlignment="1">
      <alignment horizontal="center" vertical="center" wrapText="1"/>
    </xf>
    <xf numFmtId="180" fontId="36" fillId="5" borderId="12" xfId="0" applyNumberFormat="1" applyFont="1" applyFill="1" applyBorder="1" applyAlignment="1">
      <alignment vertical="center"/>
    </xf>
    <xf numFmtId="3" fontId="36" fillId="5" borderId="12" xfId="0" applyNumberFormat="1" applyFont="1" applyFill="1" applyBorder="1" applyAlignment="1">
      <alignment horizontal="center" vertical="center" wrapText="1"/>
    </xf>
    <xf numFmtId="3" fontId="35" fillId="5" borderId="0" xfId="0" applyNumberFormat="1" applyFont="1" applyFill="1"/>
    <xf numFmtId="179" fontId="36" fillId="5" borderId="11" xfId="0" applyNumberFormat="1" applyFont="1" applyFill="1" applyBorder="1" applyAlignment="1">
      <alignment vertical="center"/>
    </xf>
    <xf numFmtId="180" fontId="13" fillId="5" borderId="5" xfId="0" applyNumberFormat="1" applyFont="1" applyFill="1" applyBorder="1" applyAlignment="1">
      <alignment vertical="center"/>
    </xf>
    <xf numFmtId="3" fontId="64" fillId="5" borderId="0" xfId="0" applyNumberFormat="1" applyFont="1" applyFill="1" applyAlignment="1">
      <alignment vertical="center" wrapText="1"/>
    </xf>
    <xf numFmtId="4" fontId="14" fillId="5" borderId="0" xfId="0" applyNumberFormat="1" applyFont="1" applyFill="1"/>
    <xf numFmtId="4" fontId="3" fillId="5" borderId="0" xfId="0" applyNumberFormat="1" applyFont="1" applyFill="1"/>
    <xf numFmtId="3" fontId="13" fillId="5" borderId="0" xfId="0" applyNumberFormat="1" applyFont="1" applyFill="1" applyAlignment="1">
      <alignment vertical="center" wrapText="1"/>
    </xf>
    <xf numFmtId="188" fontId="36" fillId="5" borderId="12" xfId="0" applyNumberFormat="1" applyFont="1" applyFill="1" applyBorder="1" applyAlignment="1">
      <alignment horizontal="center" vertical="center" wrapText="1"/>
    </xf>
    <xf numFmtId="2" fontId="36" fillId="5" borderId="0" xfId="0" applyNumberFormat="1" applyFont="1" applyFill="1" applyAlignment="1">
      <alignment vertical="center" wrapText="1"/>
    </xf>
    <xf numFmtId="188" fontId="48" fillId="5" borderId="12" xfId="0" applyNumberFormat="1" applyFont="1" applyFill="1" applyBorder="1" applyAlignment="1">
      <alignment horizontal="center" vertical="center" wrapText="1"/>
    </xf>
    <xf numFmtId="171" fontId="38" fillId="5" borderId="0" xfId="0" applyNumberFormat="1" applyFont="1" applyFill="1" applyAlignment="1">
      <alignment vertical="center" wrapText="1"/>
    </xf>
    <xf numFmtId="187" fontId="36" fillId="5" borderId="12" xfId="0" applyNumberFormat="1" applyFont="1" applyFill="1" applyBorder="1" applyAlignment="1">
      <alignment horizontal="center" vertical="center" wrapText="1"/>
    </xf>
    <xf numFmtId="199" fontId="36" fillId="5" borderId="12" xfId="0" applyNumberFormat="1" applyFont="1" applyFill="1" applyBorder="1" applyAlignment="1">
      <alignment horizontal="center" vertical="center" wrapText="1"/>
    </xf>
    <xf numFmtId="3" fontId="13" fillId="5" borderId="0" xfId="0" applyNumberFormat="1" applyFont="1" applyFill="1" applyBorder="1" applyAlignment="1">
      <alignment vertical="center" wrapText="1"/>
    </xf>
    <xf numFmtId="188" fontId="13" fillId="5" borderId="0" xfId="0" applyNumberFormat="1" applyFont="1" applyFill="1" applyBorder="1" applyAlignment="1">
      <alignment horizontal="center" vertical="center" wrapText="1"/>
    </xf>
    <xf numFmtId="0" fontId="13" fillId="5" borderId="0" xfId="0" applyFont="1" applyFill="1" applyBorder="1" applyAlignment="1">
      <alignment vertical="center" wrapText="1"/>
    </xf>
    <xf numFmtId="0" fontId="13" fillId="5" borderId="0" xfId="0" applyNumberFormat="1" applyFont="1" applyFill="1" applyBorder="1" applyAlignment="1">
      <alignment horizontal="center" vertical="center" wrapText="1"/>
    </xf>
    <xf numFmtId="0" fontId="32" fillId="5" borderId="9" xfId="0" applyNumberFormat="1" applyFont="1" applyFill="1" applyBorder="1" applyAlignment="1">
      <alignment horizontal="justify" vertical="center" wrapText="1"/>
    </xf>
    <xf numFmtId="0" fontId="32" fillId="5" borderId="9" xfId="0" applyFont="1" applyFill="1" applyBorder="1" applyAlignment="1">
      <alignment horizontal="center" vertical="center" wrapText="1"/>
    </xf>
    <xf numFmtId="203" fontId="38" fillId="5" borderId="0" xfId="0" applyNumberFormat="1" applyFont="1" applyFill="1" applyAlignment="1">
      <alignment vertical="center" wrapText="1"/>
    </xf>
    <xf numFmtId="202" fontId="38" fillId="5" borderId="0" xfId="0" applyNumberFormat="1" applyFont="1" applyFill="1" applyAlignment="1">
      <alignment vertical="center" wrapText="1"/>
    </xf>
    <xf numFmtId="186" fontId="36" fillId="5" borderId="12" xfId="0" applyNumberFormat="1" applyFont="1" applyFill="1" applyBorder="1" applyAlignment="1">
      <alignment horizontal="center" vertical="center" wrapText="1"/>
    </xf>
    <xf numFmtId="0" fontId="55" fillId="5" borderId="10" xfId="0" applyFont="1" applyFill="1" applyBorder="1" applyAlignment="1">
      <alignment horizontal="center" vertical="center" wrapText="1"/>
    </xf>
    <xf numFmtId="49" fontId="61" fillId="5" borderId="9" xfId="0" applyNumberFormat="1" applyFont="1" applyFill="1" applyBorder="1" applyAlignment="1">
      <alignment horizontal="center" vertical="center" wrapText="1"/>
    </xf>
    <xf numFmtId="49" fontId="0" fillId="5" borderId="0" xfId="0" applyNumberFormat="1" applyFill="1" applyAlignment="1">
      <alignment vertical="center" wrapText="1"/>
    </xf>
    <xf numFmtId="0" fontId="13" fillId="0" borderId="42" xfId="0" applyFont="1" applyBorder="1"/>
    <xf numFmtId="181" fontId="13" fillId="0" borderId="1" xfId="0" applyNumberFormat="1" applyFont="1" applyBorder="1" applyAlignment="1">
      <alignment horizontal="center"/>
    </xf>
    <xf numFmtId="0" fontId="8" fillId="0" borderId="19" xfId="0" applyFont="1" applyFill="1" applyBorder="1" applyAlignment="1">
      <alignment horizontal="center" vertical="center" wrapText="1"/>
    </xf>
    <xf numFmtId="0" fontId="11" fillId="0" borderId="0" xfId="6" applyFill="1"/>
    <xf numFmtId="0" fontId="3" fillId="0" borderId="0" xfId="6" applyFont="1" applyFill="1"/>
    <xf numFmtId="176" fontId="19" fillId="0" borderId="0" xfId="3" applyNumberFormat="1" applyFont="1" applyFill="1" applyAlignment="1">
      <alignment horizontal="right"/>
    </xf>
    <xf numFmtId="176" fontId="19" fillId="0" borderId="0" xfId="3" applyNumberFormat="1" applyFont="1" applyFill="1" applyAlignment="1">
      <alignment horizontal="center"/>
    </xf>
    <xf numFmtId="176" fontId="19" fillId="0" borderId="0" xfId="3" applyNumberFormat="1" applyFont="1" applyFill="1" applyAlignment="1">
      <alignment horizontal="left"/>
    </xf>
    <xf numFmtId="176" fontId="7" fillId="0" borderId="0" xfId="3" applyNumberFormat="1" applyFont="1" applyFill="1"/>
    <xf numFmtId="0" fontId="8" fillId="0" borderId="9" xfId="6" applyFont="1" applyFill="1" applyBorder="1" applyAlignment="1">
      <alignment horizontal="center" vertical="center" wrapText="1"/>
    </xf>
    <xf numFmtId="0" fontId="8" fillId="0" borderId="6" xfId="6" applyFont="1" applyFill="1" applyBorder="1" applyAlignment="1">
      <alignment horizontal="center"/>
    </xf>
    <xf numFmtId="0" fontId="8" fillId="0" borderId="27" xfId="6" applyFont="1" applyFill="1" applyBorder="1"/>
    <xf numFmtId="0" fontId="8" fillId="0" borderId="3" xfId="6" applyFont="1" applyFill="1" applyBorder="1" applyAlignment="1">
      <alignment horizontal="center"/>
    </xf>
    <xf numFmtId="176" fontId="8" fillId="0" borderId="3" xfId="3" applyNumberFormat="1" applyFont="1" applyFill="1" applyBorder="1" applyAlignment="1">
      <alignment horizontal="center"/>
    </xf>
    <xf numFmtId="176" fontId="3" fillId="0" borderId="3" xfId="3" applyNumberFormat="1" applyFont="1" applyFill="1" applyBorder="1" applyAlignment="1"/>
    <xf numFmtId="176" fontId="3" fillId="0" borderId="3" xfId="3" applyNumberFormat="1" applyFont="1" applyFill="1" applyBorder="1" applyAlignment="1">
      <alignment horizontal="center"/>
    </xf>
    <xf numFmtId="0" fontId="3" fillId="0" borderId="1" xfId="6" applyFont="1" applyFill="1" applyBorder="1" applyAlignment="1">
      <alignment horizontal="center"/>
    </xf>
    <xf numFmtId="49" fontId="3" fillId="0" borderId="1" xfId="3" applyNumberFormat="1" applyFont="1" applyFill="1" applyBorder="1" applyAlignment="1">
      <alignment horizontal="center"/>
    </xf>
    <xf numFmtId="176" fontId="8" fillId="0" borderId="1" xfId="3" applyNumberFormat="1" applyFont="1" applyFill="1" applyBorder="1" applyAlignment="1">
      <alignment horizontal="center"/>
    </xf>
    <xf numFmtId="0" fontId="8" fillId="0" borderId="1" xfId="6" applyFont="1" applyFill="1" applyBorder="1" applyAlignment="1">
      <alignment horizontal="center"/>
    </xf>
    <xf numFmtId="49" fontId="8" fillId="0" borderId="1" xfId="3" applyNumberFormat="1" applyFont="1" applyFill="1" applyBorder="1" applyAlignment="1">
      <alignment horizontal="center"/>
    </xf>
    <xf numFmtId="0" fontId="3" fillId="0" borderId="5" xfId="6" applyFont="1" applyFill="1" applyBorder="1" applyAlignment="1">
      <alignment horizontal="center"/>
    </xf>
    <xf numFmtId="49" fontId="3" fillId="0" borderId="5" xfId="3" applyNumberFormat="1" applyFont="1" applyFill="1" applyBorder="1" applyAlignment="1">
      <alignment horizontal="center"/>
    </xf>
    <xf numFmtId="176" fontId="3" fillId="0" borderId="5" xfId="3" applyNumberFormat="1" applyFont="1" applyFill="1" applyBorder="1" applyAlignment="1">
      <alignment horizontal="center"/>
    </xf>
    <xf numFmtId="176" fontId="8" fillId="0" borderId="5" xfId="3" applyNumberFormat="1" applyFont="1" applyFill="1" applyBorder="1" applyAlignment="1">
      <alignment horizontal="center"/>
    </xf>
    <xf numFmtId="0" fontId="3" fillId="0" borderId="0" xfId="6" applyFont="1" applyFill="1" applyBorder="1"/>
    <xf numFmtId="176" fontId="2" fillId="0" borderId="0" xfId="3" applyNumberFormat="1" applyFont="1" applyFill="1" applyBorder="1" applyAlignment="1">
      <alignment horizontal="center"/>
    </xf>
    <xf numFmtId="0" fontId="3" fillId="0" borderId="13" xfId="6" applyFont="1" applyFill="1" applyBorder="1"/>
    <xf numFmtId="176" fontId="2" fillId="0" borderId="13" xfId="3" applyNumberFormat="1" applyFont="1" applyFill="1" applyBorder="1" applyAlignment="1">
      <alignment horizontal="center"/>
    </xf>
    <xf numFmtId="0" fontId="8" fillId="0" borderId="26" xfId="6" applyFont="1" applyFill="1" applyBorder="1" applyAlignment="1">
      <alignment horizontal="center"/>
    </xf>
    <xf numFmtId="0" fontId="8" fillId="0" borderId="6" xfId="6" applyFont="1" applyFill="1" applyBorder="1"/>
    <xf numFmtId="176" fontId="3" fillId="0" borderId="6" xfId="3" applyNumberFormat="1" applyFont="1" applyFill="1" applyBorder="1" applyAlignment="1"/>
    <xf numFmtId="176" fontId="3" fillId="0" borderId="6" xfId="3" applyNumberFormat="1" applyFont="1" applyFill="1" applyBorder="1" applyAlignment="1">
      <alignment horizontal="center"/>
    </xf>
    <xf numFmtId="0" fontId="8" fillId="0" borderId="34" xfId="6" applyFont="1" applyFill="1" applyBorder="1" applyAlignment="1">
      <alignment horizontal="center"/>
    </xf>
    <xf numFmtId="176" fontId="3" fillId="0" borderId="1" xfId="3" applyNumberFormat="1" applyFont="1" applyFill="1" applyBorder="1" applyAlignment="1"/>
    <xf numFmtId="0" fontId="3" fillId="0" borderId="4" xfId="6" applyFont="1" applyFill="1" applyBorder="1" applyAlignment="1">
      <alignment horizontal="center"/>
    </xf>
    <xf numFmtId="176" fontId="0" fillId="0" borderId="0" xfId="0" applyNumberFormat="1" applyFill="1"/>
    <xf numFmtId="0" fontId="13" fillId="0" borderId="1" xfId="6" applyFont="1" applyBorder="1" applyAlignment="1">
      <alignment horizontal="left" vertical="center" wrapText="1"/>
    </xf>
    <xf numFmtId="0" fontId="16" fillId="0" borderId="0" xfId="0" applyFont="1" applyAlignment="1">
      <alignment horizontal="center"/>
    </xf>
    <xf numFmtId="0" fontId="43" fillId="0" borderId="0" xfId="0" applyFont="1" applyFill="1" applyAlignment="1">
      <alignment horizontal="center"/>
    </xf>
    <xf numFmtId="0" fontId="42" fillId="0" borderId="0" xfId="0" applyFont="1" applyFill="1" applyAlignment="1">
      <alignment horizontal="center"/>
    </xf>
    <xf numFmtId="0" fontId="27" fillId="0" borderId="13" xfId="0" applyNumberFormat="1" applyFont="1" applyBorder="1" applyAlignment="1">
      <alignment horizontal="center" vertical="center"/>
    </xf>
    <xf numFmtId="0" fontId="27" fillId="0" borderId="0" xfId="0" applyNumberFormat="1" applyFont="1" applyAlignment="1">
      <alignment horizontal="center"/>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11" fontId="13" fillId="0" borderId="13" xfId="0" applyNumberFormat="1"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46" xfId="0" applyFont="1" applyBorder="1" applyAlignment="1">
      <alignment horizontal="center" vertical="center" wrapText="1"/>
    </xf>
    <xf numFmtId="11" fontId="16" fillId="0" borderId="0" xfId="0" applyNumberFormat="1" applyFont="1" applyAlignment="1">
      <alignment horizontal="center"/>
    </xf>
    <xf numFmtId="0" fontId="16" fillId="4" borderId="0" xfId="0" applyFont="1" applyFill="1" applyAlignment="1">
      <alignment horizontal="center"/>
    </xf>
    <xf numFmtId="0" fontId="16" fillId="2" borderId="0" xfId="0" applyFont="1" applyFill="1" applyAlignment="1">
      <alignment horizontal="center"/>
    </xf>
    <xf numFmtId="0" fontId="16" fillId="3" borderId="0" xfId="0" applyFont="1" applyFill="1" applyAlignment="1">
      <alignment horizontal="center"/>
    </xf>
    <xf numFmtId="49" fontId="32" fillId="5" borderId="12" xfId="0" applyNumberFormat="1" applyFont="1" applyFill="1" applyBorder="1" applyAlignment="1">
      <alignment horizontal="center" vertical="center" wrapText="1"/>
    </xf>
    <xf numFmtId="0" fontId="3" fillId="5" borderId="0" xfId="0" applyNumberFormat="1" applyFont="1" applyFill="1" applyBorder="1" applyAlignment="1">
      <alignment horizontal="justify" vertical="center" wrapText="1"/>
    </xf>
    <xf numFmtId="0" fontId="20" fillId="5" borderId="0" xfId="0" applyNumberFormat="1" applyFont="1" applyFill="1" applyBorder="1" applyAlignment="1">
      <alignment horizontal="left" vertical="center" wrapText="1"/>
    </xf>
    <xf numFmtId="0" fontId="32" fillId="5" borderId="12" xfId="0" applyFont="1" applyFill="1" applyBorder="1" applyAlignment="1">
      <alignment horizontal="center" vertical="center" wrapText="1"/>
    </xf>
    <xf numFmtId="0" fontId="13" fillId="5" borderId="0" xfId="0" applyNumberFormat="1" applyFont="1" applyFill="1" applyBorder="1" applyAlignment="1">
      <alignment horizontal="justify" vertical="center" wrapText="1"/>
    </xf>
    <xf numFmtId="49" fontId="13" fillId="5" borderId="0" xfId="0" applyNumberFormat="1" applyFont="1" applyFill="1" applyBorder="1" applyAlignment="1">
      <alignment horizontal="justify" vertical="center" wrapText="1"/>
    </xf>
    <xf numFmtId="0" fontId="32" fillId="5" borderId="12" xfId="0" applyNumberFormat="1" applyFont="1" applyFill="1" applyBorder="1" applyAlignment="1">
      <alignment horizontal="justify" vertical="center" wrapText="1"/>
    </xf>
    <xf numFmtId="0" fontId="55" fillId="5" borderId="9"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5" fillId="5" borderId="11" xfId="0" applyFont="1" applyFill="1" applyBorder="1" applyAlignment="1">
      <alignment horizontal="center" vertical="center" wrapText="1"/>
    </xf>
    <xf numFmtId="0" fontId="54" fillId="5" borderId="9" xfId="0" applyFont="1" applyFill="1" applyBorder="1" applyAlignment="1">
      <alignment horizontal="left" vertical="center" wrapText="1"/>
    </xf>
    <xf numFmtId="0" fontId="54" fillId="5" borderId="10" xfId="0" applyFont="1" applyFill="1" applyBorder="1" applyAlignment="1">
      <alignment horizontal="left" vertical="center" wrapText="1"/>
    </xf>
    <xf numFmtId="0" fontId="54" fillId="5" borderId="11" xfId="0" applyFont="1" applyFill="1" applyBorder="1" applyAlignment="1">
      <alignment horizontal="left" vertical="center" wrapText="1"/>
    </xf>
    <xf numFmtId="0" fontId="54" fillId="5" borderId="9" xfId="0" applyFont="1" applyFill="1" applyBorder="1" applyAlignment="1">
      <alignment horizontal="center" vertical="center" wrapText="1"/>
    </xf>
    <xf numFmtId="0" fontId="54" fillId="5" borderId="10" xfId="0" applyFont="1" applyFill="1" applyBorder="1" applyAlignment="1">
      <alignment horizontal="center" vertical="center" wrapText="1"/>
    </xf>
    <xf numFmtId="0" fontId="54" fillId="5" borderId="11" xfId="0" applyFont="1" applyFill="1" applyBorder="1" applyAlignment="1">
      <alignment horizontal="center" vertical="center" wrapText="1"/>
    </xf>
    <xf numFmtId="0" fontId="54" fillId="5" borderId="12" xfId="0" applyFont="1" applyFill="1" applyBorder="1" applyAlignment="1">
      <alignment horizontal="center" vertical="center" wrapText="1"/>
    </xf>
    <xf numFmtId="49" fontId="17" fillId="5" borderId="0" xfId="0" applyNumberFormat="1" applyFont="1" applyFill="1" applyAlignment="1">
      <alignment horizontal="center" wrapText="1"/>
    </xf>
    <xf numFmtId="49" fontId="32" fillId="5" borderId="9" xfId="0" applyNumberFormat="1" applyFont="1" applyFill="1" applyBorder="1" applyAlignment="1">
      <alignment horizontal="left" vertical="center" wrapText="1"/>
    </xf>
    <xf numFmtId="49" fontId="32" fillId="5" borderId="10" xfId="0" applyNumberFormat="1" applyFont="1" applyFill="1" applyBorder="1" applyAlignment="1">
      <alignment horizontal="left" vertical="center" wrapText="1"/>
    </xf>
    <xf numFmtId="49" fontId="32" fillId="5" borderId="11" xfId="0" applyNumberFormat="1" applyFont="1" applyFill="1" applyBorder="1" applyAlignment="1">
      <alignment horizontal="left" vertical="center" wrapText="1"/>
    </xf>
    <xf numFmtId="49" fontId="36" fillId="5" borderId="12" xfId="0" applyNumberFormat="1" applyFont="1" applyFill="1" applyBorder="1" applyAlignment="1">
      <alignment horizontal="center" vertical="center" wrapText="1"/>
    </xf>
    <xf numFmtId="49" fontId="36" fillId="5" borderId="9" xfId="0" applyNumberFormat="1" applyFont="1" applyFill="1" applyBorder="1" applyAlignment="1">
      <alignment horizontal="center" vertical="center" wrapText="1"/>
    </xf>
    <xf numFmtId="49" fontId="36" fillId="5" borderId="10" xfId="0" applyNumberFormat="1" applyFont="1" applyFill="1" applyBorder="1" applyAlignment="1">
      <alignment horizontal="center" vertical="center" wrapText="1"/>
    </xf>
    <xf numFmtId="49" fontId="36" fillId="5" borderId="11" xfId="0" applyNumberFormat="1" applyFont="1" applyFill="1" applyBorder="1" applyAlignment="1">
      <alignment horizontal="center" vertical="center" wrapText="1"/>
    </xf>
    <xf numFmtId="49" fontId="32" fillId="5" borderId="9" xfId="0" applyNumberFormat="1" applyFont="1" applyFill="1" applyBorder="1" applyAlignment="1">
      <alignment horizontal="center" vertical="center" wrapText="1"/>
    </xf>
    <xf numFmtId="49" fontId="32" fillId="5" borderId="10" xfId="0" applyNumberFormat="1" applyFont="1" applyFill="1" applyBorder="1" applyAlignment="1">
      <alignment horizontal="center" vertical="center" wrapText="1"/>
    </xf>
    <xf numFmtId="49" fontId="32" fillId="5" borderId="11" xfId="0" applyNumberFormat="1" applyFont="1" applyFill="1" applyBorder="1" applyAlignment="1">
      <alignment horizontal="center" vertical="center" wrapText="1"/>
    </xf>
    <xf numFmtId="0" fontId="54" fillId="5" borderId="12" xfId="0" applyFont="1" applyFill="1" applyBorder="1" applyAlignment="1">
      <alignment vertical="center" wrapText="1"/>
    </xf>
    <xf numFmtId="49" fontId="3" fillId="5" borderId="0" xfId="0" applyNumberFormat="1" applyFont="1" applyFill="1" applyBorder="1" applyAlignment="1">
      <alignment horizontal="justify" vertical="center" wrapText="1"/>
    </xf>
    <xf numFmtId="0" fontId="3" fillId="5" borderId="0" xfId="0" applyNumberFormat="1" applyFont="1" applyFill="1" applyBorder="1" applyAlignment="1">
      <alignment horizontal="left" vertical="center" wrapText="1"/>
    </xf>
    <xf numFmtId="0" fontId="54" fillId="5" borderId="9" xfId="0" applyFont="1" applyFill="1" applyBorder="1" applyAlignment="1">
      <alignment vertical="center" wrapText="1"/>
    </xf>
    <xf numFmtId="0" fontId="54" fillId="5" borderId="10" xfId="0" applyFont="1" applyFill="1" applyBorder="1" applyAlignment="1">
      <alignment vertical="center" wrapText="1"/>
    </xf>
    <xf numFmtId="0" fontId="54" fillId="5" borderId="11" xfId="0" applyFont="1" applyFill="1" applyBorder="1" applyAlignment="1">
      <alignment vertical="center" wrapText="1"/>
    </xf>
    <xf numFmtId="49" fontId="31" fillId="0" borderId="12" xfId="0" applyNumberFormat="1" applyFont="1" applyFill="1" applyBorder="1" applyAlignment="1">
      <alignment horizontal="center" vertical="center" wrapText="1"/>
    </xf>
    <xf numFmtId="49" fontId="31" fillId="0" borderId="9" xfId="0" applyNumberFormat="1" applyFont="1" applyFill="1" applyBorder="1" applyAlignment="1">
      <alignment horizontal="left" vertical="center" wrapText="1"/>
    </xf>
    <xf numFmtId="49" fontId="31" fillId="0" borderId="10" xfId="0" applyNumberFormat="1" applyFont="1" applyFill="1" applyBorder="1" applyAlignment="1">
      <alignment horizontal="left" vertical="center" wrapText="1"/>
    </xf>
    <xf numFmtId="49" fontId="31" fillId="0" borderId="11" xfId="0" applyNumberFormat="1" applyFont="1" applyFill="1" applyBorder="1" applyAlignment="1">
      <alignment horizontal="left" vertical="center" wrapText="1"/>
    </xf>
    <xf numFmtId="0" fontId="32" fillId="0" borderId="12"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1" xfId="0"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49" fontId="36" fillId="0" borderId="9" xfId="0" applyNumberFormat="1"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0" fontId="57" fillId="0" borderId="12" xfId="0" applyFont="1" applyFill="1" applyBorder="1" applyAlignment="1">
      <alignment horizontal="center" wrapText="1"/>
    </xf>
    <xf numFmtId="0" fontId="57" fillId="0" borderId="12" xfId="0" applyFont="1" applyFill="1" applyBorder="1" applyAlignment="1">
      <alignment wrapText="1"/>
    </xf>
    <xf numFmtId="49" fontId="39" fillId="0" borderId="12" xfId="0" applyNumberFormat="1" applyFont="1" applyFill="1" applyBorder="1" applyAlignment="1">
      <alignment horizontal="justify" vertical="center" wrapText="1"/>
    </xf>
    <xf numFmtId="0" fontId="13" fillId="0" borderId="0" xfId="0" applyNumberFormat="1" applyFont="1" applyFill="1" applyBorder="1" applyAlignment="1">
      <alignment horizontal="justify" vertical="center" wrapText="1"/>
    </xf>
    <xf numFmtId="49" fontId="36" fillId="0" borderId="12" xfId="0" applyNumberFormat="1" applyFont="1" applyFill="1" applyBorder="1" applyAlignment="1">
      <alignment horizontal="justify" vertical="center" wrapText="1"/>
    </xf>
    <xf numFmtId="0" fontId="32" fillId="0" borderId="9"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49" fontId="17" fillId="0" borderId="0" xfId="0" applyNumberFormat="1" applyFont="1" applyFill="1" applyAlignment="1">
      <alignment horizontal="center" wrapText="1"/>
    </xf>
    <xf numFmtId="49" fontId="17" fillId="0" borderId="0" xfId="0" applyNumberFormat="1" applyFont="1" applyFill="1" applyAlignment="1">
      <alignment horizontal="center"/>
    </xf>
    <xf numFmtId="0" fontId="31" fillId="0" borderId="10"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25" xfId="0" applyFont="1" applyFill="1" applyBorder="1" applyAlignment="1">
      <alignment horizontal="center" vertical="center" wrapText="1"/>
    </xf>
    <xf numFmtId="49" fontId="13" fillId="0" borderId="0" xfId="0" applyNumberFormat="1" applyFont="1" applyFill="1" applyBorder="1" applyAlignment="1">
      <alignment horizontal="justify" vertical="center" wrapText="1"/>
    </xf>
    <xf numFmtId="0" fontId="20" fillId="5" borderId="12" xfId="0" applyNumberFormat="1" applyFont="1" applyFill="1" applyBorder="1" applyAlignment="1">
      <alignment horizontal="justify" vertical="center" wrapText="1"/>
    </xf>
    <xf numFmtId="49" fontId="17" fillId="5" borderId="0" xfId="0" applyNumberFormat="1" applyFont="1" applyFill="1" applyAlignment="1">
      <alignment horizontal="center"/>
    </xf>
    <xf numFmtId="0" fontId="20" fillId="5" borderId="0" xfId="0" applyNumberFormat="1" applyFont="1" applyFill="1" applyBorder="1" applyAlignment="1">
      <alignment horizontal="center" vertical="center" wrapText="1"/>
    </xf>
    <xf numFmtId="0" fontId="20" fillId="5" borderId="9" xfId="0" applyNumberFormat="1" applyFont="1" applyFill="1" applyBorder="1" applyAlignment="1">
      <alignment horizontal="left" vertical="center" wrapText="1"/>
    </xf>
    <xf numFmtId="0" fontId="20" fillId="5" borderId="10" xfId="0" applyNumberFormat="1" applyFont="1" applyFill="1" applyBorder="1" applyAlignment="1">
      <alignment horizontal="left" vertical="center" wrapText="1"/>
    </xf>
    <xf numFmtId="0" fontId="20" fillId="5" borderId="11" xfId="0" applyNumberFormat="1" applyFont="1" applyFill="1" applyBorder="1" applyAlignment="1">
      <alignment horizontal="left" vertical="center" wrapText="1"/>
    </xf>
    <xf numFmtId="0" fontId="67" fillId="5" borderId="12" xfId="0" applyFont="1" applyFill="1" applyBorder="1" applyAlignment="1">
      <alignment horizontal="center" vertical="center" wrapText="1"/>
    </xf>
    <xf numFmtId="0" fontId="67" fillId="5" borderId="12" xfId="0" applyFont="1" applyFill="1" applyBorder="1" applyAlignment="1">
      <alignment vertical="center" wrapText="1"/>
    </xf>
    <xf numFmtId="0" fontId="13" fillId="5" borderId="0" xfId="0" applyNumberFormat="1" applyFont="1" applyFill="1" applyBorder="1" applyAlignment="1">
      <alignment horizontal="left" vertical="center" wrapText="1"/>
    </xf>
    <xf numFmtId="0" fontId="31" fillId="5" borderId="9"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49" fontId="41" fillId="0" borderId="0" xfId="0" applyNumberFormat="1" applyFont="1" applyAlignment="1">
      <alignment horizontal="center"/>
    </xf>
    <xf numFmtId="49" fontId="8"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49" fontId="12" fillId="0" borderId="0" xfId="0" applyNumberFormat="1" applyFont="1" applyAlignment="1">
      <alignment horizontal="center" vertical="center"/>
    </xf>
    <xf numFmtId="0" fontId="18" fillId="5" borderId="0" xfId="0" applyNumberFormat="1" applyFont="1" applyFill="1" applyBorder="1" applyAlignment="1">
      <alignment horizontal="left" vertical="center" wrapText="1"/>
    </xf>
    <xf numFmtId="0" fontId="70" fillId="5" borderId="9" xfId="0" applyFont="1" applyFill="1" applyBorder="1" applyAlignment="1">
      <alignment horizontal="center" vertical="center" wrapText="1"/>
    </xf>
    <xf numFmtId="0" fontId="70" fillId="5" borderId="10" xfId="0" applyFont="1" applyFill="1" applyBorder="1" applyAlignment="1">
      <alignment horizontal="center" vertical="center" wrapText="1"/>
    </xf>
    <xf numFmtId="0" fontId="70" fillId="5" borderId="11" xfId="0" applyFont="1" applyFill="1" applyBorder="1" applyAlignment="1">
      <alignment horizontal="center" vertical="center" wrapText="1"/>
    </xf>
    <xf numFmtId="185" fontId="3" fillId="5" borderId="19" xfId="0" applyNumberFormat="1" applyFont="1" applyFill="1" applyBorder="1" applyAlignment="1">
      <alignment horizontal="center" vertical="center" wrapText="1"/>
    </xf>
    <xf numFmtId="185" fontId="3" fillId="5" borderId="23" xfId="0" applyNumberFormat="1" applyFont="1" applyFill="1" applyBorder="1" applyAlignment="1">
      <alignment horizontal="center" vertical="center" wrapText="1"/>
    </xf>
    <xf numFmtId="16" fontId="70" fillId="5" borderId="18" xfId="0" applyNumberFormat="1" applyFont="1" applyFill="1" applyBorder="1" applyAlignment="1">
      <alignment horizontal="center" wrapText="1"/>
    </xf>
    <xf numFmtId="0" fontId="70" fillId="5" borderId="12" xfId="0" applyFont="1" applyFill="1" applyBorder="1" applyAlignment="1">
      <alignment horizontal="center" wrapText="1"/>
    </xf>
    <xf numFmtId="0" fontId="70" fillId="5" borderId="12" xfId="0" applyFont="1" applyFill="1" applyBorder="1" applyAlignment="1">
      <alignment horizontal="center" vertical="center" wrapText="1"/>
    </xf>
    <xf numFmtId="0" fontId="70" fillId="5" borderId="12" xfId="0" applyFont="1" applyFill="1" applyBorder="1" applyAlignment="1">
      <alignment vertical="center" wrapText="1"/>
    </xf>
    <xf numFmtId="0" fontId="70" fillId="5" borderId="19" xfId="0" applyFont="1" applyFill="1" applyBorder="1" applyAlignment="1">
      <alignment horizontal="left" vertical="center" wrapText="1"/>
    </xf>
    <xf numFmtId="0" fontId="70" fillId="5" borderId="20" xfId="0" applyFont="1" applyFill="1" applyBorder="1" applyAlignment="1">
      <alignment horizontal="left" vertical="center" wrapText="1"/>
    </xf>
    <xf numFmtId="0" fontId="70" fillId="5" borderId="23" xfId="0" applyFont="1" applyFill="1" applyBorder="1" applyAlignment="1">
      <alignment horizontal="left" vertical="center" wrapText="1"/>
    </xf>
    <xf numFmtId="0" fontId="70" fillId="5" borderId="19" xfId="0" applyFont="1" applyFill="1" applyBorder="1" applyAlignment="1">
      <alignment horizontal="center" vertical="center" wrapText="1"/>
    </xf>
    <xf numFmtId="0" fontId="70" fillId="5" borderId="20" xfId="0" applyFont="1" applyFill="1" applyBorder="1" applyAlignment="1">
      <alignment horizontal="center" vertical="center" wrapText="1"/>
    </xf>
    <xf numFmtId="0" fontId="70" fillId="5" borderId="23" xfId="0" applyFont="1" applyFill="1" applyBorder="1" applyAlignment="1">
      <alignment horizontal="center"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49" fontId="70" fillId="5" borderId="9" xfId="0" applyNumberFormat="1" applyFont="1" applyFill="1" applyBorder="1" applyAlignment="1">
      <alignment horizontal="center" wrapText="1"/>
    </xf>
    <xf numFmtId="49" fontId="70" fillId="5" borderId="11" xfId="0" applyNumberFormat="1" applyFont="1" applyFill="1" applyBorder="1" applyAlignment="1">
      <alignment horizontal="center" wrapText="1"/>
    </xf>
    <xf numFmtId="0" fontId="70" fillId="5" borderId="9" xfId="0" applyFont="1" applyFill="1" applyBorder="1" applyAlignment="1">
      <alignment vertical="center" wrapText="1"/>
    </xf>
    <xf numFmtId="0" fontId="4" fillId="5" borderId="11" xfId="0" applyFont="1" applyFill="1" applyBorder="1" applyAlignment="1">
      <alignment vertical="center" wrapText="1"/>
    </xf>
    <xf numFmtId="49" fontId="13" fillId="5" borderId="9" xfId="0" applyNumberFormat="1" applyFont="1" applyFill="1" applyBorder="1" applyAlignment="1">
      <alignment horizontal="center" vertical="center"/>
    </xf>
    <xf numFmtId="49" fontId="13" fillId="5" borderId="11" xfId="0" applyNumberFormat="1" applyFont="1" applyFill="1" applyBorder="1" applyAlignment="1">
      <alignment horizontal="center" vertical="center"/>
    </xf>
    <xf numFmtId="0" fontId="70" fillId="5" borderId="9" xfId="0" applyFont="1" applyFill="1" applyBorder="1" applyAlignment="1">
      <alignment horizontal="center" wrapText="1"/>
    </xf>
    <xf numFmtId="0" fontId="70" fillId="5" borderId="11" xfId="0" applyFont="1" applyFill="1" applyBorder="1" applyAlignment="1">
      <alignment horizontal="center" wrapText="1"/>
    </xf>
    <xf numFmtId="49" fontId="20" fillId="5" borderId="0" xfId="0" applyNumberFormat="1" applyFont="1" applyFill="1" applyBorder="1" applyAlignment="1">
      <alignment horizontal="left" vertical="center" wrapText="1"/>
    </xf>
    <xf numFmtId="0" fontId="70" fillId="5" borderId="12" xfId="0" applyFont="1" applyFill="1" applyBorder="1" applyAlignment="1">
      <alignment wrapText="1"/>
    </xf>
    <xf numFmtId="0" fontId="13" fillId="5" borderId="12" xfId="8" applyFont="1" applyFill="1" applyBorder="1" applyAlignment="1">
      <alignment horizontal="center" wrapText="1"/>
    </xf>
    <xf numFmtId="0" fontId="13" fillId="5" borderId="9" xfId="8" applyFont="1" applyFill="1" applyBorder="1" applyAlignment="1">
      <alignment horizontal="center" vertical="center" wrapText="1"/>
    </xf>
    <xf numFmtId="0" fontId="13" fillId="5" borderId="10" xfId="8" applyFont="1" applyFill="1" applyBorder="1" applyAlignment="1">
      <alignment horizontal="center" vertical="center" wrapText="1"/>
    </xf>
    <xf numFmtId="0" fontId="13" fillId="5" borderId="11" xfId="8" applyFont="1" applyFill="1" applyBorder="1" applyAlignment="1">
      <alignment horizontal="center" vertical="center" wrapText="1"/>
    </xf>
    <xf numFmtId="0" fontId="13" fillId="5" borderId="9" xfId="8" applyFont="1" applyFill="1" applyBorder="1" applyAlignment="1">
      <alignment vertical="center" wrapText="1"/>
    </xf>
    <xf numFmtId="0" fontId="13" fillId="5" borderId="10" xfId="8" applyFont="1" applyFill="1" applyBorder="1" applyAlignment="1">
      <alignment vertical="center" wrapText="1"/>
    </xf>
    <xf numFmtId="0" fontId="13" fillId="5" borderId="11" xfId="8" applyFont="1" applyFill="1" applyBorder="1" applyAlignment="1">
      <alignment vertical="center" wrapText="1"/>
    </xf>
    <xf numFmtId="49" fontId="18" fillId="5" borderId="0" xfId="0" applyNumberFormat="1" applyFont="1" applyFill="1" applyAlignment="1">
      <alignment horizontal="center" vertical="center" wrapText="1"/>
    </xf>
    <xf numFmtId="49" fontId="18" fillId="5" borderId="0" xfId="0" applyNumberFormat="1" applyFont="1" applyFill="1" applyAlignment="1">
      <alignment horizontal="center" vertical="center"/>
    </xf>
    <xf numFmtId="0" fontId="13" fillId="5" borderId="12" xfId="8" applyFont="1" applyFill="1" applyBorder="1" applyAlignment="1">
      <alignment wrapText="1"/>
    </xf>
    <xf numFmtId="0" fontId="70" fillId="5" borderId="18" xfId="0" applyFont="1" applyFill="1" applyBorder="1" applyAlignment="1">
      <alignment horizontal="center" wrapText="1"/>
    </xf>
    <xf numFmtId="0" fontId="70" fillId="5" borderId="9" xfId="0" applyFont="1" applyFill="1" applyBorder="1" applyAlignment="1">
      <alignment horizontal="left" wrapText="1"/>
    </xf>
    <xf numFmtId="0" fontId="70" fillId="5" borderId="11" xfId="0" applyFont="1" applyFill="1" applyBorder="1" applyAlignment="1">
      <alignment horizontal="left" wrapText="1"/>
    </xf>
    <xf numFmtId="49" fontId="13" fillId="5" borderId="10" xfId="0" applyNumberFormat="1" applyFont="1" applyFill="1" applyBorder="1" applyAlignment="1">
      <alignment horizontal="center" vertical="center"/>
    </xf>
    <xf numFmtId="0" fontId="18" fillId="5" borderId="14" xfId="0" applyNumberFormat="1" applyFont="1" applyFill="1" applyBorder="1" applyAlignment="1">
      <alignment horizontal="left" vertical="center" wrapText="1"/>
    </xf>
    <xf numFmtId="0" fontId="70" fillId="5" borderId="18" xfId="0" applyFont="1" applyFill="1" applyBorder="1" applyAlignment="1">
      <alignment wrapText="1"/>
    </xf>
    <xf numFmtId="0" fontId="70" fillId="5" borderId="19" xfId="0" applyFont="1" applyFill="1" applyBorder="1" applyAlignment="1">
      <alignment horizontal="center" wrapText="1"/>
    </xf>
    <xf numFmtId="0" fontId="70" fillId="5" borderId="23" xfId="0" applyFont="1" applyFill="1" applyBorder="1" applyAlignment="1">
      <alignment horizontal="center" wrapText="1"/>
    </xf>
    <xf numFmtId="0" fontId="70" fillId="5" borderId="18" xfId="0" applyFont="1" applyFill="1" applyBorder="1" applyAlignment="1">
      <alignment horizontal="center" vertical="center" wrapText="1"/>
    </xf>
    <xf numFmtId="49" fontId="70" fillId="5" borderId="12" xfId="0" applyNumberFormat="1" applyFont="1" applyFill="1" applyBorder="1" applyAlignment="1">
      <alignment horizontal="center" wrapText="1"/>
    </xf>
    <xf numFmtId="0" fontId="18" fillId="5" borderId="13" xfId="0" applyNumberFormat="1" applyFont="1" applyFill="1" applyBorder="1" applyAlignment="1">
      <alignment horizontal="left" vertical="center" wrapText="1"/>
    </xf>
    <xf numFmtId="3" fontId="13" fillId="5" borderId="47" xfId="0" applyNumberFormat="1" applyFont="1" applyFill="1" applyBorder="1" applyAlignment="1">
      <alignment horizontal="right" vertical="center"/>
    </xf>
    <xf numFmtId="3" fontId="13" fillId="5" borderId="48" xfId="0" applyNumberFormat="1" applyFont="1" applyFill="1" applyBorder="1" applyAlignment="1">
      <alignment horizontal="right" vertical="center"/>
    </xf>
    <xf numFmtId="0" fontId="70" fillId="5" borderId="10" xfId="0" applyFont="1" applyFill="1" applyBorder="1" applyAlignment="1">
      <alignment horizont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176" fontId="8" fillId="5" borderId="9" xfId="2" applyNumberFormat="1" applyFont="1" applyFill="1" applyBorder="1" applyAlignment="1">
      <alignment horizontal="center" vertical="center" wrapText="1"/>
    </xf>
    <xf numFmtId="176" fontId="8" fillId="5" borderId="10" xfId="2" applyNumberFormat="1" applyFont="1" applyFill="1" applyBorder="1" applyAlignment="1">
      <alignment horizontal="center" vertical="center" wrapText="1"/>
    </xf>
    <xf numFmtId="176" fontId="8" fillId="5" borderId="11" xfId="2" applyNumberFormat="1"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25" xfId="0" applyFont="1" applyFill="1" applyBorder="1" applyAlignment="1">
      <alignment horizontal="center" vertical="center" wrapText="1"/>
    </xf>
    <xf numFmtId="2" fontId="3" fillId="5" borderId="0" xfId="0" applyNumberFormat="1" applyFont="1" applyFill="1" applyBorder="1" applyAlignment="1">
      <alignment horizontal="left" wrapText="1"/>
    </xf>
    <xf numFmtId="0" fontId="8" fillId="5" borderId="16"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51" fillId="5" borderId="0" xfId="0" applyFont="1" applyFill="1" applyAlignment="1">
      <alignment horizontal="left" wrapText="1"/>
    </xf>
    <xf numFmtId="0" fontId="51" fillId="5" borderId="0" xfId="0" applyFont="1" applyFill="1" applyAlignment="1">
      <alignment horizontal="left"/>
    </xf>
    <xf numFmtId="49" fontId="3" fillId="5" borderId="0" xfId="0" applyNumberFormat="1" applyFont="1" applyFill="1" applyBorder="1" applyAlignment="1">
      <alignment horizontal="left" wrapText="1"/>
    </xf>
    <xf numFmtId="0" fontId="14" fillId="5" borderId="16" xfId="0" applyFont="1" applyFill="1" applyBorder="1" applyAlignment="1">
      <alignment horizontal="center" vertical="center"/>
    </xf>
    <xf numFmtId="0" fontId="14" fillId="5" borderId="24" xfId="0" applyFont="1" applyFill="1" applyBorder="1" applyAlignment="1">
      <alignment horizontal="center" vertical="center"/>
    </xf>
    <xf numFmtId="0" fontId="14" fillId="5" borderId="25" xfId="0" applyFont="1" applyFill="1" applyBorder="1" applyAlignment="1">
      <alignment horizontal="center" vertical="center"/>
    </xf>
    <xf numFmtId="49" fontId="8" fillId="5" borderId="0" xfId="0" applyNumberFormat="1" applyFont="1" applyFill="1" applyBorder="1" applyAlignment="1">
      <alignment horizontal="left" vertical="center" wrapText="1"/>
    </xf>
    <xf numFmtId="0" fontId="3" fillId="5" borderId="0" xfId="0" applyFont="1" applyFill="1" applyAlignment="1">
      <alignment horizontal="left" wrapText="1"/>
    </xf>
    <xf numFmtId="0" fontId="3" fillId="5" borderId="0" xfId="0" applyNumberFormat="1" applyFont="1" applyFill="1" applyBorder="1" applyAlignment="1">
      <alignment horizontal="left" wrapText="1"/>
    </xf>
    <xf numFmtId="0" fontId="3" fillId="5" borderId="0" xfId="0" applyNumberFormat="1" applyFont="1" applyFill="1" applyBorder="1" applyAlignment="1">
      <alignment horizontal="left"/>
    </xf>
    <xf numFmtId="49" fontId="3" fillId="5" borderId="0" xfId="0" applyNumberFormat="1" applyFont="1" applyFill="1" applyBorder="1" applyAlignment="1">
      <alignment horizontal="left"/>
    </xf>
    <xf numFmtId="49" fontId="20" fillId="5" borderId="0" xfId="0" applyNumberFormat="1" applyFont="1" applyFill="1" applyBorder="1" applyAlignment="1">
      <alignment horizontal="left" vertical="center"/>
    </xf>
    <xf numFmtId="49" fontId="16" fillId="5" borderId="0" xfId="0" applyNumberFormat="1" applyFont="1" applyFill="1" applyBorder="1" applyAlignment="1">
      <alignment horizontal="center"/>
    </xf>
    <xf numFmtId="0" fontId="32" fillId="5" borderId="0" xfId="0" applyNumberFormat="1" applyFont="1" applyFill="1" applyBorder="1" applyAlignment="1">
      <alignment horizontal="left" vertical="center" wrapText="1"/>
    </xf>
    <xf numFmtId="0" fontId="23" fillId="5" borderId="0" xfId="0" applyNumberFormat="1" applyFont="1" applyFill="1" applyBorder="1" applyAlignment="1">
      <alignment horizontal="left" vertical="center" wrapText="1"/>
    </xf>
    <xf numFmtId="49" fontId="20" fillId="5" borderId="0" xfId="0" applyNumberFormat="1" applyFont="1" applyFill="1" applyBorder="1" applyAlignment="1">
      <alignment horizontal="left"/>
    </xf>
    <xf numFmtId="177" fontId="32" fillId="5" borderId="16" xfId="0" applyNumberFormat="1" applyFont="1" applyFill="1" applyBorder="1" applyAlignment="1">
      <alignment horizontal="center" vertical="center"/>
    </xf>
    <xf numFmtId="177" fontId="32" fillId="5" borderId="24" xfId="0" applyNumberFormat="1" applyFont="1" applyFill="1" applyBorder="1" applyAlignment="1">
      <alignment horizontal="center" vertical="center"/>
    </xf>
    <xf numFmtId="177" fontId="32" fillId="5" borderId="25" xfId="0" applyNumberFormat="1" applyFont="1" applyFill="1" applyBorder="1" applyAlignment="1">
      <alignment horizontal="center" vertical="center"/>
    </xf>
    <xf numFmtId="49" fontId="3" fillId="5" borderId="0" xfId="0" applyNumberFormat="1" applyFont="1" applyFill="1" applyBorder="1" applyAlignment="1">
      <alignment horizontal="center"/>
    </xf>
    <xf numFmtId="0" fontId="3" fillId="5" borderId="0" xfId="0" applyFont="1" applyFill="1" applyAlignment="1">
      <alignment horizontal="left"/>
    </xf>
    <xf numFmtId="0" fontId="8" fillId="5" borderId="0" xfId="0" applyNumberFormat="1" applyFont="1" applyFill="1" applyBorder="1" applyAlignment="1">
      <alignment horizontal="left" vertical="center" wrapText="1"/>
    </xf>
    <xf numFmtId="0" fontId="3" fillId="5" borderId="0" xfId="0" applyFont="1" applyFill="1" applyBorder="1" applyAlignment="1">
      <alignment horizontal="left" wrapText="1"/>
    </xf>
    <xf numFmtId="0" fontId="14" fillId="5" borderId="0" xfId="0" applyFont="1" applyFill="1" applyAlignment="1">
      <alignment horizontal="left" wrapText="1"/>
    </xf>
    <xf numFmtId="0" fontId="32" fillId="5" borderId="16" xfId="0" applyFont="1" applyFill="1" applyBorder="1" applyAlignment="1">
      <alignment horizontal="center" vertical="center"/>
    </xf>
    <xf numFmtId="0" fontId="32" fillId="5" borderId="24" xfId="0" applyFont="1" applyFill="1" applyBorder="1" applyAlignment="1">
      <alignment horizontal="center" vertical="center"/>
    </xf>
    <xf numFmtId="0" fontId="32" fillId="5" borderId="25" xfId="0" applyFont="1" applyFill="1" applyBorder="1" applyAlignment="1">
      <alignment horizontal="center" vertical="center"/>
    </xf>
    <xf numFmtId="49" fontId="18" fillId="5" borderId="0" xfId="0" applyNumberFormat="1" applyFont="1" applyFill="1" applyBorder="1" applyAlignment="1">
      <alignment horizontal="center"/>
    </xf>
    <xf numFmtId="49" fontId="23" fillId="5" borderId="0" xfId="0" applyNumberFormat="1" applyFont="1" applyFill="1" applyBorder="1" applyAlignment="1">
      <alignment horizontal="left" vertical="center" wrapText="1"/>
    </xf>
  </cellXfs>
  <cellStyles count="9">
    <cellStyle name="Chuẩn 2" xfId="1"/>
    <cellStyle name="Comma" xfId="2" builtinId="3"/>
    <cellStyle name="Comma 2" xfId="3"/>
    <cellStyle name="Comma 3" xfId="4"/>
    <cellStyle name="Dấu phẩy 2" xfId="5"/>
    <cellStyle name="Normal" xfId="0" builtinId="0"/>
    <cellStyle name="Normal 2" xfId="6"/>
    <cellStyle name="Normal_1,DG-capmoi" xfId="7"/>
    <cellStyle name="Normal_NC_DKDD"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4" sqref="B4"/>
    </sheetView>
  </sheetViews>
  <sheetFormatPr defaultRowHeight="16.5"/>
  <cols>
    <col min="1" max="1" width="5.77734375" style="95" customWidth="1"/>
    <col min="2" max="2" width="44.21875" style="50" customWidth="1"/>
    <col min="3" max="3" width="11.88671875" style="95" customWidth="1"/>
    <col min="4" max="4" width="14.5546875" style="95" customWidth="1"/>
    <col min="5" max="5" width="34.21875" style="50" bestFit="1" customWidth="1"/>
    <col min="6" max="16384" width="8.88671875" style="50"/>
  </cols>
  <sheetData>
    <row r="1" spans="1:6" ht="24" customHeight="1">
      <c r="A1" s="1046" t="s">
        <v>608</v>
      </c>
      <c r="B1" s="1046"/>
      <c r="C1" s="1046"/>
      <c r="D1" s="1046"/>
      <c r="E1" s="1046"/>
    </row>
    <row r="3" spans="1:6" s="209" customFormat="1" ht="22.5" customHeight="1">
      <c r="A3" s="218" t="s">
        <v>979</v>
      </c>
      <c r="B3" s="218" t="s">
        <v>980</v>
      </c>
      <c r="C3" s="218" t="s">
        <v>981</v>
      </c>
      <c r="D3" s="218" t="s">
        <v>982</v>
      </c>
      <c r="E3" s="218" t="s">
        <v>983</v>
      </c>
    </row>
    <row r="4" spans="1:6" s="96" customFormat="1" ht="21" customHeight="1">
      <c r="A4" s="16">
        <v>1</v>
      </c>
      <c r="B4" s="217" t="s">
        <v>37</v>
      </c>
      <c r="C4" s="16" t="s">
        <v>984</v>
      </c>
      <c r="D4" s="299">
        <v>1390000</v>
      </c>
      <c r="E4" s="408" t="s">
        <v>911</v>
      </c>
    </row>
    <row r="5" spans="1:6" s="96" customFormat="1" ht="21" customHeight="1">
      <c r="A5" s="18">
        <v>2</v>
      </c>
      <c r="B5" s="210" t="s">
        <v>985</v>
      </c>
      <c r="C5" s="18" t="s">
        <v>986</v>
      </c>
      <c r="D5" s="211">
        <v>0</v>
      </c>
      <c r="E5" s="210" t="s">
        <v>987</v>
      </c>
    </row>
    <row r="6" spans="1:6" s="96" customFormat="1" ht="21" customHeight="1">
      <c r="A6" s="18">
        <v>3</v>
      </c>
      <c r="B6" s="210" t="s">
        <v>988</v>
      </c>
      <c r="C6" s="18"/>
      <c r="D6" s="211">
        <v>0.4</v>
      </c>
      <c r="E6" s="210" t="s">
        <v>989</v>
      </c>
    </row>
    <row r="7" spans="1:6" s="96" customFormat="1" ht="21" customHeight="1">
      <c r="A7" s="18">
        <v>4</v>
      </c>
      <c r="B7" s="210" t="s">
        <v>990</v>
      </c>
      <c r="C7" s="18"/>
      <c r="D7" s="211">
        <v>0.2</v>
      </c>
      <c r="E7" s="210" t="s">
        <v>991</v>
      </c>
    </row>
    <row r="8" spans="1:6" s="347" customFormat="1" ht="21" hidden="1" customHeight="1">
      <c r="A8" s="338">
        <v>5</v>
      </c>
      <c r="B8" s="337" t="s">
        <v>992</v>
      </c>
      <c r="C8" s="338"/>
      <c r="D8" s="339">
        <v>0</v>
      </c>
      <c r="E8" s="337" t="s">
        <v>989</v>
      </c>
    </row>
    <row r="9" spans="1:6" s="96" customFormat="1" ht="21" customHeight="1">
      <c r="A9" s="18">
        <v>5</v>
      </c>
      <c r="B9" s="1008" t="s">
        <v>258</v>
      </c>
      <c r="C9" s="18" t="s">
        <v>986</v>
      </c>
      <c r="D9" s="1009">
        <v>23.5</v>
      </c>
      <c r="E9" s="210" t="s">
        <v>987</v>
      </c>
    </row>
    <row r="10" spans="1:6" s="96" customFormat="1" ht="21" customHeight="1">
      <c r="A10" s="18">
        <v>6</v>
      </c>
      <c r="B10" s="210" t="s">
        <v>993</v>
      </c>
      <c r="C10" s="18" t="s">
        <v>994</v>
      </c>
      <c r="D10" s="211">
        <v>26</v>
      </c>
      <c r="E10" s="210"/>
    </row>
    <row r="11" spans="1:6" s="96" customFormat="1" ht="21" customHeight="1">
      <c r="A11" s="18">
        <v>7</v>
      </c>
      <c r="B11" s="210" t="s">
        <v>20</v>
      </c>
      <c r="C11" s="18" t="s">
        <v>995</v>
      </c>
      <c r="D11" s="299">
        <v>147000</v>
      </c>
      <c r="E11" s="210"/>
      <c r="F11" s="299">
        <v>123000</v>
      </c>
    </row>
    <row r="12" spans="1:6" s="96" customFormat="1" ht="21" customHeight="1">
      <c r="A12" s="18">
        <v>8</v>
      </c>
      <c r="B12" s="210" t="s">
        <v>387</v>
      </c>
      <c r="C12" s="18" t="s">
        <v>995</v>
      </c>
      <c r="D12" s="299">
        <v>147000</v>
      </c>
      <c r="E12" s="210"/>
      <c r="F12" s="299">
        <v>123000</v>
      </c>
    </row>
    <row r="13" spans="1:6" s="335" customFormat="1" ht="21" customHeight="1">
      <c r="A13" s="341">
        <v>9</v>
      </c>
      <c r="B13" s="342" t="s">
        <v>228</v>
      </c>
      <c r="C13" s="341"/>
      <c r="D13" s="343">
        <v>1.25</v>
      </c>
      <c r="E13" s="342"/>
    </row>
    <row r="14" spans="1:6" s="346" customFormat="1" ht="18.75" hidden="1" customHeight="1">
      <c r="A14" s="344">
        <v>11</v>
      </c>
      <c r="B14" s="337" t="s">
        <v>229</v>
      </c>
      <c r="C14" s="344"/>
      <c r="D14" s="340">
        <v>1</v>
      </c>
      <c r="E14" s="345"/>
    </row>
    <row r="15" spans="1:6" s="199" customFormat="1" ht="18.75" customHeight="1">
      <c r="A15" s="212">
        <v>10</v>
      </c>
      <c r="B15" s="213" t="s">
        <v>600</v>
      </c>
      <c r="C15" s="212"/>
      <c r="D15" s="214"/>
      <c r="E15" s="213"/>
    </row>
    <row r="16" spans="1:6" s="199" customFormat="1" ht="18.75" customHeight="1">
      <c r="A16" s="212"/>
      <c r="B16" s="213" t="s">
        <v>601</v>
      </c>
      <c r="C16" s="212"/>
      <c r="D16" s="214">
        <v>20</v>
      </c>
      <c r="E16" s="1045" t="s">
        <v>910</v>
      </c>
    </row>
    <row r="17" spans="1:5" s="199" customFormat="1" ht="18.75" customHeight="1">
      <c r="A17" s="212"/>
      <c r="B17" s="213" t="s">
        <v>602</v>
      </c>
      <c r="C17" s="212"/>
      <c r="D17" s="214">
        <v>15</v>
      </c>
      <c r="E17" s="1045"/>
    </row>
    <row r="18" spans="1:5" s="199" customFormat="1" ht="21.75" customHeight="1">
      <c r="A18" s="212">
        <v>11</v>
      </c>
      <c r="B18" s="213" t="s">
        <v>603</v>
      </c>
      <c r="C18" s="212" t="s">
        <v>995</v>
      </c>
      <c r="D18" s="349">
        <f>D19+D20</f>
        <v>6415.3846153846152</v>
      </c>
      <c r="E18" s="348"/>
    </row>
    <row r="19" spans="1:5" s="199" customFormat="1" ht="21.75" customHeight="1">
      <c r="A19" s="212"/>
      <c r="B19" s="215" t="s">
        <v>604</v>
      </c>
      <c r="C19" s="212" t="s">
        <v>995</v>
      </c>
      <c r="D19" s="349">
        <f>D4*0.1/D10</f>
        <v>5346.1538461538457</v>
      </c>
      <c r="E19" s="348"/>
    </row>
    <row r="20" spans="1:5" s="199" customFormat="1" ht="21.75" customHeight="1">
      <c r="A20" s="212"/>
      <c r="B20" s="215" t="s">
        <v>605</v>
      </c>
      <c r="C20" s="212" t="s">
        <v>995</v>
      </c>
      <c r="D20" s="349">
        <f>D19*D16/100</f>
        <v>1069.2307692307691</v>
      </c>
      <c r="E20" s="348"/>
    </row>
    <row r="21" spans="1:5" s="200" customFormat="1" ht="21.75" customHeight="1">
      <c r="A21" s="212">
        <v>12</v>
      </c>
      <c r="B21" s="213" t="s">
        <v>606</v>
      </c>
      <c r="C21" s="212" t="s">
        <v>995</v>
      </c>
      <c r="D21" s="349">
        <f>D22+D23</f>
        <v>6148.0769230769229</v>
      </c>
      <c r="E21" s="348"/>
    </row>
    <row r="22" spans="1:5" s="200" customFormat="1" ht="21.75" customHeight="1">
      <c r="A22" s="212"/>
      <c r="B22" s="215" t="s">
        <v>604</v>
      </c>
      <c r="C22" s="212" t="s">
        <v>995</v>
      </c>
      <c r="D22" s="349">
        <f>D4*0.1/D10</f>
        <v>5346.1538461538457</v>
      </c>
      <c r="E22" s="348"/>
    </row>
    <row r="23" spans="1:5" s="200" customFormat="1" ht="21.75" customHeight="1">
      <c r="A23" s="212"/>
      <c r="B23" s="215" t="s">
        <v>605</v>
      </c>
      <c r="C23" s="212" t="s">
        <v>995</v>
      </c>
      <c r="D23" s="349">
        <f>D22*D17/100</f>
        <v>801.92307692307691</v>
      </c>
      <c r="E23" s="348"/>
    </row>
    <row r="24" spans="1:5">
      <c r="A24" s="216"/>
      <c r="B24" s="113"/>
      <c r="C24" s="216"/>
      <c r="D24" s="216"/>
      <c r="E24" s="113"/>
    </row>
  </sheetData>
  <mergeCells count="2">
    <mergeCell ref="E16:E17"/>
    <mergeCell ref="A1:E1"/>
  </mergeCells>
  <phoneticPr fontId="45" type="noConversion"/>
  <printOptions horizontalCentered="1"/>
  <pageMargins left="0.7" right="0.7" top="1.1000000000000001"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193"/>
  <sheetViews>
    <sheetView showZeros="0" topLeftCell="A100" zoomScale="85" zoomScaleNormal="85" workbookViewId="0">
      <selection activeCell="C97" sqref="C97"/>
    </sheetView>
  </sheetViews>
  <sheetFormatPr defaultRowHeight="16.5"/>
  <cols>
    <col min="1" max="1" width="4.77734375" style="327" customWidth="1"/>
    <col min="2" max="2" width="52.44140625" style="336" customWidth="1"/>
    <col min="3" max="3" width="6.44140625" style="328" customWidth="1"/>
    <col min="4" max="4" width="7.88671875" style="329" customWidth="1"/>
    <col min="5" max="5" width="9.6640625" style="304" customWidth="1"/>
    <col min="6" max="6" width="7.77734375" style="304" customWidth="1"/>
    <col min="7" max="7" width="7.109375" style="330" hidden="1" customWidth="1"/>
    <col min="8" max="8" width="6.33203125" style="304" customWidth="1"/>
    <col min="9" max="9" width="6.77734375" style="304" customWidth="1"/>
    <col min="10" max="10" width="5.5546875" style="304" customWidth="1"/>
    <col min="11" max="11" width="6.21875" style="304" customWidth="1"/>
    <col min="12" max="12" width="11.5546875" style="304" customWidth="1"/>
    <col min="13" max="13" width="8" style="304" customWidth="1"/>
    <col min="14" max="14" width="9.33203125" style="304" customWidth="1"/>
    <col min="15" max="15" width="7.77734375" style="304" customWidth="1"/>
    <col min="16" max="16" width="8.88671875" style="67"/>
    <col min="17" max="17" width="5.21875" style="67" customWidth="1"/>
    <col min="18" max="18" width="4.33203125" style="67" customWidth="1"/>
    <col min="19" max="16384" width="8.88671875" style="15"/>
  </cols>
  <sheetData>
    <row r="1" spans="1:18" ht="16.899999999999999" customHeight="1">
      <c r="A1" s="1124"/>
      <c r="B1" s="1125"/>
      <c r="C1" s="1125"/>
      <c r="D1" s="1125"/>
      <c r="E1" s="1125"/>
      <c r="F1" s="1125"/>
      <c r="G1" s="1125"/>
      <c r="H1" s="1125"/>
      <c r="I1" s="1125"/>
      <c r="J1" s="1125"/>
      <c r="K1" s="1125"/>
      <c r="L1" s="1125"/>
      <c r="M1" s="1125"/>
      <c r="N1" s="1125"/>
      <c r="O1" s="1125"/>
      <c r="P1" s="302" t="s">
        <v>607</v>
      </c>
      <c r="Q1" s="303">
        <v>0</v>
      </c>
    </row>
    <row r="2" spans="1:18" ht="44.25" customHeight="1">
      <c r="A2" s="1123" t="s">
        <v>126</v>
      </c>
      <c r="B2" s="1123"/>
      <c r="C2" s="1123"/>
      <c r="D2" s="1123"/>
      <c r="E2" s="1123"/>
      <c r="F2" s="1123"/>
      <c r="G2" s="1123"/>
      <c r="H2" s="1123"/>
      <c r="I2" s="1123"/>
      <c r="J2" s="1123"/>
      <c r="K2" s="1123"/>
      <c r="L2" s="1123"/>
      <c r="M2" s="1123"/>
      <c r="N2" s="1123"/>
      <c r="O2" s="1123"/>
      <c r="P2" s="1123"/>
      <c r="Q2" s="1123"/>
      <c r="R2" s="1123"/>
    </row>
    <row r="3" spans="1:18" s="313" customFormat="1" ht="19.5" customHeight="1">
      <c r="A3" s="305"/>
      <c r="B3" s="331"/>
      <c r="C3" s="306"/>
      <c r="D3" s="307" t="s">
        <v>430</v>
      </c>
      <c r="E3" s="308"/>
      <c r="F3" s="309"/>
      <c r="G3" s="310"/>
      <c r="H3" s="309"/>
      <c r="I3" s="311"/>
      <c r="J3" s="309"/>
      <c r="K3" s="309"/>
      <c r="L3" s="312" t="s">
        <v>500</v>
      </c>
      <c r="M3" s="309"/>
      <c r="N3" s="300"/>
      <c r="O3" s="300"/>
      <c r="P3" s="300"/>
      <c r="Q3" s="300"/>
    </row>
    <row r="4" spans="1:18" s="313" customFormat="1" ht="22.5" customHeight="1">
      <c r="A4" s="305"/>
      <c r="B4" s="331"/>
      <c r="C4" s="306"/>
      <c r="D4" s="314"/>
      <c r="E4" s="308"/>
      <c r="F4" s="308"/>
      <c r="G4" s="315"/>
      <c r="H4" s="308"/>
      <c r="I4" s="308"/>
      <c r="J4" s="308"/>
      <c r="K4" s="308"/>
      <c r="L4" s="308"/>
      <c r="M4" s="308"/>
      <c r="N4" s="308"/>
      <c r="O4" s="308"/>
      <c r="P4" s="300"/>
      <c r="Q4" s="300"/>
      <c r="R4" s="300"/>
    </row>
    <row r="5" spans="1:18" s="313" customFormat="1" ht="26.25" customHeight="1">
      <c r="A5" s="1107" t="s">
        <v>718</v>
      </c>
      <c r="B5" s="1107" t="s">
        <v>198</v>
      </c>
      <c r="C5" s="1110" t="s">
        <v>263</v>
      </c>
      <c r="D5" s="1121" t="s">
        <v>264</v>
      </c>
      <c r="E5" s="1127" t="s">
        <v>683</v>
      </c>
      <c r="F5" s="1128"/>
      <c r="G5" s="1128"/>
      <c r="H5" s="1128"/>
      <c r="I5" s="1128"/>
      <c r="J5" s="1128"/>
      <c r="K5" s="1128"/>
      <c r="L5" s="1129"/>
      <c r="M5" s="1110" t="s">
        <v>435</v>
      </c>
      <c r="N5" s="1110" t="s">
        <v>684</v>
      </c>
      <c r="O5" s="1110" t="s">
        <v>685</v>
      </c>
      <c r="P5" s="366"/>
      <c r="Q5" s="366"/>
      <c r="R5" s="367"/>
    </row>
    <row r="6" spans="1:18" s="313" customFormat="1" ht="36" customHeight="1">
      <c r="A6" s="1109"/>
      <c r="B6" s="1109"/>
      <c r="C6" s="1111"/>
      <c r="D6" s="1122"/>
      <c r="E6" s="317" t="s">
        <v>686</v>
      </c>
      <c r="F6" s="317" t="s">
        <v>687</v>
      </c>
      <c r="G6" s="318" t="s">
        <v>285</v>
      </c>
      <c r="H6" s="317" t="s">
        <v>499</v>
      </c>
      <c r="I6" s="317" t="s">
        <v>688</v>
      </c>
      <c r="J6" s="317" t="s">
        <v>531</v>
      </c>
      <c r="K6" s="317" t="s">
        <v>689</v>
      </c>
      <c r="L6" s="317" t="s">
        <v>690</v>
      </c>
      <c r="M6" s="1111"/>
      <c r="N6" s="1126"/>
      <c r="O6" s="1126"/>
      <c r="P6" s="368"/>
      <c r="Q6" s="368"/>
      <c r="R6" s="369"/>
    </row>
    <row r="7" spans="1:18" s="313" customFormat="1" ht="44.25" customHeight="1">
      <c r="A7" s="352"/>
      <c r="B7" s="394" t="s">
        <v>128</v>
      </c>
      <c r="C7" s="317"/>
      <c r="D7" s="350"/>
      <c r="E7" s="317"/>
      <c r="F7" s="317"/>
      <c r="G7" s="318"/>
      <c r="H7" s="317"/>
      <c r="I7" s="317"/>
      <c r="J7" s="317"/>
      <c r="K7" s="317"/>
      <c r="L7" s="317"/>
      <c r="M7" s="317"/>
      <c r="N7" s="317"/>
      <c r="O7" s="393"/>
      <c r="P7" s="317"/>
      <c r="Q7" s="406"/>
      <c r="R7" s="382"/>
    </row>
    <row r="8" spans="1:18" s="313" customFormat="1" ht="23.25" customHeight="1">
      <c r="A8" s="1102"/>
      <c r="B8" s="1103" t="s">
        <v>668</v>
      </c>
      <c r="C8" s="1106" t="s">
        <v>532</v>
      </c>
      <c r="D8" s="350">
        <v>1</v>
      </c>
      <c r="E8" s="351" t="e">
        <f>E15+E45+E79</f>
        <v>#VALUE!</v>
      </c>
      <c r="F8" s="351">
        <f t="shared" ref="F8:P8" si="0">F15+F45+F79</f>
        <v>5380.2</v>
      </c>
      <c r="G8" s="351">
        <f t="shared" si="0"/>
        <v>0</v>
      </c>
      <c r="H8" s="370">
        <f t="shared" si="0"/>
        <v>0.16377089466746794</v>
      </c>
      <c r="I8" s="370">
        <f t="shared" si="0"/>
        <v>0</v>
      </c>
      <c r="J8" s="370">
        <f t="shared" si="0"/>
        <v>8.6994749999999996E-2</v>
      </c>
      <c r="K8" s="370">
        <f t="shared" si="0"/>
        <v>0.17066804999999999</v>
      </c>
      <c r="L8" s="355" t="e">
        <f t="shared" si="0"/>
        <v>#VALUE!</v>
      </c>
      <c r="M8" s="355" t="e">
        <f t="shared" si="0"/>
        <v>#VALUE!</v>
      </c>
      <c r="N8" s="355" t="e">
        <f>N15+N45+N79</f>
        <v>#VALUE!</v>
      </c>
      <c r="O8" s="370">
        <f>O15+O45+O79</f>
        <v>2188.59375</v>
      </c>
      <c r="P8" s="370">
        <f t="shared" si="0"/>
        <v>0</v>
      </c>
      <c r="Q8" s="406"/>
      <c r="R8" s="382"/>
    </row>
    <row r="9" spans="1:18" s="313" customFormat="1" ht="23.25" customHeight="1">
      <c r="A9" s="1102"/>
      <c r="B9" s="1104"/>
      <c r="C9" s="1106"/>
      <c r="D9" s="350">
        <v>2</v>
      </c>
      <c r="E9" s="351" t="e">
        <f t="shared" ref="E9:P9" si="1">E16+E45+E79</f>
        <v>#VALUE!</v>
      </c>
      <c r="F9" s="351">
        <f t="shared" si="1"/>
        <v>6174.0000000000009</v>
      </c>
      <c r="G9" s="351">
        <f t="shared" si="1"/>
        <v>0</v>
      </c>
      <c r="H9" s="370">
        <f>H16+H45+H79</f>
        <v>0.16784719795072117</v>
      </c>
      <c r="I9" s="370">
        <f t="shared" si="1"/>
        <v>0</v>
      </c>
      <c r="J9" s="370">
        <f t="shared" si="1"/>
        <v>8.6994749999999996E-2</v>
      </c>
      <c r="K9" s="370">
        <f t="shared" si="1"/>
        <v>0.17066804999999999</v>
      </c>
      <c r="L9" s="355" t="e">
        <f t="shared" si="1"/>
        <v>#VALUE!</v>
      </c>
      <c r="M9" s="355" t="e">
        <f t="shared" si="1"/>
        <v>#VALUE!</v>
      </c>
      <c r="N9" s="355" t="e">
        <f t="shared" si="1"/>
        <v>#VALUE!</v>
      </c>
      <c r="O9" s="370">
        <f t="shared" si="1"/>
        <v>2464.59375</v>
      </c>
      <c r="P9" s="370">
        <f t="shared" si="1"/>
        <v>0</v>
      </c>
      <c r="Q9" s="406"/>
      <c r="R9" s="382"/>
    </row>
    <row r="10" spans="1:18" s="313" customFormat="1" ht="23.25" customHeight="1">
      <c r="A10" s="1102"/>
      <c r="B10" s="1105"/>
      <c r="C10" s="1106"/>
      <c r="D10" s="350">
        <v>3</v>
      </c>
      <c r="E10" s="351" t="e">
        <f t="shared" ref="E10:P10" si="2">E17+E45+E79</f>
        <v>#VALUE!</v>
      </c>
      <c r="F10" s="351">
        <f t="shared" si="2"/>
        <v>7100.0999999999995</v>
      </c>
      <c r="G10" s="351">
        <f t="shared" si="2"/>
        <v>0</v>
      </c>
      <c r="H10" s="370">
        <f t="shared" si="2"/>
        <v>0.17599980451722758</v>
      </c>
      <c r="I10" s="370">
        <f t="shared" si="2"/>
        <v>0</v>
      </c>
      <c r="J10" s="370">
        <f t="shared" si="2"/>
        <v>8.6994749999999996E-2</v>
      </c>
      <c r="K10" s="370">
        <f t="shared" si="2"/>
        <v>0.17066804999999999</v>
      </c>
      <c r="L10" s="355" t="e">
        <f t="shared" si="2"/>
        <v>#VALUE!</v>
      </c>
      <c r="M10" s="355" t="e">
        <f t="shared" si="2"/>
        <v>#VALUE!</v>
      </c>
      <c r="N10" s="355" t="e">
        <f t="shared" si="2"/>
        <v>#VALUE!</v>
      </c>
      <c r="O10" s="370">
        <f t="shared" si="2"/>
        <v>2779.40625</v>
      </c>
      <c r="P10" s="370">
        <f t="shared" si="2"/>
        <v>0</v>
      </c>
      <c r="Q10" s="406"/>
      <c r="R10" s="382"/>
    </row>
    <row r="11" spans="1:18" s="313" customFormat="1" ht="23.25" customHeight="1">
      <c r="A11" s="1107"/>
      <c r="B11" s="1103" t="s">
        <v>669</v>
      </c>
      <c r="C11" s="1106" t="s">
        <v>532</v>
      </c>
      <c r="D11" s="350">
        <v>1</v>
      </c>
      <c r="E11" s="351" t="e">
        <f t="shared" ref="E11:P11" si="3">E18+E46+E80</f>
        <v>#VALUE!</v>
      </c>
      <c r="F11" s="351">
        <f t="shared" si="3"/>
        <v>5380.2</v>
      </c>
      <c r="G11" s="351">
        <f t="shared" si="3"/>
        <v>0</v>
      </c>
      <c r="H11" s="385">
        <f t="shared" si="3"/>
        <v>0.16377089466746794</v>
      </c>
      <c r="I11" s="385">
        <f t="shared" si="3"/>
        <v>0</v>
      </c>
      <c r="J11" s="385">
        <f t="shared" si="3"/>
        <v>8.6994749999999996E-2</v>
      </c>
      <c r="K11" s="385">
        <f t="shared" si="3"/>
        <v>0.17066804999999999</v>
      </c>
      <c r="L11" s="351" t="e">
        <f t="shared" si="3"/>
        <v>#VALUE!</v>
      </c>
      <c r="M11" s="351" t="e">
        <f t="shared" si="3"/>
        <v>#VALUE!</v>
      </c>
      <c r="N11" s="351" t="e">
        <f t="shared" si="3"/>
        <v>#VALUE!</v>
      </c>
      <c r="O11" s="351">
        <f t="shared" si="3"/>
        <v>2188.59375</v>
      </c>
      <c r="P11" s="351">
        <f t="shared" si="3"/>
        <v>0</v>
      </c>
      <c r="Q11" s="406"/>
      <c r="R11" s="382"/>
    </row>
    <row r="12" spans="1:18" s="313" customFormat="1" ht="23.25" customHeight="1">
      <c r="A12" s="1108"/>
      <c r="B12" s="1104"/>
      <c r="C12" s="1106"/>
      <c r="D12" s="350">
        <v>2</v>
      </c>
      <c r="E12" s="351" t="e">
        <f>E19+E46+E80</f>
        <v>#VALUE!</v>
      </c>
      <c r="F12" s="351">
        <f t="shared" ref="F12:P12" si="4">F19+F46+F80</f>
        <v>6174.0000000000009</v>
      </c>
      <c r="G12" s="351">
        <f t="shared" si="4"/>
        <v>0</v>
      </c>
      <c r="H12" s="385">
        <f t="shared" si="4"/>
        <v>0.16784719795072117</v>
      </c>
      <c r="I12" s="385">
        <f t="shared" si="4"/>
        <v>0</v>
      </c>
      <c r="J12" s="385">
        <f t="shared" si="4"/>
        <v>8.6994749999999996E-2</v>
      </c>
      <c r="K12" s="385">
        <f t="shared" si="4"/>
        <v>0.17066804999999999</v>
      </c>
      <c r="L12" s="351" t="e">
        <f t="shared" si="4"/>
        <v>#VALUE!</v>
      </c>
      <c r="M12" s="351" t="e">
        <f t="shared" si="4"/>
        <v>#VALUE!</v>
      </c>
      <c r="N12" s="351" t="e">
        <f t="shared" si="4"/>
        <v>#VALUE!</v>
      </c>
      <c r="O12" s="351">
        <f t="shared" si="4"/>
        <v>2464.59375</v>
      </c>
      <c r="P12" s="351">
        <f t="shared" si="4"/>
        <v>0</v>
      </c>
      <c r="Q12" s="406"/>
      <c r="R12" s="382"/>
    </row>
    <row r="13" spans="1:18" s="313" customFormat="1" ht="23.25" customHeight="1">
      <c r="A13" s="1109"/>
      <c r="B13" s="1105"/>
      <c r="C13" s="1106"/>
      <c r="D13" s="350">
        <v>3</v>
      </c>
      <c r="E13" s="351" t="e">
        <f t="shared" ref="E13:P13" si="5">E20+E46+E80</f>
        <v>#VALUE!</v>
      </c>
      <c r="F13" s="351">
        <f t="shared" si="5"/>
        <v>7100.0999999999995</v>
      </c>
      <c r="G13" s="351">
        <f t="shared" si="5"/>
        <v>0</v>
      </c>
      <c r="H13" s="385">
        <f t="shared" si="5"/>
        <v>0.17599980451722758</v>
      </c>
      <c r="I13" s="385">
        <f t="shared" si="5"/>
        <v>0</v>
      </c>
      <c r="J13" s="385">
        <f t="shared" si="5"/>
        <v>8.6994749999999996E-2</v>
      </c>
      <c r="K13" s="385">
        <f t="shared" si="5"/>
        <v>0.17066804999999999</v>
      </c>
      <c r="L13" s="351" t="e">
        <f t="shared" si="5"/>
        <v>#VALUE!</v>
      </c>
      <c r="M13" s="351" t="e">
        <f t="shared" si="5"/>
        <v>#VALUE!</v>
      </c>
      <c r="N13" s="351" t="e">
        <f t="shared" si="5"/>
        <v>#VALUE!</v>
      </c>
      <c r="O13" s="351">
        <f t="shared" si="5"/>
        <v>2779.40625</v>
      </c>
      <c r="P13" s="351">
        <f t="shared" si="5"/>
        <v>0</v>
      </c>
      <c r="Q13" s="406"/>
      <c r="R13" s="382"/>
    </row>
    <row r="14" spans="1:18" s="313" customFormat="1" ht="23.25" customHeight="1">
      <c r="A14" s="380" t="s">
        <v>1000</v>
      </c>
      <c r="B14" s="395" t="s">
        <v>460</v>
      </c>
      <c r="C14" s="317"/>
      <c r="D14" s="317"/>
      <c r="E14" s="317"/>
      <c r="F14" s="317"/>
      <c r="G14" s="318"/>
      <c r="H14" s="317"/>
      <c r="I14" s="317"/>
      <c r="J14" s="317"/>
      <c r="K14" s="317"/>
      <c r="L14" s="317"/>
      <c r="M14" s="317"/>
      <c r="N14" s="317"/>
      <c r="O14" s="317"/>
      <c r="P14" s="317"/>
      <c r="Q14" s="406"/>
      <c r="R14" s="382"/>
    </row>
    <row r="15" spans="1:18" s="313" customFormat="1" ht="23.25" customHeight="1">
      <c r="A15" s="1112" t="s">
        <v>1008</v>
      </c>
      <c r="B15" s="1103" t="s">
        <v>668</v>
      </c>
      <c r="C15" s="1112" t="s">
        <v>532</v>
      </c>
      <c r="D15" s="354">
        <v>1</v>
      </c>
      <c r="E15" s="355" t="e">
        <f>(E28+E29+E30+E34+E36+E37+E39+E41)*0.3</f>
        <v>#VALUE!</v>
      </c>
      <c r="F15" s="355">
        <f>(F28+F29+F30+F34+F36+F37+F39+F41)*0.3</f>
        <v>5380.2</v>
      </c>
      <c r="G15" s="355">
        <f>G21+G28+G29+G30+G34+G35+G36+G37+G39+G40+G41+G42+G43</f>
        <v>0</v>
      </c>
      <c r="H15" s="370">
        <f>'Dcu-DKDD'!H28/8000*0.2</f>
        <v>6.929715581530449E-2</v>
      </c>
      <c r="I15" s="370">
        <f>'VL-DKDD'!$F$31/8000*0</f>
        <v>0</v>
      </c>
      <c r="J15" s="404">
        <f>'TB-DKDD'!$I$14/8000*0.2</f>
        <v>4.0994999999999998E-3</v>
      </c>
      <c r="K15" s="370">
        <f>'NL-DKDD'!$F$9/8000*0.2</f>
        <v>7.9642500000000008E-3</v>
      </c>
      <c r="L15" s="355" t="e">
        <f t="shared" ref="L15:L20" si="6">SUM(E15:K15)</f>
        <v>#VALUE!</v>
      </c>
      <c r="M15" s="355" t="e">
        <f>L15*'He so chung'!$D$17/100</f>
        <v>#VALUE!</v>
      </c>
      <c r="N15" s="355" t="e">
        <f t="shared" ref="N15:N20" si="7">L15+M15</f>
        <v>#VALUE!</v>
      </c>
      <c r="O15" s="355">
        <v>2188.59375</v>
      </c>
      <c r="P15" s="355">
        <f>P22+P23+P24+P26+P28+P29+P30+P34+P36+P37+P39+P41+P42+P43</f>
        <v>0</v>
      </c>
      <c r="Q15" s="406"/>
      <c r="R15" s="382"/>
    </row>
    <row r="16" spans="1:18" s="313" customFormat="1" ht="23.25" customHeight="1">
      <c r="A16" s="1112"/>
      <c r="B16" s="1104"/>
      <c r="C16" s="1112"/>
      <c r="D16" s="354">
        <v>2</v>
      </c>
      <c r="E16" s="355" t="e">
        <f>(E28+E29+E31+E34+E36+E37+E39+E41)*0.3</f>
        <v>#VALUE!</v>
      </c>
      <c r="F16" s="355">
        <f>(F28+F29+F31+F34+F36+F37+F39+F41)*0.3</f>
        <v>6174.0000000000009</v>
      </c>
      <c r="G16" s="355">
        <f>G21+G28+G29+G31+G34+G35+G36+G37+G39+G40+G41+G42+G43</f>
        <v>0</v>
      </c>
      <c r="H16" s="370">
        <f>'Dcu-DKDD'!H29/8000*0.2</f>
        <v>7.3373459098557706E-2</v>
      </c>
      <c r="I16" s="370">
        <f>'VL-DKDD'!$F$31/8000*0</f>
        <v>0</v>
      </c>
      <c r="J16" s="404">
        <f>'TB-DKDD'!$I$14/8000*0.2</f>
        <v>4.0994999999999998E-3</v>
      </c>
      <c r="K16" s="370">
        <f>'NL-DKDD'!$F$9/8000*0.2</f>
        <v>7.9642500000000008E-3</v>
      </c>
      <c r="L16" s="355" t="e">
        <f t="shared" si="6"/>
        <v>#VALUE!</v>
      </c>
      <c r="M16" s="355" t="e">
        <f>L16*'He so chung'!$D$17/100</f>
        <v>#VALUE!</v>
      </c>
      <c r="N16" s="355" t="e">
        <f t="shared" si="7"/>
        <v>#VALUE!</v>
      </c>
      <c r="O16" s="355">
        <v>2464.59375</v>
      </c>
      <c r="P16" s="355">
        <f>P22+P23+P24+P26+P28+P29+P31+P34+P36+P37+P39+P41+P42+P43</f>
        <v>0</v>
      </c>
      <c r="Q16" s="406"/>
      <c r="R16" s="382"/>
    </row>
    <row r="17" spans="1:18" s="313" customFormat="1" ht="23.25" customHeight="1">
      <c r="A17" s="1112"/>
      <c r="B17" s="1105"/>
      <c r="C17" s="1112"/>
      <c r="D17" s="354">
        <v>3</v>
      </c>
      <c r="E17" s="355" t="e">
        <f>(E28+E29+E32+E34+E36+E37+E39+E41)*0.3</f>
        <v>#VALUE!</v>
      </c>
      <c r="F17" s="355">
        <f>(F28+F29+F32+F34+F36+F37+F39+F41)*0.3</f>
        <v>7100.0999999999995</v>
      </c>
      <c r="G17" s="355">
        <f>G21+G28+G29+G32+G34+G35+G36+G37+G39+G40+G41+G42+G43</f>
        <v>0</v>
      </c>
      <c r="H17" s="370">
        <f>'Dcu-DKDD'!H30/8000*0.2</f>
        <v>8.1526065665064124E-2</v>
      </c>
      <c r="I17" s="370">
        <f>'VL-DKDD'!$F$31/8000*0</f>
        <v>0</v>
      </c>
      <c r="J17" s="404">
        <f>'TB-DKDD'!$I$14/8000*0.2</f>
        <v>4.0994999999999998E-3</v>
      </c>
      <c r="K17" s="370">
        <f>'NL-DKDD'!$F$9/8000*0.2</f>
        <v>7.9642500000000008E-3</v>
      </c>
      <c r="L17" s="355" t="e">
        <f t="shared" si="6"/>
        <v>#VALUE!</v>
      </c>
      <c r="M17" s="355" t="e">
        <f>L17*'He so chung'!$D$17/100</f>
        <v>#VALUE!</v>
      </c>
      <c r="N17" s="355" t="e">
        <f t="shared" si="7"/>
        <v>#VALUE!</v>
      </c>
      <c r="O17" s="355">
        <v>2779.40625</v>
      </c>
      <c r="P17" s="355">
        <f>P22+P23+P24+P26+P28+P29+P32+P34+P36+P37+P39+P41+P42+P43</f>
        <v>0</v>
      </c>
      <c r="Q17" s="406"/>
      <c r="R17" s="382"/>
    </row>
    <row r="18" spans="1:18" s="313" customFormat="1" ht="23.25" customHeight="1">
      <c r="A18" s="1113" t="s">
        <v>1009</v>
      </c>
      <c r="B18" s="1103" t="s">
        <v>669</v>
      </c>
      <c r="C18" s="1112" t="s">
        <v>532</v>
      </c>
      <c r="D18" s="354">
        <v>1</v>
      </c>
      <c r="E18" s="355" t="e">
        <f>(E28+E29+E30+E35+E36+E37+E40+E41)*0.3</f>
        <v>#VALUE!</v>
      </c>
      <c r="F18" s="355">
        <f>(F28+F29+F30+F35+F36+F37+F40+F41)*0.3</f>
        <v>5380.2</v>
      </c>
      <c r="G18" s="355">
        <f>G24+G31+G32+G33+G37+G38+G39+G40+G42+G43+G45+G47+G48</f>
        <v>0</v>
      </c>
      <c r="H18" s="370">
        <f>H15</f>
        <v>6.929715581530449E-2</v>
      </c>
      <c r="I18" s="370">
        <f>'VL-DKDD'!$F$31/8000*0</f>
        <v>0</v>
      </c>
      <c r="J18" s="404">
        <f>'TB-DKDD'!$I$14/8000*0.2</f>
        <v>4.0994999999999998E-3</v>
      </c>
      <c r="K18" s="370">
        <f>'NL-DKDD'!$F$9/8000*0.2</f>
        <v>7.9642500000000008E-3</v>
      </c>
      <c r="L18" s="355" t="e">
        <f t="shared" si="6"/>
        <v>#VALUE!</v>
      </c>
      <c r="M18" s="355" t="e">
        <f>L18*'He so chung'!$D$17/100</f>
        <v>#VALUE!</v>
      </c>
      <c r="N18" s="355" t="e">
        <f t="shared" si="7"/>
        <v>#VALUE!</v>
      </c>
      <c r="O18" s="355">
        <v>2188.59375</v>
      </c>
      <c r="P18" s="355">
        <f>P22+P23+P24+P27+P28+P29+P30+P35+P36+P37+P40+P41+P42+P43</f>
        <v>0</v>
      </c>
      <c r="Q18" s="406"/>
      <c r="R18" s="382"/>
    </row>
    <row r="19" spans="1:18" s="313" customFormat="1" ht="23.25" customHeight="1">
      <c r="A19" s="1114"/>
      <c r="B19" s="1104"/>
      <c r="C19" s="1112"/>
      <c r="D19" s="354">
        <v>2</v>
      </c>
      <c r="E19" s="355" t="e">
        <f>(E28+E29+E31+E34+E35+E36+E37+E40+E41)*0.3</f>
        <v>#VALUE!</v>
      </c>
      <c r="F19" s="355">
        <f>(F28+F29+F31+F34+F35+F36+F37+F40+F41)*0.3</f>
        <v>6174.0000000000009</v>
      </c>
      <c r="G19" s="355">
        <f>G24+G31+G32+G34+G37+G38+G39+G40+G42+G43+G45+G47+G48</f>
        <v>0</v>
      </c>
      <c r="H19" s="370">
        <f>H16</f>
        <v>7.3373459098557706E-2</v>
      </c>
      <c r="I19" s="370">
        <f>'VL-DKDD'!$F$31/8000*0</f>
        <v>0</v>
      </c>
      <c r="J19" s="404">
        <f>'TB-DKDD'!$I$14/8000*0.2</f>
        <v>4.0994999999999998E-3</v>
      </c>
      <c r="K19" s="370">
        <f>'NL-DKDD'!$F$9/8000*0.2</f>
        <v>7.9642500000000008E-3</v>
      </c>
      <c r="L19" s="355" t="e">
        <f t="shared" si="6"/>
        <v>#VALUE!</v>
      </c>
      <c r="M19" s="355" t="e">
        <f>L19*'He so chung'!$D$17/100</f>
        <v>#VALUE!</v>
      </c>
      <c r="N19" s="355" t="e">
        <f t="shared" si="7"/>
        <v>#VALUE!</v>
      </c>
      <c r="O19" s="355">
        <v>2464.59375</v>
      </c>
      <c r="P19" s="355">
        <f>P22+P23+P24+P27+P28+P29+P31+P35+P36+P37+P40+P41+P42+P43</f>
        <v>0</v>
      </c>
      <c r="Q19" s="406"/>
      <c r="R19" s="382"/>
    </row>
    <row r="20" spans="1:18" s="313" customFormat="1" ht="23.25" customHeight="1">
      <c r="A20" s="1115"/>
      <c r="B20" s="1105"/>
      <c r="C20" s="1112"/>
      <c r="D20" s="354">
        <v>3</v>
      </c>
      <c r="E20" s="355" t="e">
        <f>(E28+E29+E32+E34+E35+E36+E37+E40+E41)*0.3</f>
        <v>#VALUE!</v>
      </c>
      <c r="F20" s="355">
        <f>(F28+F29+F32+F34+F35+F36+F37+F40+F41)*0.3</f>
        <v>7100.0999999999995</v>
      </c>
      <c r="G20" s="355">
        <f>G24+G31+G32+G35+G37+G38+G39+G40+G42+G43+G45+G47+G48</f>
        <v>0</v>
      </c>
      <c r="H20" s="370">
        <f>H17</f>
        <v>8.1526065665064124E-2</v>
      </c>
      <c r="I20" s="370">
        <f>'VL-DKDD'!$F$31/8000*0</f>
        <v>0</v>
      </c>
      <c r="J20" s="404">
        <f>'TB-DKDD'!$I$14/8000*0.2</f>
        <v>4.0994999999999998E-3</v>
      </c>
      <c r="K20" s="370">
        <f>'NL-DKDD'!$F$9/8000*0.2</f>
        <v>7.9642500000000008E-3</v>
      </c>
      <c r="L20" s="355" t="e">
        <f t="shared" si="6"/>
        <v>#VALUE!</v>
      </c>
      <c r="M20" s="355" t="e">
        <f>L20*'He so chung'!$D$17/100</f>
        <v>#VALUE!</v>
      </c>
      <c r="N20" s="355" t="e">
        <f t="shared" si="7"/>
        <v>#VALUE!</v>
      </c>
      <c r="O20" s="355">
        <v>2779.40625</v>
      </c>
      <c r="P20" s="355">
        <f>P22+P23+P24+P27+P28+P29+P32+P35+P36+P37+P40+P41+P42+P43</f>
        <v>0</v>
      </c>
      <c r="Q20" s="406"/>
      <c r="R20" s="382"/>
    </row>
    <row r="21" spans="1:18" s="313" customFormat="1" ht="23.25" customHeight="1">
      <c r="A21" s="377">
        <v>1</v>
      </c>
      <c r="B21" s="376" t="s">
        <v>453</v>
      </c>
      <c r="C21" s="377"/>
      <c r="D21" s="377"/>
      <c r="E21" s="355"/>
      <c r="F21" s="355"/>
      <c r="G21" s="355"/>
      <c r="H21" s="370"/>
      <c r="I21" s="370"/>
      <c r="J21" s="370"/>
      <c r="K21" s="370"/>
      <c r="L21" s="355"/>
      <c r="M21" s="355"/>
      <c r="N21" s="355"/>
      <c r="O21" s="355"/>
      <c r="P21" s="355"/>
      <c r="Q21" s="406"/>
      <c r="R21" s="382"/>
    </row>
    <row r="22" spans="1:18" s="313" customFormat="1" ht="23.25" customHeight="1">
      <c r="A22" s="377" t="s">
        <v>733</v>
      </c>
      <c r="B22" s="376" t="s">
        <v>834</v>
      </c>
      <c r="C22" s="377" t="s">
        <v>261</v>
      </c>
      <c r="D22" s="378" t="s">
        <v>187</v>
      </c>
      <c r="E22" s="373" t="e">
        <f>NC_DKDD!H8/8000*10</f>
        <v>#VALUE!</v>
      </c>
      <c r="F22" s="373">
        <f>NC_DKDD!H9/8000*10</f>
        <v>367.5</v>
      </c>
      <c r="G22" s="359">
        <f>$R$1*10*Q22</f>
        <v>0</v>
      </c>
      <c r="H22" s="383"/>
      <c r="I22" s="370"/>
      <c r="J22" s="370"/>
      <c r="K22" s="370"/>
      <c r="L22" s="355"/>
      <c r="M22" s="355"/>
      <c r="N22" s="355"/>
      <c r="O22" s="355"/>
      <c r="P22" s="355">
        <f>Q22+R22</f>
        <v>0</v>
      </c>
      <c r="Q22" s="406"/>
      <c r="R22" s="382"/>
    </row>
    <row r="23" spans="1:18" s="313" customFormat="1" ht="23.25" customHeight="1">
      <c r="A23" s="377" t="s">
        <v>741</v>
      </c>
      <c r="B23" s="376" t="s">
        <v>837</v>
      </c>
      <c r="C23" s="377" t="s">
        <v>261</v>
      </c>
      <c r="D23" s="378" t="s">
        <v>187</v>
      </c>
      <c r="E23" s="373" t="e">
        <f>NC_DKDD!H10/8000</f>
        <v>#VALUE!</v>
      </c>
      <c r="F23" s="373"/>
      <c r="G23" s="359">
        <f t="shared" ref="G23:G87" si="8">$R$1*10*Q23</f>
        <v>0</v>
      </c>
      <c r="H23" s="383"/>
      <c r="I23" s="370"/>
      <c r="J23" s="370"/>
      <c r="K23" s="370"/>
      <c r="L23" s="355"/>
      <c r="M23" s="355"/>
      <c r="N23" s="355"/>
      <c r="O23" s="355"/>
      <c r="P23" s="355">
        <f t="shared" ref="P23:P87" si="9">Q23+R23</f>
        <v>0</v>
      </c>
      <c r="Q23" s="406"/>
      <c r="R23" s="382"/>
    </row>
    <row r="24" spans="1:18" s="313" customFormat="1" ht="23.25" customHeight="1">
      <c r="A24" s="377" t="s">
        <v>734</v>
      </c>
      <c r="B24" s="376" t="s">
        <v>840</v>
      </c>
      <c r="C24" s="377" t="s">
        <v>261</v>
      </c>
      <c r="D24" s="378" t="s">
        <v>187</v>
      </c>
      <c r="E24" s="373" t="e">
        <f>NC_DKDD!H11/8000*10</f>
        <v>#VALUE!</v>
      </c>
      <c r="F24" s="373">
        <f>NC_DKDD!H12/8000*10</f>
        <v>459.375</v>
      </c>
      <c r="G24" s="359">
        <f t="shared" si="8"/>
        <v>0</v>
      </c>
      <c r="H24" s="383"/>
      <c r="I24" s="370"/>
      <c r="J24" s="370"/>
      <c r="K24" s="370"/>
      <c r="L24" s="355"/>
      <c r="M24" s="355"/>
      <c r="N24" s="355"/>
      <c r="O24" s="355"/>
      <c r="P24" s="355">
        <f t="shared" si="9"/>
        <v>0</v>
      </c>
      <c r="Q24" s="406"/>
      <c r="R24" s="382"/>
    </row>
    <row r="25" spans="1:18" s="313" customFormat="1" ht="23.25" customHeight="1">
      <c r="A25" s="377" t="s">
        <v>843</v>
      </c>
      <c r="B25" s="376" t="s">
        <v>844</v>
      </c>
      <c r="C25" s="377"/>
      <c r="D25" s="377"/>
      <c r="E25" s="384"/>
      <c r="F25" s="373"/>
      <c r="G25" s="359">
        <f t="shared" si="8"/>
        <v>0</v>
      </c>
      <c r="H25" s="383"/>
      <c r="I25" s="370"/>
      <c r="J25" s="370"/>
      <c r="K25" s="370"/>
      <c r="L25" s="355"/>
      <c r="M25" s="355"/>
      <c r="N25" s="355"/>
      <c r="O25" s="355"/>
      <c r="P25" s="355">
        <f t="shared" si="9"/>
        <v>0</v>
      </c>
      <c r="Q25" s="406"/>
      <c r="R25" s="382"/>
    </row>
    <row r="26" spans="1:18" s="313" customFormat="1" ht="23.25" customHeight="1">
      <c r="A26" s="377" t="s">
        <v>845</v>
      </c>
      <c r="B26" s="376" t="s">
        <v>846</v>
      </c>
      <c r="C26" s="377" t="s">
        <v>261</v>
      </c>
      <c r="D26" s="378" t="s">
        <v>187</v>
      </c>
      <c r="E26" s="373" t="e">
        <f>NC_DKDD!H14</f>
        <v>#VALUE!</v>
      </c>
      <c r="F26" s="373"/>
      <c r="G26" s="359">
        <f t="shared" si="8"/>
        <v>0</v>
      </c>
      <c r="H26" s="383"/>
      <c r="I26" s="370"/>
      <c r="J26" s="370"/>
      <c r="K26" s="370"/>
      <c r="L26" s="355"/>
      <c r="M26" s="355"/>
      <c r="N26" s="355"/>
      <c r="O26" s="355"/>
      <c r="P26" s="355">
        <f t="shared" si="9"/>
        <v>0</v>
      </c>
      <c r="Q26" s="406"/>
      <c r="R26" s="382"/>
    </row>
    <row r="27" spans="1:18" s="313" customFormat="1" ht="23.25" customHeight="1">
      <c r="A27" s="377" t="s">
        <v>848</v>
      </c>
      <c r="B27" s="376" t="s">
        <v>849</v>
      </c>
      <c r="C27" s="377" t="s">
        <v>261</v>
      </c>
      <c r="D27" s="378" t="s">
        <v>187</v>
      </c>
      <c r="E27" s="373" t="e">
        <f>NC_DKDD!H15</f>
        <v>#VALUE!</v>
      </c>
      <c r="F27" s="373"/>
      <c r="G27" s="359">
        <f t="shared" si="8"/>
        <v>0</v>
      </c>
      <c r="H27" s="383"/>
      <c r="I27" s="370"/>
      <c r="J27" s="370"/>
      <c r="K27" s="370"/>
      <c r="L27" s="355"/>
      <c r="M27" s="355"/>
      <c r="N27" s="355"/>
      <c r="O27" s="355"/>
      <c r="P27" s="355">
        <f t="shared" si="9"/>
        <v>0</v>
      </c>
      <c r="Q27" s="406"/>
      <c r="R27" s="382"/>
    </row>
    <row r="28" spans="1:18" s="313" customFormat="1" ht="23.25" customHeight="1">
      <c r="A28" s="377">
        <v>2</v>
      </c>
      <c r="B28" s="376" t="s">
        <v>850</v>
      </c>
      <c r="C28" s="377" t="s">
        <v>261</v>
      </c>
      <c r="D28" s="378" t="s">
        <v>187</v>
      </c>
      <c r="E28" s="373" t="e">
        <f>NC_DKDD!H16</f>
        <v>#VALUE!</v>
      </c>
      <c r="F28" s="373"/>
      <c r="G28" s="359">
        <f t="shared" si="8"/>
        <v>0</v>
      </c>
      <c r="H28" s="383"/>
      <c r="I28" s="370"/>
      <c r="J28" s="370"/>
      <c r="K28" s="370"/>
      <c r="L28" s="355"/>
      <c r="M28" s="355"/>
      <c r="N28" s="355"/>
      <c r="O28" s="355"/>
      <c r="P28" s="355">
        <f t="shared" si="9"/>
        <v>0</v>
      </c>
      <c r="Q28" s="406"/>
      <c r="R28" s="382"/>
    </row>
    <row r="29" spans="1:18" s="313" customFormat="1" ht="23.25" customHeight="1">
      <c r="A29" s="377">
        <v>3</v>
      </c>
      <c r="B29" s="376" t="s">
        <v>851</v>
      </c>
      <c r="C29" s="377" t="s">
        <v>481</v>
      </c>
      <c r="D29" s="378" t="s">
        <v>187</v>
      </c>
      <c r="E29" s="373" t="e">
        <f>NC_DKDD!H17</f>
        <v>#VALUE!</v>
      </c>
      <c r="F29" s="373"/>
      <c r="G29" s="359">
        <f t="shared" si="8"/>
        <v>0</v>
      </c>
      <c r="H29" s="383"/>
      <c r="I29" s="370"/>
      <c r="J29" s="370"/>
      <c r="K29" s="370"/>
      <c r="L29" s="355"/>
      <c r="M29" s="355"/>
      <c r="N29" s="355"/>
      <c r="O29" s="355"/>
      <c r="P29" s="355">
        <f t="shared" si="9"/>
        <v>0</v>
      </c>
      <c r="Q29" s="406"/>
      <c r="R29" s="382"/>
    </row>
    <row r="30" spans="1:18" s="313" customFormat="1" ht="23.25" customHeight="1">
      <c r="A30" s="1116">
        <v>4</v>
      </c>
      <c r="B30" s="1117" t="s">
        <v>852</v>
      </c>
      <c r="C30" s="1116" t="s">
        <v>261</v>
      </c>
      <c r="D30" s="377">
        <v>1</v>
      </c>
      <c r="E30" s="373" t="e">
        <f>NC_DKDD!H18</f>
        <v>#VALUE!</v>
      </c>
      <c r="F30" s="373">
        <f>NC_DKDD!H19</f>
        <v>17934</v>
      </c>
      <c r="G30" s="359">
        <f t="shared" si="8"/>
        <v>0</v>
      </c>
      <c r="H30" s="383"/>
      <c r="I30" s="370"/>
      <c r="J30" s="370"/>
      <c r="K30" s="370"/>
      <c r="L30" s="355"/>
      <c r="M30" s="355"/>
      <c r="N30" s="355"/>
      <c r="O30" s="355"/>
      <c r="P30" s="355">
        <f t="shared" si="9"/>
        <v>0</v>
      </c>
      <c r="Q30" s="406"/>
      <c r="R30" s="382"/>
    </row>
    <row r="31" spans="1:18" s="313" customFormat="1" ht="23.25" customHeight="1">
      <c r="A31" s="1116"/>
      <c r="B31" s="1117"/>
      <c r="C31" s="1116"/>
      <c r="D31" s="377">
        <v>2</v>
      </c>
      <c r="E31" s="373" t="e">
        <f>NC_DKDD!H20</f>
        <v>#VALUE!</v>
      </c>
      <c r="F31" s="373">
        <f>NC_DKDD!H21</f>
        <v>20580.000000000004</v>
      </c>
      <c r="G31" s="359">
        <f t="shared" si="8"/>
        <v>0</v>
      </c>
      <c r="H31" s="383"/>
      <c r="I31" s="370"/>
      <c r="J31" s="370"/>
      <c r="K31" s="370"/>
      <c r="L31" s="355"/>
      <c r="M31" s="355"/>
      <c r="N31" s="355"/>
      <c r="O31" s="355"/>
      <c r="P31" s="355">
        <f t="shared" si="9"/>
        <v>0</v>
      </c>
      <c r="Q31" s="406"/>
      <c r="R31" s="382"/>
    </row>
    <row r="32" spans="1:18" s="313" customFormat="1" ht="23.25" customHeight="1">
      <c r="A32" s="1116"/>
      <c r="B32" s="1117"/>
      <c r="C32" s="1116"/>
      <c r="D32" s="377">
        <v>3</v>
      </c>
      <c r="E32" s="373" t="e">
        <f>NC_DKDD!H22</f>
        <v>#VALUE!</v>
      </c>
      <c r="F32" s="373">
        <f>NC_DKDD!H23</f>
        <v>23667</v>
      </c>
      <c r="G32" s="359">
        <f t="shared" si="8"/>
        <v>0</v>
      </c>
      <c r="H32" s="383"/>
      <c r="I32" s="370"/>
      <c r="J32" s="370"/>
      <c r="K32" s="370"/>
      <c r="L32" s="355"/>
      <c r="M32" s="355"/>
      <c r="N32" s="355"/>
      <c r="O32" s="355"/>
      <c r="P32" s="355">
        <f t="shared" si="9"/>
        <v>0</v>
      </c>
      <c r="Q32" s="406"/>
      <c r="R32" s="382"/>
    </row>
    <row r="33" spans="1:18" s="313" customFormat="1" ht="23.25" customHeight="1">
      <c r="A33" s="377">
        <v>5</v>
      </c>
      <c r="B33" s="376" t="s">
        <v>579</v>
      </c>
      <c r="C33" s="377"/>
      <c r="D33" s="377"/>
      <c r="E33" s="384"/>
      <c r="F33" s="373"/>
      <c r="G33" s="359">
        <f t="shared" si="8"/>
        <v>0</v>
      </c>
      <c r="H33" s="383"/>
      <c r="I33" s="370"/>
      <c r="J33" s="370"/>
      <c r="K33" s="370"/>
      <c r="L33" s="355"/>
      <c r="M33" s="355"/>
      <c r="N33" s="355"/>
      <c r="O33" s="355"/>
      <c r="P33" s="355">
        <f t="shared" si="9"/>
        <v>0</v>
      </c>
      <c r="Q33" s="406"/>
      <c r="R33" s="382"/>
    </row>
    <row r="34" spans="1:18" s="313" customFormat="1" ht="23.25" customHeight="1">
      <c r="A34" s="377" t="s">
        <v>461</v>
      </c>
      <c r="B34" s="376" t="s">
        <v>846</v>
      </c>
      <c r="C34" s="377" t="s">
        <v>261</v>
      </c>
      <c r="D34" s="378" t="s">
        <v>187</v>
      </c>
      <c r="E34" s="373" t="e">
        <f>NC_DKDD!H25</f>
        <v>#VALUE!</v>
      </c>
      <c r="F34" s="373"/>
      <c r="G34" s="359">
        <f t="shared" si="8"/>
        <v>0</v>
      </c>
      <c r="H34" s="383"/>
      <c r="I34" s="370"/>
      <c r="J34" s="370"/>
      <c r="K34" s="370"/>
      <c r="L34" s="355"/>
      <c r="M34" s="355"/>
      <c r="N34" s="355"/>
      <c r="O34" s="355"/>
      <c r="P34" s="355">
        <f t="shared" si="9"/>
        <v>0</v>
      </c>
      <c r="Q34" s="406"/>
      <c r="R34" s="382"/>
    </row>
    <row r="35" spans="1:18" s="313" customFormat="1" ht="23.25" customHeight="1">
      <c r="A35" s="377" t="s">
        <v>462</v>
      </c>
      <c r="B35" s="376" t="s">
        <v>849</v>
      </c>
      <c r="C35" s="377" t="s">
        <v>261</v>
      </c>
      <c r="D35" s="378" t="s">
        <v>187</v>
      </c>
      <c r="E35" s="373" t="e">
        <f>NC_DKDD!H26</f>
        <v>#VALUE!</v>
      </c>
      <c r="F35" s="373"/>
      <c r="G35" s="359">
        <f t="shared" si="8"/>
        <v>0</v>
      </c>
      <c r="H35" s="383"/>
      <c r="I35" s="370"/>
      <c r="J35" s="370"/>
      <c r="K35" s="370"/>
      <c r="L35" s="355"/>
      <c r="M35" s="355"/>
      <c r="N35" s="355"/>
      <c r="O35" s="355"/>
      <c r="P35" s="355">
        <f t="shared" si="9"/>
        <v>0</v>
      </c>
      <c r="Q35" s="406"/>
      <c r="R35" s="382"/>
    </row>
    <row r="36" spans="1:18" s="313" customFormat="1" ht="23.25" customHeight="1">
      <c r="A36" s="377">
        <v>6</v>
      </c>
      <c r="B36" s="376" t="s">
        <v>580</v>
      </c>
      <c r="C36" s="377" t="s">
        <v>481</v>
      </c>
      <c r="D36" s="378" t="s">
        <v>187</v>
      </c>
      <c r="E36" s="373" t="e">
        <f>NC_DKDD!H27</f>
        <v>#VALUE!</v>
      </c>
      <c r="F36" s="373"/>
      <c r="G36" s="359">
        <f t="shared" si="8"/>
        <v>0</v>
      </c>
      <c r="H36" s="383"/>
      <c r="I36" s="370"/>
      <c r="J36" s="370"/>
      <c r="K36" s="370"/>
      <c r="L36" s="355"/>
      <c r="M36" s="355"/>
      <c r="N36" s="355"/>
      <c r="O36" s="355"/>
      <c r="P36" s="355">
        <f t="shared" si="9"/>
        <v>0</v>
      </c>
      <c r="Q36" s="406"/>
      <c r="R36" s="382"/>
    </row>
    <row r="37" spans="1:18" s="313" customFormat="1" ht="23.25" customHeight="1">
      <c r="A37" s="377">
        <v>7</v>
      </c>
      <c r="B37" s="376" t="s">
        <v>148</v>
      </c>
      <c r="C37" s="377" t="s">
        <v>261</v>
      </c>
      <c r="D37" s="378" t="s">
        <v>187</v>
      </c>
      <c r="E37" s="373" t="e">
        <f>NC_DKDD!H28</f>
        <v>#VALUE!</v>
      </c>
      <c r="F37" s="373"/>
      <c r="G37" s="359">
        <f t="shared" si="8"/>
        <v>0</v>
      </c>
      <c r="H37" s="383"/>
      <c r="I37" s="370"/>
      <c r="J37" s="370"/>
      <c r="K37" s="370"/>
      <c r="L37" s="355"/>
      <c r="M37" s="355"/>
      <c r="N37" s="355"/>
      <c r="O37" s="355"/>
      <c r="P37" s="355">
        <f t="shared" si="9"/>
        <v>0</v>
      </c>
      <c r="Q37" s="406"/>
      <c r="R37" s="382"/>
    </row>
    <row r="38" spans="1:18" s="313" customFormat="1" ht="23.25" customHeight="1">
      <c r="A38" s="377">
        <v>8</v>
      </c>
      <c r="B38" s="376" t="s">
        <v>167</v>
      </c>
      <c r="C38" s="377"/>
      <c r="D38" s="377"/>
      <c r="E38" s="373">
        <f>NC_DKDD!H29</f>
        <v>0</v>
      </c>
      <c r="F38" s="373"/>
      <c r="G38" s="359">
        <f t="shared" si="8"/>
        <v>0</v>
      </c>
      <c r="H38" s="383"/>
      <c r="I38" s="370"/>
      <c r="J38" s="370"/>
      <c r="K38" s="370"/>
      <c r="L38" s="355"/>
      <c r="M38" s="355"/>
      <c r="N38" s="355"/>
      <c r="O38" s="355"/>
      <c r="P38" s="355">
        <f t="shared" si="9"/>
        <v>0</v>
      </c>
      <c r="Q38" s="406"/>
      <c r="R38" s="382"/>
    </row>
    <row r="39" spans="1:18" s="313" customFormat="1" ht="23.25" customHeight="1">
      <c r="A39" s="377" t="s">
        <v>191</v>
      </c>
      <c r="B39" s="376" t="s">
        <v>846</v>
      </c>
      <c r="C39" s="377" t="s">
        <v>261</v>
      </c>
      <c r="D39" s="378" t="s">
        <v>187</v>
      </c>
      <c r="E39" s="373" t="e">
        <f>NC_DKDD!H30</f>
        <v>#VALUE!</v>
      </c>
      <c r="F39" s="373"/>
      <c r="G39" s="359">
        <f t="shared" si="8"/>
        <v>0</v>
      </c>
      <c r="H39" s="383"/>
      <c r="I39" s="370"/>
      <c r="J39" s="370"/>
      <c r="K39" s="370"/>
      <c r="L39" s="355"/>
      <c r="M39" s="355"/>
      <c r="N39" s="355"/>
      <c r="O39" s="355"/>
      <c r="P39" s="355">
        <f t="shared" si="9"/>
        <v>0</v>
      </c>
      <c r="Q39" s="406"/>
      <c r="R39" s="382"/>
    </row>
    <row r="40" spans="1:18" s="313" customFormat="1" ht="23.25" customHeight="1">
      <c r="A40" s="377" t="s">
        <v>192</v>
      </c>
      <c r="B40" s="376" t="s">
        <v>849</v>
      </c>
      <c r="C40" s="377" t="s">
        <v>261</v>
      </c>
      <c r="D40" s="378" t="s">
        <v>187</v>
      </c>
      <c r="E40" s="373" t="e">
        <f>NC_DKDD!H31</f>
        <v>#VALUE!</v>
      </c>
      <c r="F40" s="373"/>
      <c r="G40" s="359">
        <f t="shared" si="8"/>
        <v>0</v>
      </c>
      <c r="H40" s="383"/>
      <c r="I40" s="370"/>
      <c r="J40" s="370"/>
      <c r="K40" s="370"/>
      <c r="L40" s="355"/>
      <c r="M40" s="355"/>
      <c r="N40" s="355"/>
      <c r="O40" s="355"/>
      <c r="P40" s="355">
        <f t="shared" si="9"/>
        <v>0</v>
      </c>
      <c r="Q40" s="406"/>
      <c r="R40" s="382"/>
    </row>
    <row r="41" spans="1:18" s="313" customFormat="1" ht="23.25" customHeight="1">
      <c r="A41" s="377">
        <v>9</v>
      </c>
      <c r="B41" s="376" t="s">
        <v>149</v>
      </c>
      <c r="C41" s="377" t="s">
        <v>261</v>
      </c>
      <c r="D41" s="378" t="s">
        <v>187</v>
      </c>
      <c r="E41" s="373" t="e">
        <f>NC_DKDD!H32</f>
        <v>#VALUE!</v>
      </c>
      <c r="F41" s="373"/>
      <c r="G41" s="359">
        <f t="shared" si="8"/>
        <v>0</v>
      </c>
      <c r="H41" s="383"/>
      <c r="I41" s="370"/>
      <c r="J41" s="370"/>
      <c r="K41" s="370"/>
      <c r="L41" s="355"/>
      <c r="M41" s="355"/>
      <c r="N41" s="355"/>
      <c r="O41" s="355"/>
      <c r="P41" s="355">
        <f t="shared" si="9"/>
        <v>0</v>
      </c>
      <c r="Q41" s="406"/>
      <c r="R41" s="382"/>
    </row>
    <row r="42" spans="1:18" s="313" customFormat="1" ht="48.75" customHeight="1">
      <c r="A42" s="377">
        <v>10</v>
      </c>
      <c r="B42" s="376" t="s">
        <v>150</v>
      </c>
      <c r="C42" s="377" t="s">
        <v>261</v>
      </c>
      <c r="D42" s="378" t="s">
        <v>187</v>
      </c>
      <c r="E42" s="373" t="e">
        <f>NC_DKDD!H33</f>
        <v>#VALUE!</v>
      </c>
      <c r="F42" s="373"/>
      <c r="G42" s="359">
        <f t="shared" si="8"/>
        <v>0</v>
      </c>
      <c r="H42" s="383"/>
      <c r="I42" s="370"/>
      <c r="J42" s="370"/>
      <c r="K42" s="370"/>
      <c r="L42" s="355"/>
      <c r="M42" s="355"/>
      <c r="N42" s="355"/>
      <c r="O42" s="355"/>
      <c r="P42" s="355">
        <f t="shared" si="9"/>
        <v>0</v>
      </c>
      <c r="Q42" s="406"/>
      <c r="R42" s="382"/>
    </row>
    <row r="43" spans="1:18" s="313" customFormat="1" ht="41.25" customHeight="1">
      <c r="A43" s="377">
        <v>11</v>
      </c>
      <c r="B43" s="376" t="s">
        <v>581</v>
      </c>
      <c r="C43" s="377" t="s">
        <v>261</v>
      </c>
      <c r="D43" s="378" t="s">
        <v>187</v>
      </c>
      <c r="E43" s="373" t="e">
        <f>NC_DKDD!H34</f>
        <v>#VALUE!</v>
      </c>
      <c r="F43" s="373"/>
      <c r="G43" s="359">
        <f t="shared" si="8"/>
        <v>0</v>
      </c>
      <c r="H43" s="383"/>
      <c r="I43" s="370"/>
      <c r="J43" s="370"/>
      <c r="K43" s="370"/>
      <c r="L43" s="355"/>
      <c r="M43" s="355"/>
      <c r="N43" s="355"/>
      <c r="O43" s="355"/>
      <c r="P43" s="355">
        <f t="shared" si="9"/>
        <v>0</v>
      </c>
      <c r="Q43" s="406"/>
      <c r="R43" s="382"/>
    </row>
    <row r="44" spans="1:18" s="313" customFormat="1" ht="23.25" customHeight="1">
      <c r="A44" s="377"/>
      <c r="B44" s="379" t="s">
        <v>582</v>
      </c>
      <c r="C44" s="377"/>
      <c r="D44" s="378"/>
      <c r="E44" s="373"/>
      <c r="F44" s="373"/>
      <c r="G44" s="359"/>
      <c r="H44" s="383"/>
      <c r="I44" s="370"/>
      <c r="J44" s="370"/>
      <c r="K44" s="370"/>
      <c r="L44" s="355"/>
      <c r="M44" s="355"/>
      <c r="N44" s="355"/>
      <c r="O44" s="355"/>
      <c r="P44" s="355"/>
      <c r="Q44" s="319">
        <f>'He so chung'!D$23</f>
        <v>801.92307692307691</v>
      </c>
      <c r="R44" s="320"/>
    </row>
    <row r="45" spans="1:18" s="313" customFormat="1" ht="23.25" customHeight="1">
      <c r="A45" s="381" t="s">
        <v>1010</v>
      </c>
      <c r="B45" s="379" t="s">
        <v>668</v>
      </c>
      <c r="C45" s="377" t="s">
        <v>261</v>
      </c>
      <c r="D45" s="378" t="s">
        <v>187</v>
      </c>
      <c r="E45" s="403" t="e">
        <f>(E48+E51+E52+E54+E62)*0.3</f>
        <v>#VALUE!</v>
      </c>
      <c r="F45" s="403">
        <f>(F48+F51+F52+F54+F62)*0.3</f>
        <v>0</v>
      </c>
      <c r="G45" s="359">
        <f t="shared" si="8"/>
        <v>0</v>
      </c>
      <c r="H45" s="383">
        <f>'Dcu-DKDD'!J28/8000*0.3</f>
        <v>9.4473738852163452E-2</v>
      </c>
      <c r="I45" s="370">
        <f>'VL-DKDD'!H31/8000*0</f>
        <v>0</v>
      </c>
      <c r="J45" s="370">
        <f>'TB-DKDD'!K14/8000*0.3</f>
        <v>8.289524999999999E-2</v>
      </c>
      <c r="K45" s="370">
        <f>'NL-DKDD'!H9/8000*0.3</f>
        <v>0.16270379999999998</v>
      </c>
      <c r="L45" s="355" t="e">
        <f>SUM(E45:K45)</f>
        <v>#VALUE!</v>
      </c>
      <c r="M45" s="355" t="e">
        <f>L45*'He so chung'!$D$17/100</f>
        <v>#VALUE!</v>
      </c>
      <c r="N45" s="355" t="e">
        <f>L45+M45</f>
        <v>#VALUE!</v>
      </c>
      <c r="O45" s="355"/>
      <c r="P45" s="403">
        <f>P48+P50+P51+P52+P54+P58+P60+P62+P63+P65+P67+P68+P69+P72+P73+P74+P75+P76+P77</f>
        <v>0</v>
      </c>
      <c r="Q45" s="319"/>
      <c r="R45" s="320"/>
    </row>
    <row r="46" spans="1:18" s="313" customFormat="1" ht="23.25" customHeight="1">
      <c r="A46" s="381" t="s">
        <v>1011</v>
      </c>
      <c r="B46" s="379" t="s">
        <v>669</v>
      </c>
      <c r="C46" s="377" t="s">
        <v>261</v>
      </c>
      <c r="D46" s="378" t="s">
        <v>187</v>
      </c>
      <c r="E46" s="403" t="e">
        <f>(E49+E51+E52+E54+E62)*0.3</f>
        <v>#VALUE!</v>
      </c>
      <c r="F46" s="403">
        <f>(F49+F51+F52+F54+F62)*0.3</f>
        <v>0</v>
      </c>
      <c r="G46" s="359"/>
      <c r="H46" s="383">
        <f>H45</f>
        <v>9.4473738852163452E-2</v>
      </c>
      <c r="I46" s="370">
        <f t="shared" ref="I46:O46" si="10">I45</f>
        <v>0</v>
      </c>
      <c r="J46" s="370">
        <f>J45</f>
        <v>8.289524999999999E-2</v>
      </c>
      <c r="K46" s="370">
        <f>K45</f>
        <v>0.16270379999999998</v>
      </c>
      <c r="L46" s="373" t="e">
        <f t="shared" si="10"/>
        <v>#VALUE!</v>
      </c>
      <c r="M46" s="373" t="e">
        <f t="shared" si="10"/>
        <v>#VALUE!</v>
      </c>
      <c r="N46" s="373" t="e">
        <f t="shared" si="10"/>
        <v>#VALUE!</v>
      </c>
      <c r="O46" s="383">
        <f t="shared" si="10"/>
        <v>0</v>
      </c>
      <c r="P46" s="403">
        <f>P49+P50+P51+P52+P54+P57+P61+P62+P63+P65+P67+P68+P69+P72+P73+P74+P75+P76+P77</f>
        <v>0</v>
      </c>
      <c r="Q46" s="319"/>
      <c r="R46" s="320"/>
    </row>
    <row r="47" spans="1:18" s="313" customFormat="1" ht="23.25" customHeight="1">
      <c r="A47" s="377">
        <v>1</v>
      </c>
      <c r="B47" s="376" t="s">
        <v>583</v>
      </c>
      <c r="C47" s="377"/>
      <c r="D47" s="377"/>
      <c r="E47" s="373"/>
      <c r="F47" s="373"/>
      <c r="G47" s="359">
        <f t="shared" si="8"/>
        <v>0</v>
      </c>
      <c r="H47" s="383"/>
      <c r="I47" s="370"/>
      <c r="J47" s="370"/>
      <c r="K47" s="370"/>
      <c r="L47" s="355"/>
      <c r="M47" s="355"/>
      <c r="N47" s="355"/>
      <c r="O47" s="355"/>
      <c r="P47" s="355">
        <f t="shared" si="9"/>
        <v>0</v>
      </c>
      <c r="Q47" s="319"/>
      <c r="R47" s="320"/>
    </row>
    <row r="48" spans="1:18" s="313" customFormat="1" ht="23.25" customHeight="1">
      <c r="A48" s="377" t="s">
        <v>733</v>
      </c>
      <c r="B48" s="376" t="s">
        <v>846</v>
      </c>
      <c r="C48" s="377" t="s">
        <v>261</v>
      </c>
      <c r="D48" s="378" t="s">
        <v>187</v>
      </c>
      <c r="E48" s="373" t="e">
        <f>NC_DKDD!H37</f>
        <v>#VALUE!</v>
      </c>
      <c r="F48" s="373"/>
      <c r="G48" s="359">
        <f t="shared" si="8"/>
        <v>0</v>
      </c>
      <c r="H48" s="383"/>
      <c r="I48" s="370"/>
      <c r="J48" s="370"/>
      <c r="K48" s="370"/>
      <c r="L48" s="355"/>
      <c r="M48" s="355"/>
      <c r="N48" s="355"/>
      <c r="O48" s="355"/>
      <c r="P48" s="355">
        <f t="shared" si="9"/>
        <v>0</v>
      </c>
      <c r="Q48" s="319"/>
      <c r="R48" s="320"/>
    </row>
    <row r="49" spans="1:18" s="313" customFormat="1" ht="23.25" customHeight="1">
      <c r="A49" s="377" t="s">
        <v>741</v>
      </c>
      <c r="B49" s="376" t="s">
        <v>849</v>
      </c>
      <c r="C49" s="377" t="s">
        <v>261</v>
      </c>
      <c r="D49" s="378" t="s">
        <v>187</v>
      </c>
      <c r="E49" s="373" t="e">
        <f>NC_DKDD!H38</f>
        <v>#VALUE!</v>
      </c>
      <c r="F49" s="373"/>
      <c r="G49" s="359">
        <f t="shared" si="8"/>
        <v>0</v>
      </c>
      <c r="H49" s="383"/>
      <c r="I49" s="370"/>
      <c r="J49" s="370"/>
      <c r="K49" s="370"/>
      <c r="L49" s="355"/>
      <c r="M49" s="355"/>
      <c r="N49" s="355"/>
      <c r="O49" s="355"/>
      <c r="P49" s="355">
        <f t="shared" si="9"/>
        <v>0</v>
      </c>
      <c r="Q49" s="319"/>
      <c r="R49" s="320"/>
    </row>
    <row r="50" spans="1:18" s="313" customFormat="1" ht="23.25" customHeight="1">
      <c r="A50" s="377">
        <v>2</v>
      </c>
      <c r="B50" s="376" t="s">
        <v>584</v>
      </c>
      <c r="C50" s="377" t="s">
        <v>261</v>
      </c>
      <c r="D50" s="378" t="s">
        <v>187</v>
      </c>
      <c r="E50" s="373" t="e">
        <f>NC_DKDD!H39</f>
        <v>#VALUE!</v>
      </c>
      <c r="F50" s="373"/>
      <c r="G50" s="359">
        <f t="shared" si="8"/>
        <v>0</v>
      </c>
      <c r="H50" s="383"/>
      <c r="I50" s="370"/>
      <c r="J50" s="370"/>
      <c r="K50" s="370"/>
      <c r="L50" s="355"/>
      <c r="M50" s="355"/>
      <c r="N50" s="355"/>
      <c r="O50" s="355"/>
      <c r="P50" s="355">
        <f t="shared" si="9"/>
        <v>0</v>
      </c>
      <c r="Q50" s="319"/>
      <c r="R50" s="320"/>
    </row>
    <row r="51" spans="1:18" s="313" customFormat="1" ht="23.25" customHeight="1">
      <c r="A51" s="377">
        <v>3</v>
      </c>
      <c r="B51" s="376" t="s">
        <v>585</v>
      </c>
      <c r="C51" s="377" t="s">
        <v>261</v>
      </c>
      <c r="D51" s="378" t="s">
        <v>187</v>
      </c>
      <c r="E51" s="373" t="e">
        <f>NC_DKDD!H40</f>
        <v>#VALUE!</v>
      </c>
      <c r="F51" s="373"/>
      <c r="G51" s="359">
        <f t="shared" si="8"/>
        <v>0</v>
      </c>
      <c r="H51" s="383"/>
      <c r="I51" s="370"/>
      <c r="J51" s="370"/>
      <c r="K51" s="370"/>
      <c r="L51" s="355"/>
      <c r="M51" s="355"/>
      <c r="N51" s="355"/>
      <c r="O51" s="355"/>
      <c r="P51" s="355">
        <f t="shared" si="9"/>
        <v>0</v>
      </c>
      <c r="Q51" s="319"/>
      <c r="R51" s="320"/>
    </row>
    <row r="52" spans="1:18" s="313" customFormat="1" ht="23.25" customHeight="1">
      <c r="A52" s="377">
        <v>4</v>
      </c>
      <c r="B52" s="376" t="s">
        <v>2</v>
      </c>
      <c r="C52" s="377" t="s">
        <v>481</v>
      </c>
      <c r="D52" s="378" t="s">
        <v>187</v>
      </c>
      <c r="E52" s="373" t="e">
        <f>NC_DKDD!H41</f>
        <v>#VALUE!</v>
      </c>
      <c r="F52" s="373"/>
      <c r="G52" s="359">
        <f t="shared" si="8"/>
        <v>0</v>
      </c>
      <c r="H52" s="383"/>
      <c r="I52" s="370"/>
      <c r="J52" s="370"/>
      <c r="K52" s="370"/>
      <c r="L52" s="355"/>
      <c r="M52" s="355"/>
      <c r="N52" s="355"/>
      <c r="O52" s="355"/>
      <c r="P52" s="355">
        <f t="shared" si="9"/>
        <v>0</v>
      </c>
      <c r="Q52" s="319"/>
      <c r="R52" s="320"/>
    </row>
    <row r="53" spans="1:18" s="313" customFormat="1" ht="23.25" customHeight="1">
      <c r="A53" s="377">
        <v>5</v>
      </c>
      <c r="B53" s="376" t="s">
        <v>23</v>
      </c>
      <c r="C53" s="377"/>
      <c r="D53" s="387"/>
      <c r="E53" s="373">
        <f>NC_DKDD!H42</f>
        <v>0</v>
      </c>
      <c r="F53" s="373"/>
      <c r="G53" s="359">
        <f t="shared" si="8"/>
        <v>0</v>
      </c>
      <c r="H53" s="383"/>
      <c r="I53" s="370"/>
      <c r="J53" s="370"/>
      <c r="K53" s="370"/>
      <c r="L53" s="355"/>
      <c r="M53" s="355"/>
      <c r="N53" s="355"/>
      <c r="O53" s="355"/>
      <c r="P53" s="355">
        <f t="shared" si="9"/>
        <v>0</v>
      </c>
      <c r="Q53" s="319"/>
      <c r="R53" s="320"/>
    </row>
    <row r="54" spans="1:18" s="313" customFormat="1" ht="23.25" customHeight="1">
      <c r="A54" s="377" t="s">
        <v>461</v>
      </c>
      <c r="B54" s="376" t="s">
        <v>587</v>
      </c>
      <c r="C54" s="377" t="s">
        <v>481</v>
      </c>
      <c r="D54" s="378" t="s">
        <v>187</v>
      </c>
      <c r="E54" s="373" t="e">
        <f>NC_DKDD!H43</f>
        <v>#VALUE!</v>
      </c>
      <c r="F54" s="373"/>
      <c r="G54" s="359">
        <f t="shared" si="8"/>
        <v>0</v>
      </c>
      <c r="H54" s="383"/>
      <c r="I54" s="370"/>
      <c r="J54" s="370"/>
      <c r="K54" s="370"/>
      <c r="L54" s="355"/>
      <c r="M54" s="355"/>
      <c r="N54" s="355"/>
      <c r="O54" s="355"/>
      <c r="P54" s="355">
        <f t="shared" si="9"/>
        <v>0</v>
      </c>
      <c r="Q54" s="319"/>
      <c r="R54" s="320"/>
    </row>
    <row r="55" spans="1:18" s="313" customFormat="1" ht="23.25" customHeight="1">
      <c r="A55" s="377" t="s">
        <v>462</v>
      </c>
      <c r="B55" s="376" t="s">
        <v>588</v>
      </c>
      <c r="C55" s="377" t="s">
        <v>481</v>
      </c>
      <c r="D55" s="378" t="s">
        <v>187</v>
      </c>
      <c r="E55" s="373" t="e">
        <f>NC_DKDD!H44</f>
        <v>#VALUE!</v>
      </c>
      <c r="F55" s="373"/>
      <c r="G55" s="359">
        <f t="shared" si="8"/>
        <v>0</v>
      </c>
      <c r="H55" s="383"/>
      <c r="I55" s="370"/>
      <c r="J55" s="370"/>
      <c r="K55" s="370"/>
      <c r="L55" s="355"/>
      <c r="M55" s="355"/>
      <c r="N55" s="355"/>
      <c r="O55" s="355"/>
      <c r="P55" s="355">
        <f t="shared" si="9"/>
        <v>0</v>
      </c>
      <c r="Q55" s="319"/>
      <c r="R55" s="320"/>
    </row>
    <row r="56" spans="1:18" s="313" customFormat="1" ht="23.25" customHeight="1">
      <c r="A56" s="377">
        <v>6</v>
      </c>
      <c r="B56" s="376" t="s">
        <v>589</v>
      </c>
      <c r="C56" s="377"/>
      <c r="D56" s="377"/>
      <c r="E56" s="373">
        <f>NC_DKDD!H45</f>
        <v>0</v>
      </c>
      <c r="F56" s="373"/>
      <c r="G56" s="359">
        <f t="shared" si="8"/>
        <v>0</v>
      </c>
      <c r="H56" s="383"/>
      <c r="I56" s="370"/>
      <c r="J56" s="370"/>
      <c r="K56" s="370"/>
      <c r="L56" s="355"/>
      <c r="M56" s="355"/>
      <c r="N56" s="355"/>
      <c r="O56" s="355"/>
      <c r="P56" s="355">
        <f t="shared" si="9"/>
        <v>0</v>
      </c>
      <c r="Q56" s="319"/>
      <c r="R56" s="320"/>
    </row>
    <row r="57" spans="1:18" s="313" customFormat="1" ht="23.25" customHeight="1">
      <c r="A57" s="377" t="s">
        <v>661</v>
      </c>
      <c r="B57" s="376" t="s">
        <v>590</v>
      </c>
      <c r="C57" s="377" t="s">
        <v>261</v>
      </c>
      <c r="D57" s="378" t="s">
        <v>187</v>
      </c>
      <c r="E57" s="373" t="e">
        <f>NC_DKDD!H46</f>
        <v>#VALUE!</v>
      </c>
      <c r="F57" s="373"/>
      <c r="G57" s="359">
        <f t="shared" si="8"/>
        <v>0</v>
      </c>
      <c r="H57" s="383"/>
      <c r="I57" s="370"/>
      <c r="J57" s="370"/>
      <c r="K57" s="370"/>
      <c r="L57" s="355"/>
      <c r="M57" s="355"/>
      <c r="N57" s="355"/>
      <c r="O57" s="355"/>
      <c r="P57" s="355">
        <f t="shared" si="9"/>
        <v>0</v>
      </c>
      <c r="Q57" s="319"/>
      <c r="R57" s="320"/>
    </row>
    <row r="58" spans="1:18" s="313" customFormat="1" ht="23.25" customHeight="1">
      <c r="A58" s="377" t="s">
        <v>662</v>
      </c>
      <c r="B58" s="376" t="s">
        <v>591</v>
      </c>
      <c r="C58" s="377" t="s">
        <v>261</v>
      </c>
      <c r="D58" s="378" t="s">
        <v>187</v>
      </c>
      <c r="E58" s="373" t="e">
        <f>NC_DKDD!H47</f>
        <v>#VALUE!</v>
      </c>
      <c r="F58" s="373"/>
      <c r="G58" s="359">
        <f t="shared" si="8"/>
        <v>0</v>
      </c>
      <c r="H58" s="383"/>
      <c r="I58" s="370"/>
      <c r="J58" s="370"/>
      <c r="K58" s="370"/>
      <c r="L58" s="355"/>
      <c r="M58" s="355"/>
      <c r="N58" s="355"/>
      <c r="O58" s="355"/>
      <c r="P58" s="355">
        <f t="shared" si="9"/>
        <v>0</v>
      </c>
      <c r="Q58" s="319"/>
      <c r="R58" s="320"/>
    </row>
    <row r="59" spans="1:18" s="313" customFormat="1" ht="23.25" customHeight="1">
      <c r="A59" s="377">
        <v>7</v>
      </c>
      <c r="B59" s="376" t="s">
        <v>592</v>
      </c>
      <c r="C59" s="377"/>
      <c r="D59" s="377"/>
      <c r="E59" s="373">
        <f>NC_DKDD!H48</f>
        <v>0</v>
      </c>
      <c r="F59" s="373"/>
      <c r="G59" s="359">
        <f t="shared" si="8"/>
        <v>0</v>
      </c>
      <c r="H59" s="383"/>
      <c r="I59" s="370"/>
      <c r="J59" s="370"/>
      <c r="K59" s="370"/>
      <c r="L59" s="355"/>
      <c r="M59" s="355"/>
      <c r="N59" s="355"/>
      <c r="O59" s="355"/>
      <c r="P59" s="355">
        <f t="shared" si="9"/>
        <v>0</v>
      </c>
      <c r="Q59" s="319"/>
      <c r="R59" s="320"/>
    </row>
    <row r="60" spans="1:18" s="313" customFormat="1" ht="23.25" customHeight="1">
      <c r="A60" s="377" t="s">
        <v>714</v>
      </c>
      <c r="B60" s="376" t="s">
        <v>593</v>
      </c>
      <c r="C60" s="377" t="s">
        <v>261</v>
      </c>
      <c r="D60" s="378" t="s">
        <v>187</v>
      </c>
      <c r="E60" s="373" t="e">
        <f>NC_DKDD!H49</f>
        <v>#VALUE!</v>
      </c>
      <c r="F60" s="373"/>
      <c r="G60" s="359">
        <f t="shared" si="8"/>
        <v>0</v>
      </c>
      <c r="H60" s="383"/>
      <c r="I60" s="370"/>
      <c r="J60" s="370"/>
      <c r="K60" s="370"/>
      <c r="L60" s="355"/>
      <c r="M60" s="355"/>
      <c r="N60" s="355"/>
      <c r="O60" s="355"/>
      <c r="P60" s="355">
        <f t="shared" si="9"/>
        <v>0</v>
      </c>
      <c r="Q60" s="319"/>
      <c r="R60" s="320"/>
    </row>
    <row r="61" spans="1:18" s="313" customFormat="1" ht="23.25" customHeight="1">
      <c r="A61" s="377" t="s">
        <v>715</v>
      </c>
      <c r="B61" s="376" t="s">
        <v>594</v>
      </c>
      <c r="C61" s="377" t="s">
        <v>261</v>
      </c>
      <c r="D61" s="378" t="s">
        <v>187</v>
      </c>
      <c r="E61" s="373" t="e">
        <f>NC_DKDD!H50</f>
        <v>#VALUE!</v>
      </c>
      <c r="F61" s="373"/>
      <c r="G61" s="359">
        <f t="shared" si="8"/>
        <v>0</v>
      </c>
      <c r="H61" s="383"/>
      <c r="I61" s="370"/>
      <c r="J61" s="370"/>
      <c r="K61" s="370"/>
      <c r="L61" s="355"/>
      <c r="M61" s="355"/>
      <c r="N61" s="355"/>
      <c r="O61" s="355"/>
      <c r="P61" s="355">
        <f t="shared" si="9"/>
        <v>0</v>
      </c>
      <c r="Q61" s="319"/>
      <c r="R61" s="320"/>
    </row>
    <row r="62" spans="1:18" s="313" customFormat="1" ht="23.25" customHeight="1">
      <c r="A62" s="377">
        <v>8</v>
      </c>
      <c r="B62" s="376" t="s">
        <v>78</v>
      </c>
      <c r="C62" s="377" t="s">
        <v>481</v>
      </c>
      <c r="D62" s="378" t="s">
        <v>187</v>
      </c>
      <c r="E62" s="373" t="e">
        <f>NC_DKDD!H51</f>
        <v>#VALUE!</v>
      </c>
      <c r="F62" s="373"/>
      <c r="G62" s="359">
        <f t="shared" si="8"/>
        <v>0</v>
      </c>
      <c r="H62" s="383"/>
      <c r="I62" s="370"/>
      <c r="J62" s="370"/>
      <c r="K62" s="370"/>
      <c r="L62" s="355"/>
      <c r="M62" s="355"/>
      <c r="N62" s="355"/>
      <c r="O62" s="355"/>
      <c r="P62" s="355">
        <f t="shared" si="9"/>
        <v>0</v>
      </c>
      <c r="Q62" s="319"/>
      <c r="R62" s="320"/>
    </row>
    <row r="63" spans="1:18" s="313" customFormat="1" ht="23.25" customHeight="1">
      <c r="A63" s="377">
        <v>9</v>
      </c>
      <c r="B63" s="376" t="s">
        <v>260</v>
      </c>
      <c r="C63" s="377" t="s">
        <v>79</v>
      </c>
      <c r="D63" s="378" t="s">
        <v>187</v>
      </c>
      <c r="E63" s="373" t="e">
        <f>NC_DKDD!H52</f>
        <v>#VALUE!</v>
      </c>
      <c r="F63" s="373"/>
      <c r="G63" s="359">
        <f t="shared" si="8"/>
        <v>0</v>
      </c>
      <c r="H63" s="383"/>
      <c r="I63" s="370"/>
      <c r="J63" s="370"/>
      <c r="K63" s="370"/>
      <c r="L63" s="355"/>
      <c r="M63" s="355"/>
      <c r="N63" s="355"/>
      <c r="O63" s="355"/>
      <c r="P63" s="355">
        <f t="shared" si="9"/>
        <v>0</v>
      </c>
      <c r="Q63" s="319"/>
      <c r="R63" s="320"/>
    </row>
    <row r="64" spans="1:18" s="313" customFormat="1" ht="23.25" customHeight="1">
      <c r="A64" s="377">
        <v>10</v>
      </c>
      <c r="B64" s="376" t="s">
        <v>80</v>
      </c>
      <c r="C64" s="377"/>
      <c r="D64" s="377"/>
      <c r="E64" s="373">
        <f>NC_DKDD!H53</f>
        <v>0</v>
      </c>
      <c r="F64" s="373"/>
      <c r="G64" s="359">
        <f t="shared" si="8"/>
        <v>0</v>
      </c>
      <c r="H64" s="383"/>
      <c r="I64" s="370"/>
      <c r="J64" s="370"/>
      <c r="K64" s="370"/>
      <c r="L64" s="355"/>
      <c r="M64" s="355"/>
      <c r="N64" s="355"/>
      <c r="O64" s="355"/>
      <c r="P64" s="355">
        <f t="shared" si="9"/>
        <v>0</v>
      </c>
      <c r="Q64" s="319"/>
      <c r="R64" s="320"/>
    </row>
    <row r="65" spans="1:18" s="313" customFormat="1" ht="23.25" customHeight="1">
      <c r="A65" s="377" t="s">
        <v>81</v>
      </c>
      <c r="B65" s="376" t="s">
        <v>82</v>
      </c>
      <c r="C65" s="377" t="s">
        <v>559</v>
      </c>
      <c r="D65" s="378" t="s">
        <v>187</v>
      </c>
      <c r="E65" s="373" t="e">
        <f>NC_DKDD!H54</f>
        <v>#VALUE!</v>
      </c>
      <c r="F65" s="373"/>
      <c r="G65" s="359">
        <f t="shared" si="8"/>
        <v>0</v>
      </c>
      <c r="H65" s="383"/>
      <c r="I65" s="370"/>
      <c r="J65" s="370"/>
      <c r="K65" s="370"/>
      <c r="L65" s="355"/>
      <c r="M65" s="355"/>
      <c r="N65" s="355"/>
      <c r="O65" s="355"/>
      <c r="P65" s="355">
        <f t="shared" si="9"/>
        <v>0</v>
      </c>
      <c r="Q65" s="319"/>
      <c r="R65" s="320"/>
    </row>
    <row r="66" spans="1:18" s="313" customFormat="1" ht="23.25" customHeight="1">
      <c r="A66" s="377" t="s">
        <v>83</v>
      </c>
      <c r="B66" s="376" t="s">
        <v>84</v>
      </c>
      <c r="C66" s="377" t="s">
        <v>559</v>
      </c>
      <c r="D66" s="378" t="s">
        <v>187</v>
      </c>
      <c r="E66" s="373" t="e">
        <f>NC_DKDD!H55</f>
        <v>#VALUE!</v>
      </c>
      <c r="F66" s="373"/>
      <c r="G66" s="359">
        <f t="shared" si="8"/>
        <v>0</v>
      </c>
      <c r="H66" s="383"/>
      <c r="I66" s="370"/>
      <c r="J66" s="370"/>
      <c r="K66" s="370"/>
      <c r="L66" s="355"/>
      <c r="M66" s="355"/>
      <c r="N66" s="355"/>
      <c r="O66" s="355"/>
      <c r="P66" s="355">
        <f t="shared" si="9"/>
        <v>0</v>
      </c>
      <c r="Q66" s="319"/>
      <c r="R66" s="320"/>
    </row>
    <row r="67" spans="1:18" s="313" customFormat="1" ht="23.25" customHeight="1">
      <c r="A67" s="377">
        <v>11</v>
      </c>
      <c r="B67" s="376" t="s">
        <v>85</v>
      </c>
      <c r="C67" s="377" t="s">
        <v>261</v>
      </c>
      <c r="D67" s="378" t="s">
        <v>187</v>
      </c>
      <c r="E67" s="373" t="e">
        <f>NC_DKDD!H56</f>
        <v>#VALUE!</v>
      </c>
      <c r="F67" s="373"/>
      <c r="G67" s="359">
        <f t="shared" si="8"/>
        <v>0</v>
      </c>
      <c r="H67" s="383"/>
      <c r="I67" s="370"/>
      <c r="J67" s="370"/>
      <c r="K67" s="370"/>
      <c r="L67" s="355"/>
      <c r="M67" s="355"/>
      <c r="N67" s="355"/>
      <c r="O67" s="355"/>
      <c r="P67" s="355">
        <f t="shared" si="9"/>
        <v>0</v>
      </c>
      <c r="Q67" s="319"/>
      <c r="R67" s="320"/>
    </row>
    <row r="68" spans="1:18" s="313" customFormat="1" ht="23.25" customHeight="1">
      <c r="A68" s="377">
        <v>12</v>
      </c>
      <c r="B68" s="376" t="s">
        <v>86</v>
      </c>
      <c r="C68" s="377" t="s">
        <v>261</v>
      </c>
      <c r="D68" s="378" t="s">
        <v>187</v>
      </c>
      <c r="E68" s="373" t="e">
        <f>NC_DKDD!H57</f>
        <v>#VALUE!</v>
      </c>
      <c r="F68" s="373"/>
      <c r="G68" s="359">
        <f t="shared" si="8"/>
        <v>0</v>
      </c>
      <c r="H68" s="383"/>
      <c r="I68" s="370"/>
      <c r="J68" s="370"/>
      <c r="K68" s="370"/>
      <c r="L68" s="355"/>
      <c r="M68" s="355"/>
      <c r="N68" s="355"/>
      <c r="O68" s="355"/>
      <c r="P68" s="355">
        <f t="shared" si="9"/>
        <v>0</v>
      </c>
      <c r="Q68" s="319"/>
      <c r="R68" s="320"/>
    </row>
    <row r="69" spans="1:18" s="313" customFormat="1" ht="23.25" customHeight="1">
      <c r="A69" s="377">
        <v>13</v>
      </c>
      <c r="B69" s="376" t="s">
        <v>87</v>
      </c>
      <c r="C69" s="377" t="s">
        <v>481</v>
      </c>
      <c r="D69" s="378" t="s">
        <v>187</v>
      </c>
      <c r="E69" s="373" t="e">
        <f>NC_DKDD!H58</f>
        <v>#VALUE!</v>
      </c>
      <c r="F69" s="373"/>
      <c r="G69" s="359">
        <f t="shared" si="8"/>
        <v>0</v>
      </c>
      <c r="H69" s="383"/>
      <c r="I69" s="370"/>
      <c r="J69" s="370"/>
      <c r="K69" s="370"/>
      <c r="L69" s="355"/>
      <c r="M69" s="355"/>
      <c r="N69" s="355"/>
      <c r="O69" s="355"/>
      <c r="P69" s="355">
        <f t="shared" si="9"/>
        <v>0</v>
      </c>
      <c r="Q69" s="319"/>
      <c r="R69" s="320"/>
    </row>
    <row r="70" spans="1:18" s="313" customFormat="1" ht="23.25" customHeight="1">
      <c r="A70" s="377">
        <v>14</v>
      </c>
      <c r="B70" s="376" t="s">
        <v>88</v>
      </c>
      <c r="C70" s="377"/>
      <c r="D70" s="377"/>
      <c r="E70" s="373">
        <f>NC_DKDD!H59</f>
        <v>0</v>
      </c>
      <c r="F70" s="373"/>
      <c r="G70" s="359">
        <f t="shared" si="8"/>
        <v>0</v>
      </c>
      <c r="H70" s="383"/>
      <c r="I70" s="370"/>
      <c r="J70" s="370"/>
      <c r="K70" s="370"/>
      <c r="L70" s="355"/>
      <c r="M70" s="355"/>
      <c r="N70" s="355"/>
      <c r="O70" s="355"/>
      <c r="P70" s="355">
        <f t="shared" si="9"/>
        <v>0</v>
      </c>
      <c r="Q70" s="319"/>
      <c r="R70" s="320"/>
    </row>
    <row r="71" spans="1:18" s="313" customFormat="1" ht="23.25" customHeight="1">
      <c r="A71" s="377" t="s">
        <v>860</v>
      </c>
      <c r="B71" s="376" t="s">
        <v>775</v>
      </c>
      <c r="C71" s="377"/>
      <c r="D71" s="377"/>
      <c r="E71" s="373">
        <f>NC_DKDD!H60</f>
        <v>0</v>
      </c>
      <c r="F71" s="373"/>
      <c r="G71" s="359">
        <f t="shared" si="8"/>
        <v>0</v>
      </c>
      <c r="H71" s="383"/>
      <c r="I71" s="370"/>
      <c r="J71" s="370"/>
      <c r="K71" s="370"/>
      <c r="L71" s="355"/>
      <c r="M71" s="355"/>
      <c r="N71" s="355"/>
      <c r="O71" s="355"/>
      <c r="P71" s="355">
        <f t="shared" si="9"/>
        <v>0</v>
      </c>
      <c r="Q71" s="319"/>
      <c r="R71" s="320"/>
    </row>
    <row r="72" spans="1:18" s="313" customFormat="1" ht="23.25" customHeight="1">
      <c r="A72" s="377" t="s">
        <v>776</v>
      </c>
      <c r="B72" s="376" t="s">
        <v>777</v>
      </c>
      <c r="C72" s="377" t="s">
        <v>778</v>
      </c>
      <c r="D72" s="378" t="s">
        <v>187</v>
      </c>
      <c r="E72" s="373" t="e">
        <f>NC_DKDD!H61</f>
        <v>#VALUE!</v>
      </c>
      <c r="F72" s="373"/>
      <c r="G72" s="359">
        <f t="shared" si="8"/>
        <v>0</v>
      </c>
      <c r="H72" s="383"/>
      <c r="I72" s="370"/>
      <c r="J72" s="370"/>
      <c r="K72" s="370"/>
      <c r="L72" s="355"/>
      <c r="M72" s="355"/>
      <c r="N72" s="355"/>
      <c r="O72" s="355"/>
      <c r="P72" s="355">
        <f t="shared" si="9"/>
        <v>0</v>
      </c>
      <c r="Q72" s="319"/>
      <c r="R72" s="320"/>
    </row>
    <row r="73" spans="1:18" s="313" customFormat="1" ht="23.25" customHeight="1">
      <c r="A73" s="377" t="s">
        <v>780</v>
      </c>
      <c r="B73" s="376" t="s">
        <v>781</v>
      </c>
      <c r="C73" s="377" t="s">
        <v>778</v>
      </c>
      <c r="D73" s="378" t="s">
        <v>187</v>
      </c>
      <c r="E73" s="373" t="e">
        <f>NC_DKDD!H62</f>
        <v>#VALUE!</v>
      </c>
      <c r="F73" s="373"/>
      <c r="G73" s="359">
        <f t="shared" si="8"/>
        <v>0</v>
      </c>
      <c r="H73" s="383"/>
      <c r="I73" s="370"/>
      <c r="J73" s="370"/>
      <c r="K73" s="370"/>
      <c r="L73" s="355"/>
      <c r="M73" s="355"/>
      <c r="N73" s="355"/>
      <c r="O73" s="355"/>
      <c r="P73" s="355">
        <f t="shared" si="9"/>
        <v>0</v>
      </c>
      <c r="Q73" s="319"/>
      <c r="R73" s="320"/>
    </row>
    <row r="74" spans="1:18" s="313" customFormat="1" ht="23.25" customHeight="1">
      <c r="A74" s="377" t="s">
        <v>782</v>
      </c>
      <c r="B74" s="376" t="s">
        <v>861</v>
      </c>
      <c r="C74" s="377" t="s">
        <v>778</v>
      </c>
      <c r="D74" s="378" t="s">
        <v>187</v>
      </c>
      <c r="E74" s="373" t="e">
        <f>NC_DKDD!H63</f>
        <v>#VALUE!</v>
      </c>
      <c r="F74" s="373"/>
      <c r="G74" s="359">
        <f t="shared" si="8"/>
        <v>0</v>
      </c>
      <c r="H74" s="383"/>
      <c r="I74" s="370"/>
      <c r="J74" s="370"/>
      <c r="K74" s="370"/>
      <c r="L74" s="355"/>
      <c r="M74" s="355"/>
      <c r="N74" s="355"/>
      <c r="O74" s="355"/>
      <c r="P74" s="355">
        <f t="shared" si="9"/>
        <v>0</v>
      </c>
      <c r="Q74" s="319"/>
      <c r="R74" s="320"/>
    </row>
    <row r="75" spans="1:18" s="313" customFormat="1" ht="23.25" customHeight="1">
      <c r="A75" s="377" t="s">
        <v>862</v>
      </c>
      <c r="B75" s="376" t="s">
        <v>863</v>
      </c>
      <c r="C75" s="377" t="s">
        <v>481</v>
      </c>
      <c r="D75" s="378" t="s">
        <v>187</v>
      </c>
      <c r="E75" s="373" t="e">
        <f>NC_DKDD!H64</f>
        <v>#VALUE!</v>
      </c>
      <c r="F75" s="373"/>
      <c r="G75" s="359">
        <f t="shared" si="8"/>
        <v>0</v>
      </c>
      <c r="H75" s="383"/>
      <c r="I75" s="370"/>
      <c r="J75" s="370"/>
      <c r="K75" s="370"/>
      <c r="L75" s="355"/>
      <c r="M75" s="355"/>
      <c r="N75" s="355"/>
      <c r="O75" s="355"/>
      <c r="P75" s="355">
        <f t="shared" si="9"/>
        <v>0</v>
      </c>
      <c r="Q75" s="319"/>
      <c r="R75" s="320"/>
    </row>
    <row r="76" spans="1:18" s="313" customFormat="1" ht="23.25" customHeight="1">
      <c r="A76" s="377">
        <v>15</v>
      </c>
      <c r="B76" s="376" t="s">
        <v>336</v>
      </c>
      <c r="C76" s="377" t="s">
        <v>261</v>
      </c>
      <c r="D76" s="378" t="s">
        <v>187</v>
      </c>
      <c r="E76" s="373" t="e">
        <f>NC_DKDD!H65</f>
        <v>#VALUE!</v>
      </c>
      <c r="F76" s="373"/>
      <c r="G76" s="359">
        <f t="shared" si="8"/>
        <v>0</v>
      </c>
      <c r="H76" s="383"/>
      <c r="I76" s="370"/>
      <c r="J76" s="370"/>
      <c r="K76" s="370"/>
      <c r="L76" s="355"/>
      <c r="M76" s="355"/>
      <c r="N76" s="355"/>
      <c r="O76" s="355"/>
      <c r="P76" s="355">
        <f t="shared" si="9"/>
        <v>0</v>
      </c>
      <c r="Q76" s="319"/>
      <c r="R76" s="320"/>
    </row>
    <row r="77" spans="1:18" s="313" customFormat="1" ht="23.25" customHeight="1">
      <c r="A77" s="377">
        <v>16</v>
      </c>
      <c r="B77" s="376" t="s">
        <v>337</v>
      </c>
      <c r="C77" s="377" t="s">
        <v>746</v>
      </c>
      <c r="D77" s="378" t="s">
        <v>187</v>
      </c>
      <c r="E77" s="373" t="e">
        <f>NC_DKDD!H66</f>
        <v>#VALUE!</v>
      </c>
      <c r="F77" s="373"/>
      <c r="G77" s="359">
        <f t="shared" si="8"/>
        <v>0</v>
      </c>
      <c r="H77" s="383"/>
      <c r="I77" s="370"/>
      <c r="J77" s="370"/>
      <c r="K77" s="370"/>
      <c r="L77" s="355"/>
      <c r="M77" s="355"/>
      <c r="N77" s="355"/>
      <c r="O77" s="355"/>
      <c r="P77" s="355">
        <f t="shared" si="9"/>
        <v>0</v>
      </c>
      <c r="Q77" s="319"/>
      <c r="R77" s="320"/>
    </row>
    <row r="78" spans="1:18" s="313" customFormat="1" ht="23.25" customHeight="1">
      <c r="A78" s="381" t="s">
        <v>755</v>
      </c>
      <c r="B78" s="379" t="s">
        <v>339</v>
      </c>
      <c r="C78" s="377"/>
      <c r="D78" s="378"/>
      <c r="E78" s="373"/>
      <c r="F78" s="373"/>
      <c r="G78" s="359"/>
      <c r="H78" s="383"/>
      <c r="I78" s="370"/>
      <c r="J78" s="370"/>
      <c r="K78" s="370"/>
      <c r="L78" s="355"/>
      <c r="M78" s="355"/>
      <c r="N78" s="355"/>
      <c r="O78" s="355"/>
      <c r="P78" s="355"/>
      <c r="Q78" s="319"/>
      <c r="R78" s="320"/>
    </row>
    <row r="79" spans="1:18" s="313" customFormat="1" ht="23.25" customHeight="1">
      <c r="A79" s="381" t="s">
        <v>1012</v>
      </c>
      <c r="B79" s="379" t="s">
        <v>668</v>
      </c>
      <c r="C79" s="377"/>
      <c r="D79" s="377"/>
      <c r="E79" s="403" t="e">
        <f>(E82+E83+E85+E86)*0.3</f>
        <v>#VALUE!</v>
      </c>
      <c r="F79" s="403">
        <f>(F82+F83+F85+F86)*0.3</f>
        <v>0</v>
      </c>
      <c r="G79" s="359">
        <f t="shared" si="8"/>
        <v>0</v>
      </c>
      <c r="H79" s="383">
        <f>'Dcu-DKDD'!L28/8000*0</f>
        <v>0</v>
      </c>
      <c r="I79" s="370">
        <f>'VL-DKDD'!J31/8000*0</f>
        <v>0</v>
      </c>
      <c r="J79" s="370">
        <f>'TB-DKDD'!M14/8000*0</f>
        <v>0</v>
      </c>
      <c r="K79" s="370">
        <f>'NL-DKDD'!J9/8000*0</f>
        <v>0</v>
      </c>
      <c r="L79" s="355" t="e">
        <f>SUM(E79:K79)</f>
        <v>#VALUE!</v>
      </c>
      <c r="M79" s="355" t="e">
        <f>L79*'He so chung'!$D$17/100</f>
        <v>#VALUE!</v>
      </c>
      <c r="N79" s="355" t="e">
        <f>L79+M79</f>
        <v>#VALUE!</v>
      </c>
      <c r="O79" s="355"/>
      <c r="P79" s="403">
        <f>SUM(P81:P87)</f>
        <v>0</v>
      </c>
      <c r="Q79" s="319"/>
      <c r="R79" s="320"/>
    </row>
    <row r="80" spans="1:18" s="313" customFormat="1" ht="23.25" customHeight="1">
      <c r="A80" s="381" t="s">
        <v>1013</v>
      </c>
      <c r="B80" s="379" t="s">
        <v>669</v>
      </c>
      <c r="C80" s="377"/>
      <c r="D80" s="377"/>
      <c r="E80" s="403" t="e">
        <f>(E82+E83+E85+E86)*0.3</f>
        <v>#VALUE!</v>
      </c>
      <c r="F80" s="403">
        <f>(F82+F83+F85+F86)*0.3</f>
        <v>0</v>
      </c>
      <c r="G80" s="359"/>
      <c r="H80" s="383">
        <f>H79</f>
        <v>0</v>
      </c>
      <c r="I80" s="370">
        <f t="shared" ref="I80:O80" si="11">I79</f>
        <v>0</v>
      </c>
      <c r="J80" s="370">
        <f t="shared" si="11"/>
        <v>0</v>
      </c>
      <c r="K80" s="370">
        <f t="shared" si="11"/>
        <v>0</v>
      </c>
      <c r="L80" s="355" t="e">
        <f t="shared" si="11"/>
        <v>#VALUE!</v>
      </c>
      <c r="M80" s="373" t="e">
        <f t="shared" si="11"/>
        <v>#VALUE!</v>
      </c>
      <c r="N80" s="373" t="e">
        <f t="shared" si="11"/>
        <v>#VALUE!</v>
      </c>
      <c r="O80" s="383">
        <f t="shared" si="11"/>
        <v>0</v>
      </c>
      <c r="P80" s="403">
        <f>SUM(P81:P87)</f>
        <v>0</v>
      </c>
      <c r="Q80" s="319"/>
      <c r="R80" s="320"/>
    </row>
    <row r="81" spans="1:18" s="313" customFormat="1" ht="23.25" customHeight="1">
      <c r="A81" s="377">
        <v>1</v>
      </c>
      <c r="B81" s="376" t="s">
        <v>530</v>
      </c>
      <c r="C81" s="377"/>
      <c r="D81" s="377"/>
      <c r="E81" s="373"/>
      <c r="F81" s="373"/>
      <c r="G81" s="359">
        <f t="shared" si="8"/>
        <v>0</v>
      </c>
      <c r="H81" s="383"/>
      <c r="I81" s="370"/>
      <c r="J81" s="370"/>
      <c r="K81" s="370"/>
      <c r="L81" s="355"/>
      <c r="M81" s="355"/>
      <c r="N81" s="355"/>
      <c r="O81" s="355"/>
      <c r="P81" s="355">
        <f t="shared" si="9"/>
        <v>0</v>
      </c>
      <c r="Q81" s="319"/>
      <c r="R81" s="320"/>
    </row>
    <row r="82" spans="1:18" s="313" customFormat="1" ht="23.25" customHeight="1">
      <c r="A82" s="377" t="s">
        <v>733</v>
      </c>
      <c r="B82" s="376" t="s">
        <v>340</v>
      </c>
      <c r="C82" s="377" t="s">
        <v>261</v>
      </c>
      <c r="D82" s="378" t="s">
        <v>187</v>
      </c>
      <c r="E82" s="373" t="e">
        <f>NC_DKDD!H69/8000</f>
        <v>#VALUE!</v>
      </c>
      <c r="F82" s="373"/>
      <c r="G82" s="359">
        <f t="shared" si="8"/>
        <v>0</v>
      </c>
      <c r="H82" s="383"/>
      <c r="I82" s="370"/>
      <c r="J82" s="370"/>
      <c r="K82" s="370"/>
      <c r="L82" s="355"/>
      <c r="M82" s="355"/>
      <c r="N82" s="355"/>
      <c r="O82" s="355"/>
      <c r="P82" s="355">
        <f t="shared" si="9"/>
        <v>0</v>
      </c>
      <c r="Q82" s="319"/>
      <c r="R82" s="320"/>
    </row>
    <row r="83" spans="1:18" s="313" customFormat="1" ht="23.25" customHeight="1">
      <c r="A83" s="377" t="s">
        <v>741</v>
      </c>
      <c r="B83" s="376" t="s">
        <v>343</v>
      </c>
      <c r="C83" s="377" t="s">
        <v>481</v>
      </c>
      <c r="D83" s="378" t="s">
        <v>187</v>
      </c>
      <c r="E83" s="373" t="e">
        <f>NC_DKDD!H70/8000</f>
        <v>#VALUE!</v>
      </c>
      <c r="F83" s="373"/>
      <c r="G83" s="359">
        <f t="shared" si="8"/>
        <v>0</v>
      </c>
      <c r="H83" s="383"/>
      <c r="I83" s="370"/>
      <c r="J83" s="370"/>
      <c r="K83" s="370"/>
      <c r="L83" s="355"/>
      <c r="M83" s="355"/>
      <c r="N83" s="355"/>
      <c r="O83" s="355"/>
      <c r="P83" s="355">
        <f t="shared" si="9"/>
        <v>0</v>
      </c>
      <c r="Q83" s="319"/>
      <c r="R83" s="320"/>
    </row>
    <row r="84" spans="1:18" s="313" customFormat="1" ht="23.25" customHeight="1">
      <c r="A84" s="377">
        <v>2</v>
      </c>
      <c r="B84" s="376" t="s">
        <v>344</v>
      </c>
      <c r="C84" s="377"/>
      <c r="D84" s="377"/>
      <c r="E84" s="373">
        <f>NC_DKDD!H71/8000</f>
        <v>0</v>
      </c>
      <c r="F84" s="373"/>
      <c r="G84" s="359">
        <f t="shared" si="8"/>
        <v>0</v>
      </c>
      <c r="H84" s="383"/>
      <c r="I84" s="370"/>
      <c r="J84" s="370"/>
      <c r="K84" s="370"/>
      <c r="L84" s="355"/>
      <c r="M84" s="355"/>
      <c r="N84" s="355"/>
      <c r="O84" s="355"/>
      <c r="P84" s="355">
        <f t="shared" si="9"/>
        <v>0</v>
      </c>
      <c r="Q84" s="319"/>
      <c r="R84" s="320"/>
    </row>
    <row r="85" spans="1:18" s="313" customFormat="1" ht="23.25" customHeight="1">
      <c r="A85" s="377" t="s">
        <v>742</v>
      </c>
      <c r="B85" s="376" t="s">
        <v>345</v>
      </c>
      <c r="C85" s="377" t="s">
        <v>57</v>
      </c>
      <c r="D85" s="378" t="s">
        <v>187</v>
      </c>
      <c r="E85" s="373" t="e">
        <f>NC_DKDD!H72/8000</f>
        <v>#VALUE!</v>
      </c>
      <c r="F85" s="373"/>
      <c r="G85" s="359">
        <f t="shared" si="8"/>
        <v>0</v>
      </c>
      <c r="H85" s="383"/>
      <c r="I85" s="370"/>
      <c r="J85" s="370"/>
      <c r="K85" s="370"/>
      <c r="L85" s="355"/>
      <c r="M85" s="355"/>
      <c r="N85" s="355"/>
      <c r="O85" s="355"/>
      <c r="P85" s="355">
        <f t="shared" si="9"/>
        <v>0</v>
      </c>
      <c r="Q85" s="319"/>
      <c r="R85" s="320"/>
    </row>
    <row r="86" spans="1:18" s="313" customFormat="1" ht="23.25" customHeight="1">
      <c r="A86" s="377" t="s">
        <v>743</v>
      </c>
      <c r="B86" s="376" t="s">
        <v>346</v>
      </c>
      <c r="C86" s="377" t="s">
        <v>746</v>
      </c>
      <c r="D86" s="378" t="s">
        <v>187</v>
      </c>
      <c r="E86" s="373" t="e">
        <f>NC_DKDD!H73/8000</f>
        <v>#VALUE!</v>
      </c>
      <c r="F86" s="373"/>
      <c r="G86" s="359">
        <f t="shared" si="8"/>
        <v>0</v>
      </c>
      <c r="H86" s="383"/>
      <c r="I86" s="370"/>
      <c r="J86" s="370"/>
      <c r="K86" s="370"/>
      <c r="L86" s="355"/>
      <c r="M86" s="355"/>
      <c r="N86" s="355"/>
      <c r="O86" s="355"/>
      <c r="P86" s="355">
        <f t="shared" si="9"/>
        <v>0</v>
      </c>
      <c r="Q86" s="319"/>
      <c r="R86" s="320"/>
    </row>
    <row r="87" spans="1:18" s="313" customFormat="1" ht="23.25" customHeight="1">
      <c r="A87" s="377">
        <v>3</v>
      </c>
      <c r="B87" s="376" t="s">
        <v>347</v>
      </c>
      <c r="C87" s="377" t="s">
        <v>746</v>
      </c>
      <c r="D87" s="378" t="s">
        <v>187</v>
      </c>
      <c r="E87" s="373" t="e">
        <f>NC_DKDD!H74/8000</f>
        <v>#VALUE!</v>
      </c>
      <c r="F87" s="373"/>
      <c r="G87" s="359">
        <f t="shared" si="8"/>
        <v>0</v>
      </c>
      <c r="H87" s="383"/>
      <c r="I87" s="370"/>
      <c r="J87" s="370"/>
      <c r="K87" s="370"/>
      <c r="L87" s="355"/>
      <c r="M87" s="355"/>
      <c r="N87" s="355"/>
      <c r="O87" s="355"/>
      <c r="P87" s="355">
        <f t="shared" si="9"/>
        <v>0</v>
      </c>
      <c r="Q87" s="319"/>
      <c r="R87" s="320"/>
    </row>
    <row r="88" spans="1:18" s="313" customFormat="1" ht="23.25" customHeight="1">
      <c r="A88" s="399"/>
      <c r="B88" s="400"/>
      <c r="C88" s="401"/>
      <c r="D88" s="402"/>
      <c r="E88" s="401"/>
      <c r="F88" s="401"/>
      <c r="G88" s="405"/>
      <c r="H88" s="401"/>
      <c r="I88" s="401"/>
      <c r="J88" s="401"/>
      <c r="K88" s="401"/>
      <c r="L88" s="401"/>
      <c r="M88" s="401"/>
      <c r="N88" s="401"/>
      <c r="O88" s="401"/>
      <c r="P88" s="319"/>
      <c r="Q88" s="319"/>
      <c r="R88" s="320"/>
    </row>
    <row r="89" spans="1:18" ht="33" customHeight="1">
      <c r="A89" s="321"/>
      <c r="B89" s="334" t="s">
        <v>533</v>
      </c>
      <c r="C89" s="322"/>
      <c r="D89" s="321"/>
      <c r="E89" s="323"/>
      <c r="F89" s="323"/>
      <c r="G89" s="324"/>
      <c r="H89" s="323"/>
      <c r="I89" s="323"/>
      <c r="J89" s="325"/>
      <c r="K89" s="325"/>
      <c r="L89" s="325"/>
      <c r="M89" s="308"/>
      <c r="N89" s="308"/>
      <c r="O89" s="333"/>
      <c r="P89" s="300"/>
      <c r="Q89" s="300"/>
    </row>
    <row r="90" spans="1:18" ht="40.9" customHeight="1">
      <c r="A90" s="326"/>
      <c r="B90" s="1130" t="s">
        <v>854</v>
      </c>
      <c r="C90" s="1130"/>
      <c r="D90" s="1130"/>
      <c r="E90" s="1130"/>
      <c r="F90" s="1130"/>
      <c r="G90" s="1130"/>
      <c r="H90" s="1130"/>
      <c r="I90" s="1130"/>
      <c r="J90" s="1130"/>
      <c r="K90" s="1130"/>
      <c r="L90" s="1130"/>
      <c r="M90" s="1130"/>
      <c r="N90" s="1130"/>
      <c r="O90" s="1130"/>
      <c r="P90" s="300"/>
      <c r="Q90" s="300"/>
    </row>
    <row r="91" spans="1:18" ht="26.45" customHeight="1">
      <c r="A91" s="326"/>
      <c r="B91" s="1119" t="s">
        <v>744</v>
      </c>
      <c r="C91" s="1119"/>
      <c r="D91" s="1119"/>
      <c r="E91" s="1119"/>
      <c r="F91" s="1119"/>
      <c r="G91" s="1119"/>
      <c r="H91" s="1119"/>
      <c r="I91" s="1119"/>
      <c r="J91" s="1119"/>
      <c r="K91" s="1119"/>
      <c r="L91" s="1119"/>
      <c r="M91" s="1119"/>
      <c r="N91" s="1119"/>
      <c r="O91" s="1119"/>
      <c r="P91" s="300"/>
      <c r="Q91" s="300"/>
    </row>
    <row r="92" spans="1:18" ht="43.9" customHeight="1">
      <c r="A92" s="1123" t="s">
        <v>127</v>
      </c>
      <c r="B92" s="1123"/>
      <c r="C92" s="1123"/>
      <c r="D92" s="1123"/>
      <c r="E92" s="1123"/>
      <c r="F92" s="1123"/>
      <c r="G92" s="1123"/>
      <c r="H92" s="1123"/>
      <c r="I92" s="1123"/>
      <c r="J92" s="1123"/>
      <c r="K92" s="1123"/>
      <c r="L92" s="1123"/>
      <c r="M92" s="1123"/>
      <c r="N92" s="1123"/>
      <c r="O92" s="1123"/>
      <c r="P92" s="1123"/>
      <c r="Q92" s="1123"/>
      <c r="R92" s="1123"/>
    </row>
    <row r="93" spans="1:18" s="313" customFormat="1" ht="14.25">
      <c r="A93" s="305"/>
      <c r="B93" s="331"/>
      <c r="C93" s="306"/>
      <c r="D93" s="307" t="s">
        <v>430</v>
      </c>
      <c r="E93" s="308"/>
      <c r="F93" s="309"/>
      <c r="G93" s="310"/>
      <c r="H93" s="309"/>
      <c r="I93" s="311"/>
      <c r="J93" s="309"/>
      <c r="K93" s="309"/>
      <c r="L93" s="312" t="s">
        <v>262</v>
      </c>
      <c r="M93" s="309"/>
      <c r="N93" s="311"/>
      <c r="O93" s="308"/>
      <c r="P93" s="300"/>
      <c r="Q93" s="300"/>
      <c r="R93" s="300"/>
    </row>
    <row r="94" spans="1:18" s="313" customFormat="1" ht="14.25">
      <c r="A94" s="305"/>
      <c r="B94" s="331"/>
      <c r="C94" s="306"/>
      <c r="D94" s="314"/>
      <c r="E94" s="308"/>
      <c r="F94" s="308"/>
      <c r="G94" s="315"/>
      <c r="H94" s="308"/>
      <c r="I94" s="308"/>
      <c r="J94" s="308"/>
      <c r="K94" s="308"/>
      <c r="L94" s="308"/>
      <c r="M94" s="308"/>
      <c r="N94" s="308"/>
      <c r="O94" s="308"/>
      <c r="P94" s="300"/>
      <c r="Q94" s="300"/>
      <c r="R94" s="300"/>
    </row>
    <row r="95" spans="1:18" s="313" customFormat="1" ht="18" customHeight="1">
      <c r="A95" s="1107" t="s">
        <v>718</v>
      </c>
      <c r="B95" s="1107" t="s">
        <v>198</v>
      </c>
      <c r="C95" s="1110" t="s">
        <v>263</v>
      </c>
      <c r="D95" s="1121" t="s">
        <v>264</v>
      </c>
      <c r="E95" s="1127" t="s">
        <v>683</v>
      </c>
      <c r="F95" s="1128"/>
      <c r="G95" s="1128"/>
      <c r="H95" s="1128"/>
      <c r="I95" s="1128"/>
      <c r="J95" s="1128"/>
      <c r="K95" s="1128"/>
      <c r="L95" s="1129"/>
      <c r="M95" s="1110" t="s">
        <v>435</v>
      </c>
      <c r="N95" s="1110" t="s">
        <v>684</v>
      </c>
      <c r="O95" s="1110" t="s">
        <v>685</v>
      </c>
      <c r="P95" s="316"/>
      <c r="Q95" s="316"/>
      <c r="R95" s="300"/>
    </row>
    <row r="96" spans="1:18" s="313" customFormat="1" ht="36" customHeight="1">
      <c r="A96" s="1109"/>
      <c r="B96" s="1109"/>
      <c r="C96" s="1111"/>
      <c r="D96" s="1122"/>
      <c r="E96" s="317" t="s">
        <v>686</v>
      </c>
      <c r="F96" s="317" t="s">
        <v>687</v>
      </c>
      <c r="G96" s="318" t="s">
        <v>285</v>
      </c>
      <c r="H96" s="317" t="s">
        <v>499</v>
      </c>
      <c r="I96" s="317" t="s">
        <v>688</v>
      </c>
      <c r="J96" s="317" t="s">
        <v>531</v>
      </c>
      <c r="K96" s="317" t="s">
        <v>689</v>
      </c>
      <c r="L96" s="317" t="s">
        <v>690</v>
      </c>
      <c r="M96" s="1111"/>
      <c r="N96" s="1111"/>
      <c r="O96" s="1111"/>
      <c r="P96" s="316"/>
      <c r="Q96" s="316"/>
      <c r="R96" s="300"/>
    </row>
    <row r="97" spans="1:18" s="313" customFormat="1" ht="37.5" customHeight="1">
      <c r="A97" s="352"/>
      <c r="B97" s="394" t="s">
        <v>856</v>
      </c>
      <c r="C97" s="317"/>
      <c r="D97" s="350"/>
      <c r="E97" s="317"/>
      <c r="F97" s="317"/>
      <c r="G97" s="318"/>
      <c r="H97" s="317"/>
      <c r="I97" s="317"/>
      <c r="J97" s="317"/>
      <c r="K97" s="317"/>
      <c r="L97" s="317"/>
      <c r="M97" s="317"/>
      <c r="N97" s="317"/>
      <c r="O97" s="393"/>
      <c r="P97" s="317"/>
      <c r="Q97" s="316"/>
      <c r="R97" s="300"/>
    </row>
    <row r="98" spans="1:18" s="313" customFormat="1" ht="15.75" customHeight="1">
      <c r="A98" s="352"/>
      <c r="B98" s="352"/>
      <c r="C98" s="317"/>
      <c r="D98" s="350"/>
      <c r="E98" s="317"/>
      <c r="F98" s="317"/>
      <c r="G98" s="318"/>
      <c r="H98" s="317"/>
      <c r="I98" s="317"/>
      <c r="J98" s="317"/>
      <c r="K98" s="317"/>
      <c r="L98" s="317"/>
      <c r="M98" s="317"/>
      <c r="N98" s="317"/>
      <c r="O98" s="393"/>
      <c r="P98" s="317"/>
      <c r="Q98" s="316"/>
      <c r="R98" s="300"/>
    </row>
    <row r="99" spans="1:18" s="313" customFormat="1" ht="24" customHeight="1">
      <c r="A99" s="1102"/>
      <c r="B99" s="1118" t="s">
        <v>668</v>
      </c>
      <c r="C99" s="1106" t="s">
        <v>532</v>
      </c>
      <c r="D99" s="350">
        <v>2</v>
      </c>
      <c r="E99" s="351" t="e">
        <f>E108+E141+E175</f>
        <v>#VALUE!</v>
      </c>
      <c r="F99" s="351">
        <f>F108+F141+F175</f>
        <v>11025</v>
      </c>
      <c r="G99" s="385">
        <f t="shared" ref="G99:N99" si="12">G108+G141+G175</f>
        <v>0</v>
      </c>
      <c r="H99" s="385">
        <f t="shared" si="12"/>
        <v>0.45949192089903845</v>
      </c>
      <c r="I99" s="385">
        <f t="shared" si="12"/>
        <v>0</v>
      </c>
      <c r="J99" s="385">
        <f t="shared" si="12"/>
        <v>0.17974080000000001</v>
      </c>
      <c r="K99" s="385">
        <f t="shared" si="12"/>
        <v>0.42657299999999998</v>
      </c>
      <c r="L99" s="351" t="e">
        <f t="shared" si="12"/>
        <v>#VALUE!</v>
      </c>
      <c r="M99" s="351" t="e">
        <f t="shared" si="12"/>
        <v>#VALUE!</v>
      </c>
      <c r="N99" s="351" t="e">
        <f t="shared" si="12"/>
        <v>#VALUE!</v>
      </c>
      <c r="O99" s="351">
        <v>3933</v>
      </c>
      <c r="P99" s="351">
        <f>P108+P141+P175</f>
        <v>0</v>
      </c>
      <c r="Q99" s="316"/>
      <c r="R99" s="300"/>
    </row>
    <row r="100" spans="1:18" s="313" customFormat="1" ht="24" customHeight="1">
      <c r="A100" s="1102"/>
      <c r="B100" s="1118"/>
      <c r="C100" s="1106"/>
      <c r="D100" s="350">
        <v>3</v>
      </c>
      <c r="E100" s="351" t="e">
        <f>E109+E141+E175</f>
        <v>#VALUE!</v>
      </c>
      <c r="F100" s="351">
        <f>F109+F141+F175</f>
        <v>13230</v>
      </c>
      <c r="G100" s="385">
        <f t="shared" ref="G100:N100" si="13">G109+G141+G175</f>
        <v>0</v>
      </c>
      <c r="H100" s="385">
        <f t="shared" si="13"/>
        <v>0.48473363850961532</v>
      </c>
      <c r="I100" s="385">
        <f t="shared" si="13"/>
        <v>0</v>
      </c>
      <c r="J100" s="385">
        <f t="shared" si="13"/>
        <v>0.17974080000000001</v>
      </c>
      <c r="K100" s="385">
        <f t="shared" si="13"/>
        <v>0.42657299999999998</v>
      </c>
      <c r="L100" s="351" t="e">
        <f t="shared" si="13"/>
        <v>#VALUE!</v>
      </c>
      <c r="M100" s="351" t="e">
        <f t="shared" si="13"/>
        <v>#VALUE!</v>
      </c>
      <c r="N100" s="351" t="e">
        <f t="shared" si="13"/>
        <v>#VALUE!</v>
      </c>
      <c r="O100" s="351">
        <v>4312.5</v>
      </c>
      <c r="P100" s="351">
        <f>P109+P141+P175</f>
        <v>0</v>
      </c>
      <c r="Q100" s="316"/>
      <c r="R100" s="300"/>
    </row>
    <row r="101" spans="1:18" s="313" customFormat="1" ht="24" customHeight="1">
      <c r="A101" s="1102"/>
      <c r="B101" s="1118"/>
      <c r="C101" s="1106"/>
      <c r="D101" s="350">
        <v>4</v>
      </c>
      <c r="E101" s="351" t="e">
        <f>E110+E141+E175</f>
        <v>#VALUE!</v>
      </c>
      <c r="F101" s="351">
        <f>F110+F141+F175</f>
        <v>15876</v>
      </c>
      <c r="G101" s="385">
        <f t="shared" ref="G101:N101" si="14">G110+G141+G175</f>
        <v>0</v>
      </c>
      <c r="H101" s="385">
        <f t="shared" si="14"/>
        <v>0.50997535612019229</v>
      </c>
      <c r="I101" s="385">
        <f t="shared" si="14"/>
        <v>0</v>
      </c>
      <c r="J101" s="385">
        <f t="shared" si="14"/>
        <v>0.17974080000000001</v>
      </c>
      <c r="K101" s="385">
        <f t="shared" si="14"/>
        <v>0.42657299999999998</v>
      </c>
      <c r="L101" s="351" t="e">
        <f t="shared" si="14"/>
        <v>#VALUE!</v>
      </c>
      <c r="M101" s="351" t="e">
        <f t="shared" si="14"/>
        <v>#VALUE!</v>
      </c>
      <c r="N101" s="351" t="e">
        <f t="shared" si="14"/>
        <v>#VALUE!</v>
      </c>
      <c r="O101" s="351">
        <v>4726.5</v>
      </c>
      <c r="P101" s="351">
        <f>P110+P141+P175</f>
        <v>0</v>
      </c>
      <c r="Q101" s="316"/>
      <c r="R101" s="300"/>
    </row>
    <row r="102" spans="1:18" s="313" customFormat="1" ht="24" customHeight="1">
      <c r="A102" s="1102"/>
      <c r="B102" s="1118"/>
      <c r="C102" s="1106"/>
      <c r="D102" s="350">
        <v>5</v>
      </c>
      <c r="E102" s="351" t="e">
        <f>E111+E141+E175</f>
        <v>#VALUE!</v>
      </c>
      <c r="F102" s="351">
        <f>F111+F141+F175</f>
        <v>19051.2</v>
      </c>
      <c r="G102" s="385">
        <f t="shared" ref="G102:N102" si="15">G111+G141+G175</f>
        <v>0</v>
      </c>
      <c r="H102" s="385">
        <f t="shared" si="15"/>
        <v>0.5352170737307691</v>
      </c>
      <c r="I102" s="385">
        <f t="shared" si="15"/>
        <v>0</v>
      </c>
      <c r="J102" s="385">
        <f t="shared" si="15"/>
        <v>0.17974080000000001</v>
      </c>
      <c r="K102" s="385">
        <f t="shared" si="15"/>
        <v>0.42657299999999998</v>
      </c>
      <c r="L102" s="351" t="e">
        <f t="shared" si="15"/>
        <v>#VALUE!</v>
      </c>
      <c r="M102" s="351" t="e">
        <f t="shared" si="15"/>
        <v>#VALUE!</v>
      </c>
      <c r="N102" s="351" t="e">
        <f t="shared" si="15"/>
        <v>#VALUE!</v>
      </c>
      <c r="O102" s="351">
        <v>5185.3500000000904</v>
      </c>
      <c r="P102" s="351">
        <f>P111+P141+P175</f>
        <v>0</v>
      </c>
      <c r="Q102" s="316"/>
      <c r="R102" s="300"/>
    </row>
    <row r="103" spans="1:18" s="313" customFormat="1" ht="24" customHeight="1">
      <c r="A103" s="1102"/>
      <c r="B103" s="1118" t="s">
        <v>669</v>
      </c>
      <c r="C103" s="1106" t="s">
        <v>532</v>
      </c>
      <c r="D103" s="350">
        <v>2</v>
      </c>
      <c r="E103" s="351" t="e">
        <f>E112+E142+E176</f>
        <v>#VALUE!</v>
      </c>
      <c r="F103" s="351">
        <f t="shared" ref="F103:N103" si="16">F112+F142+F176</f>
        <v>11025</v>
      </c>
      <c r="G103" s="351">
        <f t="shared" si="16"/>
        <v>0</v>
      </c>
      <c r="H103" s="351">
        <f t="shared" si="16"/>
        <v>0.45949192089903845</v>
      </c>
      <c r="I103" s="351">
        <f t="shared" si="16"/>
        <v>0</v>
      </c>
      <c r="J103" s="351">
        <f t="shared" si="16"/>
        <v>0.17974080000000001</v>
      </c>
      <c r="K103" s="351">
        <f t="shared" si="16"/>
        <v>0.42657299999999998</v>
      </c>
      <c r="L103" s="351" t="e">
        <f t="shared" si="16"/>
        <v>#VALUE!</v>
      </c>
      <c r="M103" s="351" t="e">
        <f t="shared" si="16"/>
        <v>#VALUE!</v>
      </c>
      <c r="N103" s="351" t="e">
        <f t="shared" si="16"/>
        <v>#VALUE!</v>
      </c>
      <c r="O103" s="351"/>
      <c r="P103" s="351">
        <f>P112+P142+P176</f>
        <v>0</v>
      </c>
      <c r="Q103" s="316"/>
      <c r="R103" s="300"/>
    </row>
    <row r="104" spans="1:18" s="313" customFormat="1" ht="24" customHeight="1">
      <c r="A104" s="1102"/>
      <c r="B104" s="1118"/>
      <c r="C104" s="1106"/>
      <c r="D104" s="350">
        <v>3</v>
      </c>
      <c r="E104" s="351" t="e">
        <f>E113+E142+E176</f>
        <v>#VALUE!</v>
      </c>
      <c r="F104" s="351">
        <f t="shared" ref="F104:N104" si="17">F113+F142+F176</f>
        <v>13230</v>
      </c>
      <c r="G104" s="351">
        <f t="shared" si="17"/>
        <v>0</v>
      </c>
      <c r="H104" s="351">
        <f t="shared" si="17"/>
        <v>0.48473363850961532</v>
      </c>
      <c r="I104" s="351">
        <f t="shared" si="17"/>
        <v>0</v>
      </c>
      <c r="J104" s="351">
        <f t="shared" si="17"/>
        <v>0.17974080000000001</v>
      </c>
      <c r="K104" s="351">
        <f t="shared" si="17"/>
        <v>0.42657299999999998</v>
      </c>
      <c r="L104" s="351" t="e">
        <f t="shared" si="17"/>
        <v>#VALUE!</v>
      </c>
      <c r="M104" s="351" t="e">
        <f t="shared" si="17"/>
        <v>#VALUE!</v>
      </c>
      <c r="N104" s="351" t="e">
        <f t="shared" si="17"/>
        <v>#VALUE!</v>
      </c>
      <c r="O104" s="351"/>
      <c r="P104" s="351">
        <f>P113+P142+P176</f>
        <v>0</v>
      </c>
      <c r="Q104" s="316"/>
      <c r="R104" s="300"/>
    </row>
    <row r="105" spans="1:18" s="313" customFormat="1" ht="24" customHeight="1">
      <c r="A105" s="1102"/>
      <c r="B105" s="1118"/>
      <c r="C105" s="1106"/>
      <c r="D105" s="350">
        <v>4</v>
      </c>
      <c r="E105" s="351" t="e">
        <f>E114+E142+E176</f>
        <v>#VALUE!</v>
      </c>
      <c r="F105" s="351">
        <f t="shared" ref="F105:N105" si="18">F114+F142+F176</f>
        <v>15876</v>
      </c>
      <c r="G105" s="351">
        <f t="shared" si="18"/>
        <v>0</v>
      </c>
      <c r="H105" s="351">
        <f t="shared" si="18"/>
        <v>0.50997535612019229</v>
      </c>
      <c r="I105" s="351">
        <f t="shared" si="18"/>
        <v>0</v>
      </c>
      <c r="J105" s="351">
        <f t="shared" si="18"/>
        <v>0.17974080000000001</v>
      </c>
      <c r="K105" s="351">
        <f t="shared" si="18"/>
        <v>0.42657299999999998</v>
      </c>
      <c r="L105" s="351" t="e">
        <f t="shared" si="18"/>
        <v>#VALUE!</v>
      </c>
      <c r="M105" s="351" t="e">
        <f t="shared" si="18"/>
        <v>#VALUE!</v>
      </c>
      <c r="N105" s="351" t="e">
        <f t="shared" si="18"/>
        <v>#VALUE!</v>
      </c>
      <c r="O105" s="351"/>
      <c r="P105" s="351">
        <f>P114+P142+P176</f>
        <v>0</v>
      </c>
      <c r="Q105" s="316"/>
      <c r="R105" s="300"/>
    </row>
    <row r="106" spans="1:18" s="313" customFormat="1" ht="24" customHeight="1">
      <c r="A106" s="1102"/>
      <c r="B106" s="1118"/>
      <c r="C106" s="1106"/>
      <c r="D106" s="350">
        <v>5</v>
      </c>
      <c r="E106" s="351" t="e">
        <f>E115+E142+E176</f>
        <v>#VALUE!</v>
      </c>
      <c r="F106" s="351">
        <f t="shared" ref="F106:N106" si="19">F115+F142+F176</f>
        <v>19051.2</v>
      </c>
      <c r="G106" s="351">
        <f t="shared" si="19"/>
        <v>0</v>
      </c>
      <c r="H106" s="351">
        <f t="shared" si="19"/>
        <v>0.5352170737307691</v>
      </c>
      <c r="I106" s="351">
        <f t="shared" si="19"/>
        <v>0</v>
      </c>
      <c r="J106" s="351">
        <f t="shared" si="19"/>
        <v>0.17974080000000001</v>
      </c>
      <c r="K106" s="351">
        <f t="shared" si="19"/>
        <v>0.42657299999999998</v>
      </c>
      <c r="L106" s="351" t="e">
        <f t="shared" si="19"/>
        <v>#VALUE!</v>
      </c>
      <c r="M106" s="351" t="e">
        <f t="shared" si="19"/>
        <v>#VALUE!</v>
      </c>
      <c r="N106" s="351" t="e">
        <f t="shared" si="19"/>
        <v>#VALUE!</v>
      </c>
      <c r="O106" s="351"/>
      <c r="P106" s="351">
        <f>P115+P142+P176</f>
        <v>0</v>
      </c>
      <c r="Q106" s="316"/>
      <c r="R106" s="300"/>
    </row>
    <row r="107" spans="1:18" s="313" customFormat="1" ht="24" hidden="1" customHeight="1">
      <c r="A107" s="352" t="s">
        <v>1000</v>
      </c>
      <c r="B107" s="353" t="s">
        <v>670</v>
      </c>
      <c r="C107" s="317"/>
      <c r="D107" s="350"/>
      <c r="E107" s="317"/>
      <c r="F107" s="317"/>
      <c r="G107" s="386"/>
      <c r="H107" s="386"/>
      <c r="I107" s="386"/>
      <c r="J107" s="386"/>
      <c r="K107" s="386"/>
      <c r="L107" s="317"/>
      <c r="M107" s="317"/>
      <c r="N107" s="317"/>
      <c r="O107" s="317"/>
      <c r="P107" s="317"/>
      <c r="Q107" s="316"/>
      <c r="R107" s="300"/>
    </row>
    <row r="108" spans="1:18" s="313" customFormat="1" ht="24" hidden="1" customHeight="1">
      <c r="A108" s="1112" t="s">
        <v>1008</v>
      </c>
      <c r="B108" s="1120" t="s">
        <v>668</v>
      </c>
      <c r="C108" s="1112" t="s">
        <v>532</v>
      </c>
      <c r="D108" s="354">
        <v>2</v>
      </c>
      <c r="E108" s="355" t="e">
        <f>(E123+E124+E125+E130+E132+E133+E135+E137)*0.3</f>
        <v>#VALUE!</v>
      </c>
      <c r="F108" s="355">
        <f>(F123+F124+F125+F130+F132+F133+F135+F137)*0.3</f>
        <v>11025</v>
      </c>
      <c r="G108" s="370">
        <f>G116+G131</f>
        <v>0</v>
      </c>
      <c r="H108" s="370">
        <f>'Dcu-DKDD'!H64/5000*0.3</f>
        <v>0.22717545849519233</v>
      </c>
      <c r="I108" s="370">
        <f>'VL-DKDD'!F66/5000*0</f>
        <v>0</v>
      </c>
      <c r="J108" s="370">
        <f>'TB-DKDD'!I32/5000*0.3</f>
        <v>5.5848E-3</v>
      </c>
      <c r="K108" s="370">
        <f>'NL-DKDD'!F23/5000*0.3</f>
        <v>1.1655E-2</v>
      </c>
      <c r="L108" s="355" t="e">
        <f t="shared" ref="L108:L115" si="20">SUM(E108:K108)</f>
        <v>#VALUE!</v>
      </c>
      <c r="M108" s="355" t="e">
        <f>L108*'He so chung'!$D$17/100</f>
        <v>#VALUE!</v>
      </c>
      <c r="N108" s="355" t="e">
        <f t="shared" ref="N108:N115" si="21">L108+M108</f>
        <v>#VALUE!</v>
      </c>
      <c r="O108" s="355">
        <v>3795</v>
      </c>
      <c r="P108" s="355">
        <f>P117+P118+P119+P121+P123+P124+P125+P130+P132+P133+P135+P137+P138+P139</f>
        <v>0</v>
      </c>
      <c r="Q108" s="316"/>
      <c r="R108" s="300"/>
    </row>
    <row r="109" spans="1:18" s="313" customFormat="1" ht="24" hidden="1" customHeight="1">
      <c r="A109" s="1112"/>
      <c r="B109" s="1120"/>
      <c r="C109" s="1112"/>
      <c r="D109" s="354">
        <v>3</v>
      </c>
      <c r="E109" s="355" t="e">
        <f>(E123+E124+E126+E130+E132+E133+E135+E137)*0.3</f>
        <v>#VALUE!</v>
      </c>
      <c r="F109" s="355">
        <f>(F123+F124+F126+F130+F132+F133+F135+F137)*0.3</f>
        <v>13230</v>
      </c>
      <c r="G109" s="370">
        <f>G117+G131</f>
        <v>0</v>
      </c>
      <c r="H109" s="370">
        <f>'Dcu-DKDD'!H65/5000*0.3</f>
        <v>0.25241717610576919</v>
      </c>
      <c r="I109" s="370">
        <f>'VL-DKDD'!F66/5000*0</f>
        <v>0</v>
      </c>
      <c r="J109" s="370">
        <f>'TB-DKDD'!I32/5000*0.3</f>
        <v>5.5848E-3</v>
      </c>
      <c r="K109" s="370">
        <f>'NL-DKDD'!F23/5000*0.3</f>
        <v>1.1655E-2</v>
      </c>
      <c r="L109" s="355" t="e">
        <f t="shared" si="20"/>
        <v>#VALUE!</v>
      </c>
      <c r="M109" s="355" t="e">
        <f>L109*'He so chung'!$D$17/100</f>
        <v>#VALUE!</v>
      </c>
      <c r="N109" s="355" t="e">
        <f t="shared" si="21"/>
        <v>#VALUE!</v>
      </c>
      <c r="O109" s="355">
        <v>4174.5</v>
      </c>
      <c r="P109" s="355">
        <f>P117+P118+P119+P121+P123+P124+P126+P130+P132+P133+P135+P137+P138+P139</f>
        <v>0</v>
      </c>
      <c r="Q109" s="316"/>
      <c r="R109" s="300"/>
    </row>
    <row r="110" spans="1:18" s="313" customFormat="1" ht="24" hidden="1" customHeight="1">
      <c r="A110" s="1112"/>
      <c r="B110" s="1120"/>
      <c r="C110" s="1112"/>
      <c r="D110" s="354">
        <v>4</v>
      </c>
      <c r="E110" s="355" t="e">
        <f>(E123+E124+E127+E130+E132+E133+E135+E137)*0.3</f>
        <v>#VALUE!</v>
      </c>
      <c r="F110" s="355">
        <f>(F123+F124+F127+F130+F132+F133+F135+F137)*0.3</f>
        <v>15876</v>
      </c>
      <c r="G110" s="370">
        <f>G118+G131</f>
        <v>0</v>
      </c>
      <c r="H110" s="370">
        <f>'Dcu-DKDD'!H66/5000*0.3</f>
        <v>0.27765889371634617</v>
      </c>
      <c r="I110" s="370">
        <f>'VL-DKDD'!F66/5000*0</f>
        <v>0</v>
      </c>
      <c r="J110" s="370">
        <f>'TB-DKDD'!I32/5000*0.3</f>
        <v>5.5848E-3</v>
      </c>
      <c r="K110" s="370">
        <f>'NL-DKDD'!F23/5000*0.3</f>
        <v>1.1655E-2</v>
      </c>
      <c r="L110" s="355" t="e">
        <f t="shared" si="20"/>
        <v>#VALUE!</v>
      </c>
      <c r="M110" s="355" t="e">
        <f>L110*'He so chung'!$D$17/100</f>
        <v>#VALUE!</v>
      </c>
      <c r="N110" s="355" t="e">
        <f t="shared" si="21"/>
        <v>#VALUE!</v>
      </c>
      <c r="O110" s="355">
        <v>4588.5</v>
      </c>
      <c r="P110" s="355">
        <f>P117+P118+P119+P121+P123+P124+P127+P130+P132+P133+P135+P137+P138+P139</f>
        <v>0</v>
      </c>
      <c r="Q110" s="316"/>
      <c r="R110" s="300"/>
    </row>
    <row r="111" spans="1:18" s="313" customFormat="1" ht="24" hidden="1" customHeight="1">
      <c r="A111" s="1112"/>
      <c r="B111" s="1120"/>
      <c r="C111" s="398"/>
      <c r="D111" s="354">
        <v>5</v>
      </c>
      <c r="E111" s="355" t="e">
        <f>(E123+E124+E128+E130+E132+E133+E135+E137)*0.3</f>
        <v>#VALUE!</v>
      </c>
      <c r="F111" s="355">
        <f>(F123+F124+F128+F130+F132+F133+F135+F137)*0.3</f>
        <v>19051.2</v>
      </c>
      <c r="G111" s="370">
        <f>G119+G131</f>
        <v>0</v>
      </c>
      <c r="H111" s="370">
        <f>'Dcu-DKDD'!H67/5000*0.3</f>
        <v>0.30290061132692303</v>
      </c>
      <c r="I111" s="370">
        <f>'VL-DKDD'!F66/5000*0</f>
        <v>0</v>
      </c>
      <c r="J111" s="370">
        <f>'TB-DKDD'!I32/5000*0.3</f>
        <v>5.5848E-3</v>
      </c>
      <c r="K111" s="370">
        <f>'NL-DKDD'!F23/5000*0.3</f>
        <v>1.1655E-2</v>
      </c>
      <c r="L111" s="355" t="e">
        <f t="shared" si="20"/>
        <v>#VALUE!</v>
      </c>
      <c r="M111" s="355" t="e">
        <f>L111*'He so chung'!$D$17/100</f>
        <v>#VALUE!</v>
      </c>
      <c r="N111" s="355" t="e">
        <f t="shared" si="21"/>
        <v>#VALUE!</v>
      </c>
      <c r="O111" s="355">
        <v>5047.3500000000349</v>
      </c>
      <c r="P111" s="355">
        <f>P117+P118+P119+P121+P123+P124+P128+P130+P132+P133+P135+P137+P138+P139</f>
        <v>0</v>
      </c>
      <c r="Q111" s="316"/>
      <c r="R111" s="300"/>
    </row>
    <row r="112" spans="1:18" s="313" customFormat="1" ht="24" hidden="1" customHeight="1">
      <c r="A112" s="1113" t="s">
        <v>1009</v>
      </c>
      <c r="B112" s="1103" t="s">
        <v>669</v>
      </c>
      <c r="C112" s="1113" t="s">
        <v>532</v>
      </c>
      <c r="D112" s="354">
        <v>2</v>
      </c>
      <c r="E112" s="355" t="e">
        <f>(E123+E124+E125+E131+E132+E133+E136+E137)*0.3</f>
        <v>#VALUE!</v>
      </c>
      <c r="F112" s="355">
        <f>(F123+F124+F125+F131+F132+F133+F136+F137)*0.3</f>
        <v>11025</v>
      </c>
      <c r="G112" s="370"/>
      <c r="H112" s="370">
        <f>H108</f>
        <v>0.22717545849519233</v>
      </c>
      <c r="I112" s="370">
        <f t="shared" ref="H112:K115" si="22">I108</f>
        <v>0</v>
      </c>
      <c r="J112" s="370">
        <f t="shared" si="22"/>
        <v>5.5848E-3</v>
      </c>
      <c r="K112" s="370">
        <f t="shared" si="22"/>
        <v>1.1655E-2</v>
      </c>
      <c r="L112" s="355" t="e">
        <f t="shared" si="20"/>
        <v>#VALUE!</v>
      </c>
      <c r="M112" s="355" t="e">
        <f>L112*'He so chung'!$D$17/100</f>
        <v>#VALUE!</v>
      </c>
      <c r="N112" s="355" t="e">
        <f t="shared" si="21"/>
        <v>#VALUE!</v>
      </c>
      <c r="O112" s="355"/>
      <c r="P112" s="355">
        <f>P117+P118+P119+P122+P123+P124+P125+P131+P132+P133+P136+P137+P138+P139</f>
        <v>0</v>
      </c>
      <c r="Q112" s="316"/>
      <c r="R112" s="300"/>
    </row>
    <row r="113" spans="1:18" s="313" customFormat="1" ht="24" hidden="1" customHeight="1">
      <c r="A113" s="1114"/>
      <c r="B113" s="1104"/>
      <c r="C113" s="1114"/>
      <c r="D113" s="354">
        <v>3</v>
      </c>
      <c r="E113" s="355" t="e">
        <f>(E123+E124+E126+E130+E131+E132+E133+E136+E137)*0.3</f>
        <v>#VALUE!</v>
      </c>
      <c r="F113" s="355">
        <f>(F123+F124+F126+F130+F131+F132+F133+F136+F137)*0.3</f>
        <v>13230</v>
      </c>
      <c r="G113" s="370"/>
      <c r="H113" s="370">
        <f t="shared" si="22"/>
        <v>0.25241717610576919</v>
      </c>
      <c r="I113" s="370">
        <f t="shared" si="22"/>
        <v>0</v>
      </c>
      <c r="J113" s="370">
        <f t="shared" si="22"/>
        <v>5.5848E-3</v>
      </c>
      <c r="K113" s="370">
        <f t="shared" si="22"/>
        <v>1.1655E-2</v>
      </c>
      <c r="L113" s="355" t="e">
        <f t="shared" si="20"/>
        <v>#VALUE!</v>
      </c>
      <c r="M113" s="355" t="e">
        <f>L113*'He so chung'!$D$17/100</f>
        <v>#VALUE!</v>
      </c>
      <c r="N113" s="355" t="e">
        <f t="shared" si="21"/>
        <v>#VALUE!</v>
      </c>
      <c r="O113" s="355"/>
      <c r="P113" s="355">
        <f>P117+P118+P119+P122+P123+P124+P126+P131+P132+P133+P136+P137+P138+P139</f>
        <v>0</v>
      </c>
      <c r="Q113" s="316"/>
      <c r="R113" s="300"/>
    </row>
    <row r="114" spans="1:18" s="313" customFormat="1" ht="24" hidden="1" customHeight="1">
      <c r="A114" s="1114"/>
      <c r="B114" s="1104"/>
      <c r="C114" s="1114"/>
      <c r="D114" s="354">
        <v>4</v>
      </c>
      <c r="E114" s="355" t="e">
        <f>(E123+E124+E127+E131+E132+E133+E136+E137)*0.3</f>
        <v>#VALUE!</v>
      </c>
      <c r="F114" s="355">
        <f>(F123+F124+F127+F131+F132+F133+F136+F137)*0.3</f>
        <v>15876</v>
      </c>
      <c r="G114" s="370"/>
      <c r="H114" s="370">
        <f t="shared" si="22"/>
        <v>0.27765889371634617</v>
      </c>
      <c r="I114" s="370">
        <f t="shared" si="22"/>
        <v>0</v>
      </c>
      <c r="J114" s="370">
        <f t="shared" si="22"/>
        <v>5.5848E-3</v>
      </c>
      <c r="K114" s="370">
        <f t="shared" si="22"/>
        <v>1.1655E-2</v>
      </c>
      <c r="L114" s="355" t="e">
        <f t="shared" si="20"/>
        <v>#VALUE!</v>
      </c>
      <c r="M114" s="355" t="e">
        <f>L114*'He so chung'!$D$17/100</f>
        <v>#VALUE!</v>
      </c>
      <c r="N114" s="355" t="e">
        <f t="shared" si="21"/>
        <v>#VALUE!</v>
      </c>
      <c r="O114" s="355"/>
      <c r="P114" s="355">
        <f>P117+P118+P119+P122+P123+P124+P127+P131+P132+P133+P136+P137+P138+P139</f>
        <v>0</v>
      </c>
      <c r="Q114" s="316"/>
      <c r="R114" s="300"/>
    </row>
    <row r="115" spans="1:18" s="313" customFormat="1" ht="24" hidden="1" customHeight="1">
      <c r="A115" s="1115"/>
      <c r="B115" s="1105"/>
      <c r="C115" s="1115"/>
      <c r="D115" s="354">
        <v>5</v>
      </c>
      <c r="E115" s="355" t="e">
        <f>(E123+E124+E128+E131+E132+E133+E136+E137)*0.3</f>
        <v>#VALUE!</v>
      </c>
      <c r="F115" s="355">
        <f>(F123+F124+F128+F131+F132+F133+F136+F137)*0.3</f>
        <v>19051.2</v>
      </c>
      <c r="G115" s="370"/>
      <c r="H115" s="370">
        <f t="shared" si="22"/>
        <v>0.30290061132692303</v>
      </c>
      <c r="I115" s="370">
        <f t="shared" si="22"/>
        <v>0</v>
      </c>
      <c r="J115" s="370">
        <f t="shared" si="22"/>
        <v>5.5848E-3</v>
      </c>
      <c r="K115" s="370">
        <f t="shared" si="22"/>
        <v>1.1655E-2</v>
      </c>
      <c r="L115" s="355" t="e">
        <f t="shared" si="20"/>
        <v>#VALUE!</v>
      </c>
      <c r="M115" s="355" t="e">
        <f>L115*'He so chung'!$D$17/100</f>
        <v>#VALUE!</v>
      </c>
      <c r="N115" s="355" t="e">
        <f t="shared" si="21"/>
        <v>#VALUE!</v>
      </c>
      <c r="O115" s="355"/>
      <c r="P115" s="355">
        <f>P117+P118+P119+P122+P123+P124+P128+P131+P132+P133+P136+P137+P138+P139</f>
        <v>0</v>
      </c>
      <c r="Q115" s="316"/>
      <c r="R115" s="300"/>
    </row>
    <row r="116" spans="1:18" s="313" customFormat="1" ht="24" hidden="1" customHeight="1">
      <c r="A116" s="377">
        <v>1</v>
      </c>
      <c r="B116" s="376" t="s">
        <v>453</v>
      </c>
      <c r="C116" s="377"/>
      <c r="D116" s="388"/>
      <c r="E116" s="357"/>
      <c r="F116" s="357"/>
      <c r="G116" s="357"/>
      <c r="H116" s="357"/>
      <c r="I116" s="357"/>
      <c r="J116" s="357"/>
      <c r="K116" s="357"/>
      <c r="L116" s="372"/>
      <c r="M116" s="372"/>
      <c r="N116" s="372"/>
      <c r="O116" s="372"/>
      <c r="P116" s="357"/>
      <c r="Q116" s="316"/>
      <c r="R116" s="300"/>
    </row>
    <row r="117" spans="1:18" s="313" customFormat="1" ht="24" hidden="1" customHeight="1">
      <c r="A117" s="377" t="s">
        <v>733</v>
      </c>
      <c r="B117" s="376" t="s">
        <v>834</v>
      </c>
      <c r="C117" s="377" t="s">
        <v>532</v>
      </c>
      <c r="D117" s="378" t="s">
        <v>722</v>
      </c>
      <c r="E117" s="357" t="e">
        <f>NC_DKDD!H82/5000*10</f>
        <v>#VALUE!</v>
      </c>
      <c r="F117" s="357">
        <f>NC_DKDD!H83/5000*10</f>
        <v>588</v>
      </c>
      <c r="G117" s="357"/>
      <c r="H117" s="357"/>
      <c r="I117" s="357"/>
      <c r="J117" s="357"/>
      <c r="K117" s="357"/>
      <c r="L117" s="372"/>
      <c r="M117" s="372"/>
      <c r="N117" s="372"/>
      <c r="O117" s="372"/>
      <c r="P117" s="357">
        <f>Q117+R117</f>
        <v>0</v>
      </c>
      <c r="Q117" s="316"/>
      <c r="R117" s="300"/>
    </row>
    <row r="118" spans="1:18" s="313" customFormat="1" ht="24" hidden="1" customHeight="1">
      <c r="A118" s="377" t="s">
        <v>741</v>
      </c>
      <c r="B118" s="376" t="s">
        <v>505</v>
      </c>
      <c r="C118" s="377" t="s">
        <v>707</v>
      </c>
      <c r="D118" s="378" t="s">
        <v>722</v>
      </c>
      <c r="E118" s="357" t="e">
        <f>NC_DKDD!H84/5000</f>
        <v>#VALUE!</v>
      </c>
      <c r="F118" s="357"/>
      <c r="G118" s="357"/>
      <c r="H118" s="357"/>
      <c r="I118" s="357"/>
      <c r="J118" s="357"/>
      <c r="K118" s="357"/>
      <c r="L118" s="372"/>
      <c r="M118" s="372"/>
      <c r="N118" s="372"/>
      <c r="O118" s="372"/>
      <c r="P118" s="357">
        <f>Q118+R118</f>
        <v>0</v>
      </c>
      <c r="Q118" s="316"/>
      <c r="R118" s="300"/>
    </row>
    <row r="119" spans="1:18" s="313" customFormat="1" ht="24" hidden="1" customHeight="1">
      <c r="A119" s="377" t="s">
        <v>734</v>
      </c>
      <c r="B119" s="376" t="s">
        <v>840</v>
      </c>
      <c r="C119" s="377" t="s">
        <v>532</v>
      </c>
      <c r="D119" s="378" t="s">
        <v>722</v>
      </c>
      <c r="E119" s="357" t="e">
        <f>NC_DKDD!H85/5000*10</f>
        <v>#VALUE!</v>
      </c>
      <c r="F119" s="357">
        <f>NC_DKDD!H86/5000*10</f>
        <v>735</v>
      </c>
      <c r="G119" s="357"/>
      <c r="H119" s="357"/>
      <c r="I119" s="357"/>
      <c r="J119" s="357"/>
      <c r="K119" s="357"/>
      <c r="L119" s="372"/>
      <c r="M119" s="372"/>
      <c r="N119" s="372"/>
      <c r="O119" s="372"/>
      <c r="P119" s="357">
        <f>Q119+R119</f>
        <v>0</v>
      </c>
      <c r="Q119" s="316"/>
      <c r="R119" s="300"/>
    </row>
    <row r="120" spans="1:18" s="313" customFormat="1" ht="24" hidden="1" customHeight="1">
      <c r="A120" s="377" t="s">
        <v>843</v>
      </c>
      <c r="B120" s="376" t="s">
        <v>844</v>
      </c>
      <c r="C120" s="377"/>
      <c r="D120" s="377"/>
      <c r="E120" s="358"/>
      <c r="F120" s="358"/>
      <c r="G120" s="359"/>
      <c r="H120" s="358"/>
      <c r="I120" s="358"/>
      <c r="J120" s="358"/>
      <c r="K120" s="358"/>
      <c r="L120" s="372"/>
      <c r="M120" s="372"/>
      <c r="N120" s="372"/>
      <c r="O120" s="372"/>
      <c r="P120" s="357">
        <f>Q120+R120</f>
        <v>0</v>
      </c>
      <c r="Q120" s="316"/>
      <c r="R120" s="300"/>
    </row>
    <row r="121" spans="1:18" s="313" customFormat="1" ht="24" hidden="1" customHeight="1">
      <c r="A121" s="377" t="s">
        <v>845</v>
      </c>
      <c r="B121" s="376" t="s">
        <v>846</v>
      </c>
      <c r="C121" s="377" t="s">
        <v>261</v>
      </c>
      <c r="D121" s="378" t="s">
        <v>722</v>
      </c>
      <c r="E121" s="358" t="e">
        <f>NC_DKDD!H88</f>
        <v>#VALUE!</v>
      </c>
      <c r="F121" s="358"/>
      <c r="G121" s="359"/>
      <c r="H121" s="358"/>
      <c r="I121" s="358"/>
      <c r="J121" s="358"/>
      <c r="K121" s="358"/>
      <c r="L121" s="372"/>
      <c r="M121" s="372"/>
      <c r="N121" s="372"/>
      <c r="O121" s="372"/>
      <c r="P121" s="357">
        <f t="shared" ref="P121:P183" si="23">Q121+R121</f>
        <v>0</v>
      </c>
      <c r="Q121" s="316"/>
      <c r="R121" s="300"/>
    </row>
    <row r="122" spans="1:18" s="313" customFormat="1" ht="24" hidden="1" customHeight="1">
      <c r="A122" s="377" t="s">
        <v>848</v>
      </c>
      <c r="B122" s="376" t="s">
        <v>849</v>
      </c>
      <c r="C122" s="377" t="s">
        <v>261</v>
      </c>
      <c r="D122" s="378" t="s">
        <v>722</v>
      </c>
      <c r="E122" s="358" t="e">
        <f>NC_DKDD!H89</f>
        <v>#VALUE!</v>
      </c>
      <c r="F122" s="358"/>
      <c r="G122" s="359"/>
      <c r="H122" s="358"/>
      <c r="I122" s="358"/>
      <c r="J122" s="358"/>
      <c r="K122" s="358"/>
      <c r="L122" s="372"/>
      <c r="M122" s="372"/>
      <c r="N122" s="372"/>
      <c r="O122" s="372"/>
      <c r="P122" s="357">
        <f t="shared" si="23"/>
        <v>0</v>
      </c>
      <c r="Q122" s="316"/>
      <c r="R122" s="300"/>
    </row>
    <row r="123" spans="1:18" s="313" customFormat="1" ht="24" hidden="1" customHeight="1">
      <c r="A123" s="377">
        <v>2</v>
      </c>
      <c r="B123" s="376" t="s">
        <v>850</v>
      </c>
      <c r="C123" s="377" t="s">
        <v>261</v>
      </c>
      <c r="D123" s="378" t="s">
        <v>722</v>
      </c>
      <c r="E123" s="358" t="e">
        <f>NC_DKDD!H90</f>
        <v>#VALUE!</v>
      </c>
      <c r="F123" s="358"/>
      <c r="G123" s="359"/>
      <c r="H123" s="358"/>
      <c r="I123" s="358"/>
      <c r="J123" s="358"/>
      <c r="K123" s="358"/>
      <c r="L123" s="372"/>
      <c r="M123" s="372"/>
      <c r="N123" s="372"/>
      <c r="O123" s="372"/>
      <c r="P123" s="357">
        <f t="shared" si="23"/>
        <v>0</v>
      </c>
      <c r="Q123" s="316"/>
      <c r="R123" s="300"/>
    </row>
    <row r="124" spans="1:18" s="313" customFormat="1" ht="24" hidden="1" customHeight="1">
      <c r="A124" s="377">
        <v>3</v>
      </c>
      <c r="B124" s="376" t="s">
        <v>851</v>
      </c>
      <c r="C124" s="377" t="s">
        <v>481</v>
      </c>
      <c r="D124" s="378" t="s">
        <v>722</v>
      </c>
      <c r="E124" s="358" t="e">
        <f>NC_DKDD!H91</f>
        <v>#VALUE!</v>
      </c>
      <c r="F124" s="358"/>
      <c r="G124" s="359"/>
      <c r="H124" s="358"/>
      <c r="I124" s="358"/>
      <c r="J124" s="358"/>
      <c r="K124" s="358"/>
      <c r="L124" s="372"/>
      <c r="M124" s="372"/>
      <c r="N124" s="372"/>
      <c r="O124" s="372"/>
      <c r="P124" s="357">
        <f t="shared" si="23"/>
        <v>0</v>
      </c>
      <c r="Q124" s="316"/>
      <c r="R124" s="300"/>
    </row>
    <row r="125" spans="1:18" s="313" customFormat="1" ht="24" hidden="1" customHeight="1">
      <c r="A125" s="1116">
        <v>4</v>
      </c>
      <c r="B125" s="1117" t="s">
        <v>852</v>
      </c>
      <c r="C125" s="1116" t="s">
        <v>261</v>
      </c>
      <c r="D125" s="377">
        <v>2</v>
      </c>
      <c r="E125" s="358" t="e">
        <f>NC_DKDD!H92</f>
        <v>#VALUE!</v>
      </c>
      <c r="F125" s="358">
        <f>NC_DKDD!H93</f>
        <v>36750</v>
      </c>
      <c r="G125" s="359"/>
      <c r="H125" s="358"/>
      <c r="I125" s="358"/>
      <c r="J125" s="358"/>
      <c r="K125" s="358"/>
      <c r="L125" s="372"/>
      <c r="M125" s="372"/>
      <c r="N125" s="372"/>
      <c r="O125" s="372"/>
      <c r="P125" s="357">
        <f t="shared" si="23"/>
        <v>0</v>
      </c>
      <c r="Q125" s="316"/>
      <c r="R125" s="300"/>
    </row>
    <row r="126" spans="1:18" s="313" customFormat="1" ht="24" hidden="1" customHeight="1">
      <c r="A126" s="1116"/>
      <c r="B126" s="1117"/>
      <c r="C126" s="1116"/>
      <c r="D126" s="377">
        <v>3</v>
      </c>
      <c r="E126" s="358" t="e">
        <f>NC_DKDD!H94</f>
        <v>#VALUE!</v>
      </c>
      <c r="F126" s="358">
        <f>NC_DKDD!H95</f>
        <v>44100</v>
      </c>
      <c r="G126" s="359"/>
      <c r="H126" s="358"/>
      <c r="I126" s="358"/>
      <c r="J126" s="358"/>
      <c r="K126" s="358"/>
      <c r="L126" s="372"/>
      <c r="M126" s="372"/>
      <c r="N126" s="372"/>
      <c r="O126" s="372"/>
      <c r="P126" s="357">
        <f t="shared" si="23"/>
        <v>0</v>
      </c>
      <c r="Q126" s="316"/>
      <c r="R126" s="300"/>
    </row>
    <row r="127" spans="1:18" s="313" customFormat="1" ht="24" hidden="1" customHeight="1">
      <c r="A127" s="1116"/>
      <c r="B127" s="1117"/>
      <c r="C127" s="1116"/>
      <c r="D127" s="377">
        <v>4</v>
      </c>
      <c r="E127" s="358" t="e">
        <f>NC_DKDD!H96</f>
        <v>#VALUE!</v>
      </c>
      <c r="F127" s="358">
        <f>NC_DKDD!H97</f>
        <v>52920</v>
      </c>
      <c r="G127" s="359"/>
      <c r="H127" s="358"/>
      <c r="I127" s="358"/>
      <c r="J127" s="358"/>
      <c r="K127" s="358"/>
      <c r="L127" s="372"/>
      <c r="M127" s="372"/>
      <c r="N127" s="372"/>
      <c r="O127" s="372"/>
      <c r="P127" s="357">
        <f t="shared" si="23"/>
        <v>0</v>
      </c>
      <c r="Q127" s="316"/>
      <c r="R127" s="300"/>
    </row>
    <row r="128" spans="1:18" s="313" customFormat="1" ht="24" hidden="1" customHeight="1">
      <c r="A128" s="1116"/>
      <c r="B128" s="1117"/>
      <c r="C128" s="1116"/>
      <c r="D128" s="377">
        <v>5</v>
      </c>
      <c r="E128" s="358" t="e">
        <f>NC_DKDD!H98</f>
        <v>#VALUE!</v>
      </c>
      <c r="F128" s="358">
        <f>NC_DKDD!H99</f>
        <v>63504</v>
      </c>
      <c r="G128" s="359"/>
      <c r="H128" s="358"/>
      <c r="I128" s="358"/>
      <c r="J128" s="358"/>
      <c r="K128" s="358"/>
      <c r="L128" s="372"/>
      <c r="M128" s="372"/>
      <c r="N128" s="372"/>
      <c r="O128" s="372"/>
      <c r="P128" s="357">
        <f t="shared" si="23"/>
        <v>0</v>
      </c>
      <c r="Q128" s="316"/>
      <c r="R128" s="300"/>
    </row>
    <row r="129" spans="1:18" s="313" customFormat="1" ht="24" hidden="1" customHeight="1">
      <c r="A129" s="377">
        <v>5</v>
      </c>
      <c r="B129" s="376" t="s">
        <v>579</v>
      </c>
      <c r="C129" s="377"/>
      <c r="D129" s="377"/>
      <c r="E129" s="358"/>
      <c r="F129" s="358"/>
      <c r="G129" s="359"/>
      <c r="H129" s="358"/>
      <c r="I129" s="358"/>
      <c r="J129" s="358"/>
      <c r="K129" s="358"/>
      <c r="L129" s="372"/>
      <c r="M129" s="372"/>
      <c r="N129" s="372"/>
      <c r="O129" s="372"/>
      <c r="P129" s="357">
        <f t="shared" si="23"/>
        <v>0</v>
      </c>
      <c r="Q129" s="316"/>
      <c r="R129" s="300"/>
    </row>
    <row r="130" spans="1:18" s="313" customFormat="1" ht="24" hidden="1" customHeight="1">
      <c r="A130" s="377" t="s">
        <v>461</v>
      </c>
      <c r="B130" s="376" t="s">
        <v>846</v>
      </c>
      <c r="C130" s="377" t="s">
        <v>261</v>
      </c>
      <c r="D130" s="378" t="s">
        <v>722</v>
      </c>
      <c r="E130" s="358" t="e">
        <f>NC_DKDD!H101</f>
        <v>#VALUE!</v>
      </c>
      <c r="F130" s="358"/>
      <c r="G130" s="359"/>
      <c r="H130" s="358"/>
      <c r="I130" s="358"/>
      <c r="J130" s="358"/>
      <c r="K130" s="358"/>
      <c r="L130" s="372"/>
      <c r="M130" s="372"/>
      <c r="N130" s="372"/>
      <c r="O130" s="372"/>
      <c r="P130" s="357">
        <f t="shared" si="23"/>
        <v>0</v>
      </c>
      <c r="Q130" s="316"/>
      <c r="R130" s="300"/>
    </row>
    <row r="131" spans="1:18" s="313" customFormat="1" ht="24" hidden="1" customHeight="1">
      <c r="A131" s="377" t="s">
        <v>462</v>
      </c>
      <c r="B131" s="376" t="s">
        <v>849</v>
      </c>
      <c r="C131" s="377" t="s">
        <v>261</v>
      </c>
      <c r="D131" s="378" t="s">
        <v>722</v>
      </c>
      <c r="E131" s="358" t="e">
        <f>NC_DKDD!H102</f>
        <v>#VALUE!</v>
      </c>
      <c r="F131" s="357"/>
      <c r="G131" s="359"/>
      <c r="H131" s="357"/>
      <c r="I131" s="357"/>
      <c r="J131" s="357"/>
      <c r="K131" s="357"/>
      <c r="L131" s="372"/>
      <c r="M131" s="372"/>
      <c r="N131" s="372"/>
      <c r="O131" s="372"/>
      <c r="P131" s="357">
        <f t="shared" si="23"/>
        <v>0</v>
      </c>
      <c r="Q131" s="316"/>
      <c r="R131" s="300"/>
    </row>
    <row r="132" spans="1:18" s="313" customFormat="1" ht="24" hidden="1" customHeight="1">
      <c r="A132" s="377">
        <v>6</v>
      </c>
      <c r="B132" s="376" t="s">
        <v>506</v>
      </c>
      <c r="C132" s="377" t="s">
        <v>481</v>
      </c>
      <c r="D132" s="378" t="s">
        <v>722</v>
      </c>
      <c r="E132" s="358" t="e">
        <f>NC_DKDD!H103</f>
        <v>#VALUE!</v>
      </c>
      <c r="F132" s="389"/>
      <c r="G132" s="389"/>
      <c r="H132" s="355"/>
      <c r="I132" s="355"/>
      <c r="J132" s="355"/>
      <c r="K132" s="355"/>
      <c r="L132" s="355"/>
      <c r="M132" s="355"/>
      <c r="N132" s="355"/>
      <c r="O132" s="355"/>
      <c r="P132" s="357">
        <f t="shared" si="23"/>
        <v>0</v>
      </c>
      <c r="Q132" s="316"/>
      <c r="R132" s="300"/>
    </row>
    <row r="133" spans="1:18" s="313" customFormat="1" ht="24" hidden="1" customHeight="1">
      <c r="A133" s="377">
        <v>7</v>
      </c>
      <c r="B133" s="376" t="s">
        <v>148</v>
      </c>
      <c r="C133" s="377" t="s">
        <v>261</v>
      </c>
      <c r="D133" s="378" t="s">
        <v>722</v>
      </c>
      <c r="E133" s="358" t="e">
        <f>NC_DKDD!H104</f>
        <v>#VALUE!</v>
      </c>
      <c r="F133" s="357"/>
      <c r="G133" s="357"/>
      <c r="H133" s="357"/>
      <c r="I133" s="357"/>
      <c r="J133" s="357"/>
      <c r="K133" s="357"/>
      <c r="L133" s="372"/>
      <c r="M133" s="372"/>
      <c r="N133" s="372"/>
      <c r="O133" s="372"/>
      <c r="P133" s="357">
        <f t="shared" si="23"/>
        <v>0</v>
      </c>
      <c r="Q133" s="316"/>
      <c r="R133" s="300"/>
    </row>
    <row r="134" spans="1:18" s="313" customFormat="1" ht="24" hidden="1" customHeight="1">
      <c r="A134" s="377">
        <v>8</v>
      </c>
      <c r="B134" s="376" t="s">
        <v>167</v>
      </c>
      <c r="C134" s="377"/>
      <c r="D134" s="377"/>
      <c r="E134" s="358">
        <f>NC_DKDD!H105</f>
        <v>0</v>
      </c>
      <c r="F134" s="358"/>
      <c r="G134" s="359"/>
      <c r="H134" s="358"/>
      <c r="I134" s="358"/>
      <c r="J134" s="358"/>
      <c r="K134" s="358"/>
      <c r="L134" s="372"/>
      <c r="M134" s="372"/>
      <c r="N134" s="372"/>
      <c r="O134" s="372"/>
      <c r="P134" s="357">
        <f t="shared" si="23"/>
        <v>0</v>
      </c>
      <c r="Q134" s="316"/>
      <c r="R134" s="300"/>
    </row>
    <row r="135" spans="1:18" s="313" customFormat="1" ht="24" hidden="1" customHeight="1">
      <c r="A135" s="377" t="s">
        <v>191</v>
      </c>
      <c r="B135" s="376" t="s">
        <v>846</v>
      </c>
      <c r="C135" s="377" t="s">
        <v>261</v>
      </c>
      <c r="D135" s="378" t="s">
        <v>722</v>
      </c>
      <c r="E135" s="358" t="e">
        <f>NC_DKDD!H106</f>
        <v>#VALUE!</v>
      </c>
      <c r="F135" s="358"/>
      <c r="G135" s="359"/>
      <c r="H135" s="358"/>
      <c r="I135" s="358"/>
      <c r="J135" s="358"/>
      <c r="K135" s="358"/>
      <c r="L135" s="372"/>
      <c r="M135" s="372"/>
      <c r="N135" s="372"/>
      <c r="O135" s="372"/>
      <c r="P135" s="357">
        <f t="shared" si="23"/>
        <v>0</v>
      </c>
      <c r="Q135" s="316"/>
      <c r="R135" s="300"/>
    </row>
    <row r="136" spans="1:18" s="313" customFormat="1" ht="24" hidden="1" customHeight="1">
      <c r="A136" s="377" t="s">
        <v>192</v>
      </c>
      <c r="B136" s="376" t="s">
        <v>849</v>
      </c>
      <c r="C136" s="377" t="s">
        <v>261</v>
      </c>
      <c r="D136" s="378" t="s">
        <v>722</v>
      </c>
      <c r="E136" s="358" t="e">
        <f>NC_DKDD!H107</f>
        <v>#VALUE!</v>
      </c>
      <c r="F136" s="358"/>
      <c r="G136" s="359"/>
      <c r="H136" s="358"/>
      <c r="I136" s="358"/>
      <c r="J136" s="358"/>
      <c r="K136" s="358"/>
      <c r="L136" s="372"/>
      <c r="M136" s="372"/>
      <c r="N136" s="372"/>
      <c r="O136" s="372"/>
      <c r="P136" s="357">
        <f t="shared" si="23"/>
        <v>0</v>
      </c>
      <c r="Q136" s="316"/>
      <c r="R136" s="300"/>
    </row>
    <row r="137" spans="1:18" s="313" customFormat="1" ht="24" hidden="1" customHeight="1">
      <c r="A137" s="377">
        <v>9</v>
      </c>
      <c r="B137" s="376" t="s">
        <v>149</v>
      </c>
      <c r="C137" s="377" t="s">
        <v>261</v>
      </c>
      <c r="D137" s="378" t="s">
        <v>722</v>
      </c>
      <c r="E137" s="358" t="e">
        <f>NC_DKDD!H108</f>
        <v>#VALUE!</v>
      </c>
      <c r="F137" s="390"/>
      <c r="G137" s="357"/>
      <c r="H137" s="357"/>
      <c r="I137" s="357"/>
      <c r="J137" s="357"/>
      <c r="K137" s="357"/>
      <c r="L137" s="372"/>
      <c r="M137" s="372"/>
      <c r="N137" s="372"/>
      <c r="O137" s="372"/>
      <c r="P137" s="357">
        <f t="shared" si="23"/>
        <v>0</v>
      </c>
      <c r="Q137" s="316"/>
      <c r="R137" s="300"/>
    </row>
    <row r="138" spans="1:18" s="313" customFormat="1" ht="41.25" hidden="1" customHeight="1">
      <c r="A138" s="377">
        <v>10</v>
      </c>
      <c r="B138" s="376" t="s">
        <v>0</v>
      </c>
      <c r="C138" s="377" t="s">
        <v>261</v>
      </c>
      <c r="D138" s="378" t="s">
        <v>722</v>
      </c>
      <c r="E138" s="358" t="e">
        <f>NC_DKDD!H109</f>
        <v>#VALUE!</v>
      </c>
      <c r="F138" s="358"/>
      <c r="G138" s="359"/>
      <c r="H138" s="358"/>
      <c r="I138" s="358"/>
      <c r="J138" s="358"/>
      <c r="K138" s="358"/>
      <c r="L138" s="372"/>
      <c r="M138" s="372"/>
      <c r="N138" s="372"/>
      <c r="O138" s="372"/>
      <c r="P138" s="357">
        <f t="shared" si="23"/>
        <v>0</v>
      </c>
      <c r="Q138" s="316"/>
      <c r="R138" s="300"/>
    </row>
    <row r="139" spans="1:18" s="313" customFormat="1" ht="36.75" hidden="1" customHeight="1">
      <c r="A139" s="377">
        <v>11</v>
      </c>
      <c r="B139" s="376" t="s">
        <v>581</v>
      </c>
      <c r="C139" s="377" t="s">
        <v>261</v>
      </c>
      <c r="D139" s="378" t="s">
        <v>722</v>
      </c>
      <c r="E139" s="358" t="e">
        <f>NC_DKDD!H110</f>
        <v>#VALUE!</v>
      </c>
      <c r="F139" s="358"/>
      <c r="G139" s="359"/>
      <c r="H139" s="358"/>
      <c r="I139" s="358"/>
      <c r="J139" s="358"/>
      <c r="K139" s="358"/>
      <c r="L139" s="372"/>
      <c r="M139" s="372"/>
      <c r="N139" s="372"/>
      <c r="O139" s="372"/>
      <c r="P139" s="357">
        <f t="shared" si="23"/>
        <v>0</v>
      </c>
      <c r="Q139" s="316"/>
      <c r="R139" s="300"/>
    </row>
    <row r="140" spans="1:18" s="313" customFormat="1" ht="24" hidden="1" customHeight="1">
      <c r="A140" s="377" t="s">
        <v>1005</v>
      </c>
      <c r="B140" s="379" t="s">
        <v>582</v>
      </c>
      <c r="C140" s="377"/>
      <c r="D140" s="378"/>
      <c r="E140" s="358"/>
      <c r="F140" s="358"/>
      <c r="G140" s="359"/>
      <c r="H140" s="358"/>
      <c r="I140" s="358"/>
      <c r="J140" s="358"/>
      <c r="K140" s="358"/>
      <c r="L140" s="372"/>
      <c r="M140" s="372"/>
      <c r="N140" s="372"/>
      <c r="O140" s="372"/>
      <c r="P140" s="357">
        <f t="shared" si="23"/>
        <v>0</v>
      </c>
      <c r="Q140" s="316"/>
      <c r="R140" s="300"/>
    </row>
    <row r="141" spans="1:18" s="313" customFormat="1" ht="24" hidden="1" customHeight="1">
      <c r="A141" s="381" t="s">
        <v>1010</v>
      </c>
      <c r="B141" s="379" t="s">
        <v>668</v>
      </c>
      <c r="C141" s="377" t="s">
        <v>261</v>
      </c>
      <c r="D141" s="378" t="s">
        <v>722</v>
      </c>
      <c r="E141" s="391" t="e">
        <f>(E144+E147+E148+E150+E158)*0.3</f>
        <v>#VALUE!</v>
      </c>
      <c r="F141" s="391">
        <f>F144+F146+F147+F148+F150+F154+F156+F158+F159+F161+F163+F164+F165+F168+F169+F170+F171+F172+F173</f>
        <v>0</v>
      </c>
      <c r="G141" s="359"/>
      <c r="H141" s="392">
        <f>'Dcu-DKDD'!J64/5000*0.3</f>
        <v>0.23231646240384612</v>
      </c>
      <c r="I141" s="392">
        <f>'VL-DKDD'!H66/5000*0</f>
        <v>0</v>
      </c>
      <c r="J141" s="392">
        <f>'TB-DKDD'!K32/5000*0.3</f>
        <v>0.17415600000000001</v>
      </c>
      <c r="K141" s="392">
        <f>'NL-DKDD'!H23/5000*0.3</f>
        <v>0.41491799999999995</v>
      </c>
      <c r="L141" s="355" t="e">
        <f>SUM(E141:K141)</f>
        <v>#VALUE!</v>
      </c>
      <c r="M141" s="355" t="e">
        <f>L141*'He so chung'!$D$17/100</f>
        <v>#VALUE!</v>
      </c>
      <c r="N141" s="355" t="e">
        <f>L141+M141</f>
        <v>#VALUE!</v>
      </c>
      <c r="O141" s="372"/>
      <c r="P141" s="357">
        <f t="shared" si="23"/>
        <v>0</v>
      </c>
      <c r="Q141" s="316"/>
      <c r="R141" s="300"/>
    </row>
    <row r="142" spans="1:18" s="313" customFormat="1" ht="24" hidden="1" customHeight="1">
      <c r="A142" s="381" t="s">
        <v>1016</v>
      </c>
      <c r="B142" s="379" t="s">
        <v>669</v>
      </c>
      <c r="C142" s="377" t="s">
        <v>261</v>
      </c>
      <c r="D142" s="378" t="s">
        <v>722</v>
      </c>
      <c r="E142" s="391" t="e">
        <f>(E145+E147+E148+E150+E158)*0.3</f>
        <v>#VALUE!</v>
      </c>
      <c r="F142" s="391">
        <f>F145+F146+F147+F148+F150+F153+F157+F158+F159+F161+F163+F164+F165+F168+F169+F170+F171+F172+F173</f>
        <v>0</v>
      </c>
      <c r="G142" s="359"/>
      <c r="H142" s="392">
        <f>H141</f>
        <v>0.23231646240384612</v>
      </c>
      <c r="I142" s="392">
        <f>I141</f>
        <v>0</v>
      </c>
      <c r="J142" s="392">
        <f>J141</f>
        <v>0.17415600000000001</v>
      </c>
      <c r="K142" s="392">
        <f>K141</f>
        <v>0.41491799999999995</v>
      </c>
      <c r="L142" s="355" t="e">
        <f>SUM(E142:K142)</f>
        <v>#VALUE!</v>
      </c>
      <c r="M142" s="355" t="e">
        <f>L142*'He so chung'!$D$17/100</f>
        <v>#VALUE!</v>
      </c>
      <c r="N142" s="355" t="e">
        <f>L142+M142</f>
        <v>#VALUE!</v>
      </c>
      <c r="O142" s="372"/>
      <c r="P142" s="357">
        <f t="shared" si="23"/>
        <v>0</v>
      </c>
      <c r="Q142" s="316"/>
      <c r="R142" s="300"/>
    </row>
    <row r="143" spans="1:18" s="313" customFormat="1" ht="24" hidden="1" customHeight="1">
      <c r="A143" s="377">
        <v>1</v>
      </c>
      <c r="B143" s="376" t="s">
        <v>1</v>
      </c>
      <c r="C143" s="377"/>
      <c r="D143" s="377"/>
      <c r="E143" s="360"/>
      <c r="F143" s="359"/>
      <c r="G143" s="359"/>
      <c r="H143" s="356"/>
      <c r="I143" s="356"/>
      <c r="J143" s="356"/>
      <c r="K143" s="356"/>
      <c r="L143" s="372"/>
      <c r="M143" s="372"/>
      <c r="N143" s="372"/>
      <c r="O143" s="372"/>
      <c r="P143" s="357">
        <f t="shared" si="23"/>
        <v>0</v>
      </c>
      <c r="Q143" s="316"/>
      <c r="R143" s="300"/>
    </row>
    <row r="144" spans="1:18" s="313" customFormat="1" ht="24" hidden="1" customHeight="1">
      <c r="A144" s="377" t="s">
        <v>733</v>
      </c>
      <c r="B144" s="376" t="s">
        <v>846</v>
      </c>
      <c r="C144" s="377" t="s">
        <v>261</v>
      </c>
      <c r="D144" s="378" t="s">
        <v>722</v>
      </c>
      <c r="E144" s="360" t="e">
        <f>NC_DKDD!H113</f>
        <v>#VALUE!</v>
      </c>
      <c r="F144" s="359"/>
      <c r="G144" s="359"/>
      <c r="H144" s="356"/>
      <c r="I144" s="356"/>
      <c r="J144" s="356"/>
      <c r="K144" s="356"/>
      <c r="L144" s="372"/>
      <c r="M144" s="372"/>
      <c r="N144" s="372"/>
      <c r="O144" s="372"/>
      <c r="P144" s="357">
        <f t="shared" si="23"/>
        <v>0</v>
      </c>
      <c r="Q144" s="316"/>
      <c r="R144" s="300"/>
    </row>
    <row r="145" spans="1:18" s="313" customFormat="1" ht="24" hidden="1" customHeight="1">
      <c r="A145" s="377" t="s">
        <v>741</v>
      </c>
      <c r="B145" s="376" t="s">
        <v>849</v>
      </c>
      <c r="C145" s="377" t="s">
        <v>261</v>
      </c>
      <c r="D145" s="378" t="s">
        <v>722</v>
      </c>
      <c r="E145" s="360" t="e">
        <f>NC_DKDD!H114</f>
        <v>#VALUE!</v>
      </c>
      <c r="F145" s="359"/>
      <c r="G145" s="359"/>
      <c r="H145" s="356"/>
      <c r="I145" s="356"/>
      <c r="J145" s="356"/>
      <c r="K145" s="356"/>
      <c r="L145" s="372"/>
      <c r="M145" s="372"/>
      <c r="N145" s="372"/>
      <c r="O145" s="372"/>
      <c r="P145" s="357">
        <f t="shared" si="23"/>
        <v>0</v>
      </c>
      <c r="Q145" s="316"/>
      <c r="R145" s="300"/>
    </row>
    <row r="146" spans="1:18" s="313" customFormat="1" ht="24" hidden="1" customHeight="1">
      <c r="A146" s="377">
        <v>2</v>
      </c>
      <c r="B146" s="376" t="s">
        <v>584</v>
      </c>
      <c r="C146" s="377" t="s">
        <v>261</v>
      </c>
      <c r="D146" s="378" t="s">
        <v>722</v>
      </c>
      <c r="E146" s="360" t="e">
        <f>NC_DKDD!H115</f>
        <v>#VALUE!</v>
      </c>
      <c r="F146" s="359"/>
      <c r="G146" s="359"/>
      <c r="H146" s="356"/>
      <c r="I146" s="356"/>
      <c r="J146" s="356"/>
      <c r="K146" s="356"/>
      <c r="L146" s="372"/>
      <c r="M146" s="372"/>
      <c r="N146" s="372"/>
      <c r="O146" s="372"/>
      <c r="P146" s="357">
        <f t="shared" si="23"/>
        <v>0</v>
      </c>
      <c r="Q146" s="316"/>
      <c r="R146" s="300"/>
    </row>
    <row r="147" spans="1:18" s="313" customFormat="1" ht="28.5" hidden="1" customHeight="1">
      <c r="A147" s="377">
        <v>3</v>
      </c>
      <c r="B147" s="376" t="s">
        <v>585</v>
      </c>
      <c r="C147" s="377" t="s">
        <v>261</v>
      </c>
      <c r="D147" s="378" t="s">
        <v>722</v>
      </c>
      <c r="E147" s="360" t="e">
        <f>NC_DKDD!H116</f>
        <v>#VALUE!</v>
      </c>
      <c r="F147" s="359"/>
      <c r="G147" s="359"/>
      <c r="H147" s="356"/>
      <c r="I147" s="356"/>
      <c r="J147" s="356"/>
      <c r="K147" s="356"/>
      <c r="L147" s="372"/>
      <c r="M147" s="372"/>
      <c r="N147" s="372"/>
      <c r="O147" s="372"/>
      <c r="P147" s="357">
        <f t="shared" si="23"/>
        <v>0</v>
      </c>
      <c r="Q147" s="316"/>
      <c r="R147" s="300"/>
    </row>
    <row r="148" spans="1:18" s="313" customFormat="1" ht="25.5" hidden="1" customHeight="1">
      <c r="A148" s="377">
        <v>4</v>
      </c>
      <c r="B148" s="376" t="s">
        <v>2</v>
      </c>
      <c r="C148" s="377" t="s">
        <v>481</v>
      </c>
      <c r="D148" s="378" t="s">
        <v>722</v>
      </c>
      <c r="E148" s="360" t="e">
        <f>NC_DKDD!H117</f>
        <v>#VALUE!</v>
      </c>
      <c r="F148" s="359"/>
      <c r="G148" s="359"/>
      <c r="H148" s="356"/>
      <c r="I148" s="356"/>
      <c r="J148" s="356"/>
      <c r="K148" s="356"/>
      <c r="L148" s="372"/>
      <c r="M148" s="372"/>
      <c r="N148" s="372"/>
      <c r="O148" s="372"/>
      <c r="P148" s="357">
        <f t="shared" si="23"/>
        <v>0</v>
      </c>
      <c r="Q148" s="316"/>
      <c r="R148" s="300"/>
    </row>
    <row r="149" spans="1:18" s="313" customFormat="1" ht="24" hidden="1" customHeight="1">
      <c r="A149" s="377">
        <v>5</v>
      </c>
      <c r="B149" s="376" t="s">
        <v>23</v>
      </c>
      <c r="C149" s="377"/>
      <c r="D149" s="377"/>
      <c r="E149" s="360">
        <f>NC_DKDD!H118</f>
        <v>0</v>
      </c>
      <c r="F149" s="359"/>
      <c r="G149" s="359"/>
      <c r="H149" s="356"/>
      <c r="I149" s="356"/>
      <c r="J149" s="356"/>
      <c r="K149" s="356"/>
      <c r="L149" s="372"/>
      <c r="M149" s="372"/>
      <c r="N149" s="372"/>
      <c r="O149" s="372"/>
      <c r="P149" s="357">
        <f t="shared" si="23"/>
        <v>0</v>
      </c>
      <c r="Q149" s="316"/>
      <c r="R149" s="300"/>
    </row>
    <row r="150" spans="1:18" s="313" customFormat="1" ht="24" hidden="1" customHeight="1">
      <c r="A150" s="377" t="s">
        <v>461</v>
      </c>
      <c r="B150" s="376" t="s">
        <v>587</v>
      </c>
      <c r="C150" s="377" t="s">
        <v>261</v>
      </c>
      <c r="D150" s="378" t="s">
        <v>722</v>
      </c>
      <c r="E150" s="360" t="e">
        <f>NC_DKDD!H119</f>
        <v>#VALUE!</v>
      </c>
      <c r="F150" s="359"/>
      <c r="G150" s="359"/>
      <c r="H150" s="356"/>
      <c r="I150" s="356"/>
      <c r="J150" s="356"/>
      <c r="K150" s="356"/>
      <c r="L150" s="372"/>
      <c r="M150" s="372"/>
      <c r="N150" s="372"/>
      <c r="O150" s="372"/>
      <c r="P150" s="357">
        <f t="shared" si="23"/>
        <v>0</v>
      </c>
      <c r="Q150" s="316"/>
      <c r="R150" s="300"/>
    </row>
    <row r="151" spans="1:18" s="313" customFormat="1" ht="24" hidden="1" customHeight="1">
      <c r="A151" s="377" t="s">
        <v>462</v>
      </c>
      <c r="B151" s="376" t="s">
        <v>588</v>
      </c>
      <c r="C151" s="377" t="s">
        <v>261</v>
      </c>
      <c r="D151" s="378" t="s">
        <v>722</v>
      </c>
      <c r="E151" s="360" t="e">
        <f>NC_DKDD!H120</f>
        <v>#VALUE!</v>
      </c>
      <c r="F151" s="359"/>
      <c r="G151" s="359"/>
      <c r="H151" s="356"/>
      <c r="I151" s="356"/>
      <c r="J151" s="356"/>
      <c r="K151" s="356"/>
      <c r="L151" s="372"/>
      <c r="M151" s="372"/>
      <c r="N151" s="372"/>
      <c r="O151" s="372"/>
      <c r="P151" s="357">
        <f t="shared" si="23"/>
        <v>0</v>
      </c>
      <c r="Q151" s="316"/>
      <c r="R151" s="300"/>
    </row>
    <row r="152" spans="1:18" s="313" customFormat="1" ht="24" hidden="1" customHeight="1">
      <c r="A152" s="377">
        <v>6</v>
      </c>
      <c r="B152" s="376" t="s">
        <v>589</v>
      </c>
      <c r="C152" s="377"/>
      <c r="D152" s="377"/>
      <c r="E152" s="360">
        <f>NC_DKDD!H121</f>
        <v>0</v>
      </c>
      <c r="F152" s="359"/>
      <c r="G152" s="359"/>
      <c r="H152" s="356"/>
      <c r="I152" s="356"/>
      <c r="J152" s="356"/>
      <c r="K152" s="356"/>
      <c r="L152" s="372"/>
      <c r="M152" s="372"/>
      <c r="N152" s="372"/>
      <c r="O152" s="372"/>
      <c r="P152" s="357">
        <f t="shared" si="23"/>
        <v>0</v>
      </c>
      <c r="Q152" s="316"/>
      <c r="R152" s="300"/>
    </row>
    <row r="153" spans="1:18" s="313" customFormat="1" ht="24" hidden="1" customHeight="1">
      <c r="A153" s="377" t="s">
        <v>661</v>
      </c>
      <c r="B153" s="376" t="s">
        <v>590</v>
      </c>
      <c r="C153" s="377" t="s">
        <v>261</v>
      </c>
      <c r="D153" s="378" t="s">
        <v>722</v>
      </c>
      <c r="E153" s="360" t="e">
        <f>NC_DKDD!H122</f>
        <v>#VALUE!</v>
      </c>
      <c r="F153" s="359"/>
      <c r="G153" s="359"/>
      <c r="H153" s="356"/>
      <c r="I153" s="356"/>
      <c r="J153" s="356"/>
      <c r="K153" s="356"/>
      <c r="L153" s="372"/>
      <c r="M153" s="372"/>
      <c r="N153" s="372"/>
      <c r="O153" s="372"/>
      <c r="P153" s="357">
        <f t="shared" si="23"/>
        <v>0</v>
      </c>
      <c r="Q153" s="316"/>
      <c r="R153" s="300"/>
    </row>
    <row r="154" spans="1:18" s="313" customFormat="1" ht="24" hidden="1" customHeight="1">
      <c r="A154" s="377" t="s">
        <v>662</v>
      </c>
      <c r="B154" s="376" t="s">
        <v>591</v>
      </c>
      <c r="C154" s="377" t="s">
        <v>261</v>
      </c>
      <c r="D154" s="378" t="s">
        <v>722</v>
      </c>
      <c r="E154" s="360" t="e">
        <f>NC_DKDD!H123</f>
        <v>#VALUE!</v>
      </c>
      <c r="F154" s="359"/>
      <c r="G154" s="359"/>
      <c r="H154" s="356"/>
      <c r="I154" s="356"/>
      <c r="J154" s="356"/>
      <c r="K154" s="356"/>
      <c r="L154" s="372"/>
      <c r="M154" s="372"/>
      <c r="N154" s="372"/>
      <c r="O154" s="372"/>
      <c r="P154" s="357">
        <f t="shared" si="23"/>
        <v>0</v>
      </c>
      <c r="Q154" s="316"/>
      <c r="R154" s="300"/>
    </row>
    <row r="155" spans="1:18" s="313" customFormat="1" ht="24" hidden="1" customHeight="1">
      <c r="A155" s="377">
        <v>7</v>
      </c>
      <c r="B155" s="376" t="s">
        <v>592</v>
      </c>
      <c r="C155" s="377"/>
      <c r="D155" s="377"/>
      <c r="E155" s="360">
        <f>NC_DKDD!H124</f>
        <v>0</v>
      </c>
      <c r="F155" s="356"/>
      <c r="G155" s="359"/>
      <c r="H155" s="356"/>
      <c r="I155" s="356"/>
      <c r="J155" s="361"/>
      <c r="K155" s="361"/>
      <c r="L155" s="372"/>
      <c r="M155" s="372"/>
      <c r="N155" s="372"/>
      <c r="O155" s="372"/>
      <c r="P155" s="357">
        <f t="shared" si="23"/>
        <v>0</v>
      </c>
      <c r="Q155" s="316"/>
      <c r="R155" s="300"/>
    </row>
    <row r="156" spans="1:18" s="313" customFormat="1" ht="24" hidden="1" customHeight="1">
      <c r="A156" s="377" t="s">
        <v>714</v>
      </c>
      <c r="B156" s="376" t="s">
        <v>3</v>
      </c>
      <c r="C156" s="377" t="s">
        <v>261</v>
      </c>
      <c r="D156" s="378" t="s">
        <v>722</v>
      </c>
      <c r="E156" s="360" t="e">
        <f>NC_DKDD!H125</f>
        <v>#VALUE!</v>
      </c>
      <c r="F156" s="389"/>
      <c r="G156" s="407"/>
      <c r="H156" s="407"/>
      <c r="I156" s="407"/>
      <c r="J156" s="407"/>
      <c r="K156" s="407"/>
      <c r="L156" s="407"/>
      <c r="M156" s="355"/>
      <c r="N156" s="355"/>
      <c r="O156" s="355"/>
      <c r="P156" s="357">
        <f t="shared" si="23"/>
        <v>0</v>
      </c>
      <c r="Q156" s="316"/>
      <c r="R156" s="300"/>
    </row>
    <row r="157" spans="1:18" s="313" customFormat="1" ht="24" hidden="1" customHeight="1">
      <c r="A157" s="377" t="s">
        <v>715</v>
      </c>
      <c r="B157" s="376" t="s">
        <v>594</v>
      </c>
      <c r="C157" s="377" t="s">
        <v>261</v>
      </c>
      <c r="D157" s="378" t="s">
        <v>722</v>
      </c>
      <c r="E157" s="360" t="e">
        <f>NC_DKDD!H126</f>
        <v>#VALUE!</v>
      </c>
      <c r="F157" s="390"/>
      <c r="G157" s="356"/>
      <c r="H157" s="356"/>
      <c r="I157" s="356"/>
      <c r="J157" s="356"/>
      <c r="K157" s="356"/>
      <c r="L157" s="371"/>
      <c r="M157" s="372"/>
      <c r="N157" s="372"/>
      <c r="O157" s="372"/>
      <c r="P157" s="357">
        <f t="shared" si="23"/>
        <v>0</v>
      </c>
      <c r="Q157" s="316"/>
      <c r="R157" s="300"/>
    </row>
    <row r="158" spans="1:18" s="313" customFormat="1" ht="24" hidden="1" customHeight="1">
      <c r="A158" s="377">
        <v>8</v>
      </c>
      <c r="B158" s="376" t="s">
        <v>78</v>
      </c>
      <c r="C158" s="377" t="s">
        <v>481</v>
      </c>
      <c r="D158" s="378" t="s">
        <v>722</v>
      </c>
      <c r="E158" s="360" t="e">
        <f>NC_DKDD!H127</f>
        <v>#VALUE!</v>
      </c>
      <c r="F158" s="363"/>
      <c r="G158" s="359"/>
      <c r="H158" s="356"/>
      <c r="I158" s="356"/>
      <c r="J158" s="361"/>
      <c r="K158" s="361"/>
      <c r="L158" s="371"/>
      <c r="M158" s="372"/>
      <c r="N158" s="372"/>
      <c r="O158" s="372"/>
      <c r="P158" s="357">
        <f t="shared" si="23"/>
        <v>0</v>
      </c>
      <c r="Q158" s="316"/>
      <c r="R158" s="300"/>
    </row>
    <row r="159" spans="1:18" s="313" customFormat="1" ht="24" hidden="1" customHeight="1">
      <c r="A159" s="377">
        <v>9</v>
      </c>
      <c r="B159" s="376" t="s">
        <v>260</v>
      </c>
      <c r="C159" s="377" t="s">
        <v>79</v>
      </c>
      <c r="D159" s="378" t="s">
        <v>722</v>
      </c>
      <c r="E159" s="360" t="e">
        <f>NC_DKDD!H128</f>
        <v>#VALUE!</v>
      </c>
      <c r="F159" s="363"/>
      <c r="G159" s="359"/>
      <c r="H159" s="356"/>
      <c r="I159" s="356"/>
      <c r="J159" s="361"/>
      <c r="K159" s="361"/>
      <c r="L159" s="371"/>
      <c r="M159" s="372"/>
      <c r="N159" s="372"/>
      <c r="O159" s="372"/>
      <c r="P159" s="357">
        <f t="shared" si="23"/>
        <v>0</v>
      </c>
      <c r="Q159" s="316"/>
      <c r="R159" s="300"/>
    </row>
    <row r="160" spans="1:18" s="313" customFormat="1" ht="24" hidden="1" customHeight="1">
      <c r="A160" s="377">
        <v>10</v>
      </c>
      <c r="B160" s="376" t="s">
        <v>80</v>
      </c>
      <c r="C160" s="377"/>
      <c r="D160" s="377"/>
      <c r="E160" s="360">
        <f>NC_DKDD!H129</f>
        <v>0</v>
      </c>
      <c r="F160" s="363"/>
      <c r="G160" s="359"/>
      <c r="H160" s="356"/>
      <c r="I160" s="356"/>
      <c r="J160" s="361"/>
      <c r="K160" s="361"/>
      <c r="L160" s="371"/>
      <c r="M160" s="372"/>
      <c r="N160" s="372"/>
      <c r="O160" s="372"/>
      <c r="P160" s="357">
        <f t="shared" si="23"/>
        <v>0</v>
      </c>
      <c r="Q160" s="316"/>
      <c r="R160" s="300"/>
    </row>
    <row r="161" spans="1:18" s="313" customFormat="1" ht="24" hidden="1" customHeight="1">
      <c r="A161" s="377" t="s">
        <v>81</v>
      </c>
      <c r="B161" s="376" t="s">
        <v>82</v>
      </c>
      <c r="C161" s="377" t="s">
        <v>559</v>
      </c>
      <c r="D161" s="378" t="s">
        <v>722</v>
      </c>
      <c r="E161" s="360" t="e">
        <f>NC_DKDD!H130</f>
        <v>#VALUE!</v>
      </c>
      <c r="F161" s="363"/>
      <c r="G161" s="359"/>
      <c r="H161" s="356"/>
      <c r="I161" s="356"/>
      <c r="J161" s="361"/>
      <c r="K161" s="361"/>
      <c r="L161" s="371"/>
      <c r="M161" s="372"/>
      <c r="N161" s="372"/>
      <c r="O161" s="372"/>
      <c r="P161" s="357">
        <f t="shared" si="23"/>
        <v>0</v>
      </c>
      <c r="Q161" s="316"/>
      <c r="R161" s="300"/>
    </row>
    <row r="162" spans="1:18" s="313" customFormat="1" ht="24" hidden="1" customHeight="1">
      <c r="A162" s="377" t="s">
        <v>83</v>
      </c>
      <c r="B162" s="376" t="s">
        <v>84</v>
      </c>
      <c r="C162" s="377" t="s">
        <v>559</v>
      </c>
      <c r="D162" s="378" t="s">
        <v>722</v>
      </c>
      <c r="E162" s="360" t="e">
        <f>NC_DKDD!H131</f>
        <v>#VALUE!</v>
      </c>
      <c r="F162" s="363"/>
      <c r="G162" s="359"/>
      <c r="H162" s="356"/>
      <c r="I162" s="356"/>
      <c r="J162" s="361"/>
      <c r="K162" s="361"/>
      <c r="L162" s="371"/>
      <c r="M162" s="372"/>
      <c r="N162" s="372"/>
      <c r="O162" s="372"/>
      <c r="P162" s="357">
        <f t="shared" si="23"/>
        <v>0</v>
      </c>
      <c r="Q162" s="316"/>
      <c r="R162" s="300"/>
    </row>
    <row r="163" spans="1:18" s="313" customFormat="1" ht="24" hidden="1" customHeight="1">
      <c r="A163" s="377">
        <v>11</v>
      </c>
      <c r="B163" s="376" t="s">
        <v>85</v>
      </c>
      <c r="C163" s="377" t="s">
        <v>261</v>
      </c>
      <c r="D163" s="378" t="s">
        <v>722</v>
      </c>
      <c r="E163" s="360" t="e">
        <f>NC_DKDD!H132</f>
        <v>#VALUE!</v>
      </c>
      <c r="F163" s="363"/>
      <c r="G163" s="359"/>
      <c r="H163" s="356"/>
      <c r="I163" s="356"/>
      <c r="J163" s="361"/>
      <c r="K163" s="361"/>
      <c r="L163" s="371"/>
      <c r="M163" s="372"/>
      <c r="N163" s="372"/>
      <c r="O163" s="372"/>
      <c r="P163" s="357">
        <f t="shared" si="23"/>
        <v>0</v>
      </c>
      <c r="Q163" s="316"/>
      <c r="R163" s="300"/>
    </row>
    <row r="164" spans="1:18" s="313" customFormat="1" ht="24" hidden="1" customHeight="1">
      <c r="A164" s="377">
        <v>12</v>
      </c>
      <c r="B164" s="376" t="s">
        <v>86</v>
      </c>
      <c r="C164" s="377" t="s">
        <v>261</v>
      </c>
      <c r="D164" s="378" t="s">
        <v>722</v>
      </c>
      <c r="E164" s="360" t="e">
        <f>NC_DKDD!H133</f>
        <v>#VALUE!</v>
      </c>
      <c r="F164" s="363"/>
      <c r="G164" s="359"/>
      <c r="H164" s="356"/>
      <c r="I164" s="356"/>
      <c r="J164" s="361"/>
      <c r="K164" s="361"/>
      <c r="L164" s="371"/>
      <c r="M164" s="372"/>
      <c r="N164" s="372"/>
      <c r="O164" s="372"/>
      <c r="P164" s="357">
        <f t="shared" si="23"/>
        <v>0</v>
      </c>
      <c r="Q164" s="316"/>
      <c r="R164" s="300"/>
    </row>
    <row r="165" spans="1:18" s="313" customFormat="1" ht="24" hidden="1" customHeight="1">
      <c r="A165" s="377">
        <v>13</v>
      </c>
      <c r="B165" s="376" t="s">
        <v>87</v>
      </c>
      <c r="C165" s="377" t="s">
        <v>481</v>
      </c>
      <c r="D165" s="378" t="s">
        <v>722</v>
      </c>
      <c r="E165" s="360" t="e">
        <f>NC_DKDD!H134</f>
        <v>#VALUE!</v>
      </c>
      <c r="F165" s="364"/>
      <c r="G165" s="365"/>
      <c r="H165" s="364"/>
      <c r="I165" s="364"/>
      <c r="J165" s="362"/>
      <c r="K165" s="362"/>
      <c r="L165" s="362"/>
      <c r="M165" s="362"/>
      <c r="N165" s="362"/>
      <c r="O165" s="362"/>
      <c r="P165" s="357">
        <f t="shared" si="23"/>
        <v>0</v>
      </c>
      <c r="Q165" s="316"/>
      <c r="R165" s="300"/>
    </row>
    <row r="166" spans="1:18" s="313" customFormat="1" ht="24" hidden="1" customHeight="1">
      <c r="A166" s="377">
        <v>14</v>
      </c>
      <c r="B166" s="376" t="s">
        <v>4</v>
      </c>
      <c r="C166" s="377"/>
      <c r="D166" s="377"/>
      <c r="E166" s="360">
        <f>NC_DKDD!H135</f>
        <v>0</v>
      </c>
      <c r="F166" s="364"/>
      <c r="G166" s="365"/>
      <c r="H166" s="364"/>
      <c r="I166" s="364"/>
      <c r="J166" s="362"/>
      <c r="K166" s="362"/>
      <c r="L166" s="362"/>
      <c r="M166" s="362"/>
      <c r="N166" s="362"/>
      <c r="O166" s="362"/>
      <c r="P166" s="357">
        <f t="shared" si="23"/>
        <v>0</v>
      </c>
      <c r="Q166" s="316"/>
      <c r="R166" s="300"/>
    </row>
    <row r="167" spans="1:18" s="313" customFormat="1" ht="24" hidden="1" customHeight="1">
      <c r="A167" s="377" t="s">
        <v>860</v>
      </c>
      <c r="B167" s="376" t="s">
        <v>775</v>
      </c>
      <c r="C167" s="377"/>
      <c r="D167" s="377"/>
      <c r="E167" s="360">
        <f>NC_DKDD!H136</f>
        <v>0</v>
      </c>
      <c r="F167" s="364"/>
      <c r="G167" s="365"/>
      <c r="H167" s="364"/>
      <c r="I167" s="364"/>
      <c r="J167" s="362"/>
      <c r="K167" s="362"/>
      <c r="L167" s="362"/>
      <c r="M167" s="362"/>
      <c r="N167" s="362"/>
      <c r="O167" s="362"/>
      <c r="P167" s="357">
        <f t="shared" si="23"/>
        <v>0</v>
      </c>
      <c r="Q167" s="316"/>
      <c r="R167" s="300"/>
    </row>
    <row r="168" spans="1:18" s="313" customFormat="1" ht="24" hidden="1" customHeight="1">
      <c r="A168" s="377" t="s">
        <v>776</v>
      </c>
      <c r="B168" s="376" t="s">
        <v>777</v>
      </c>
      <c r="C168" s="377" t="s">
        <v>778</v>
      </c>
      <c r="D168" s="378" t="s">
        <v>722</v>
      </c>
      <c r="E168" s="364" t="e">
        <f>NC_DKDD!H137</f>
        <v>#VALUE!</v>
      </c>
      <c r="F168" s="364"/>
      <c r="G168" s="365"/>
      <c r="H168" s="364"/>
      <c r="I168" s="364"/>
      <c r="J168" s="362"/>
      <c r="K168" s="362"/>
      <c r="L168" s="362"/>
      <c r="M168" s="362"/>
      <c r="N168" s="362"/>
      <c r="O168" s="362"/>
      <c r="P168" s="357">
        <f t="shared" si="23"/>
        <v>0</v>
      </c>
      <c r="Q168" s="316"/>
      <c r="R168" s="300"/>
    </row>
    <row r="169" spans="1:18" s="313" customFormat="1" ht="24" hidden="1" customHeight="1">
      <c r="A169" s="377" t="s">
        <v>780</v>
      </c>
      <c r="B169" s="376" t="s">
        <v>781</v>
      </c>
      <c r="C169" s="377" t="s">
        <v>778</v>
      </c>
      <c r="D169" s="378" t="s">
        <v>722</v>
      </c>
      <c r="E169" s="364" t="e">
        <f>NC_DKDD!H138</f>
        <v>#VALUE!</v>
      </c>
      <c r="F169" s="364"/>
      <c r="G169" s="365"/>
      <c r="H169" s="364"/>
      <c r="I169" s="364"/>
      <c r="J169" s="362"/>
      <c r="K169" s="362"/>
      <c r="L169" s="362"/>
      <c r="M169" s="362"/>
      <c r="N169" s="362"/>
      <c r="O169" s="362"/>
      <c r="P169" s="357">
        <f t="shared" si="23"/>
        <v>0</v>
      </c>
      <c r="Q169" s="316"/>
      <c r="R169" s="300"/>
    </row>
    <row r="170" spans="1:18" s="313" customFormat="1" ht="24" hidden="1" customHeight="1">
      <c r="A170" s="377" t="s">
        <v>782</v>
      </c>
      <c r="B170" s="376" t="s">
        <v>861</v>
      </c>
      <c r="C170" s="377" t="s">
        <v>778</v>
      </c>
      <c r="D170" s="378" t="s">
        <v>722</v>
      </c>
      <c r="E170" s="364" t="e">
        <f>NC_DKDD!H139</f>
        <v>#VALUE!</v>
      </c>
      <c r="F170" s="364"/>
      <c r="G170" s="365"/>
      <c r="H170" s="364"/>
      <c r="I170" s="364"/>
      <c r="J170" s="362"/>
      <c r="K170" s="362"/>
      <c r="L170" s="362"/>
      <c r="M170" s="362"/>
      <c r="N170" s="362"/>
      <c r="O170" s="362"/>
      <c r="P170" s="357">
        <f t="shared" si="23"/>
        <v>0</v>
      </c>
      <c r="Q170" s="316"/>
      <c r="R170" s="300"/>
    </row>
    <row r="171" spans="1:18" s="313" customFormat="1" ht="24" hidden="1" customHeight="1">
      <c r="A171" s="377" t="s">
        <v>862</v>
      </c>
      <c r="B171" s="376" t="s">
        <v>863</v>
      </c>
      <c r="C171" s="377" t="s">
        <v>481</v>
      </c>
      <c r="D171" s="378" t="s">
        <v>722</v>
      </c>
      <c r="E171" s="364" t="e">
        <f>NC_DKDD!H140</f>
        <v>#VALUE!</v>
      </c>
      <c r="F171" s="364"/>
      <c r="G171" s="365"/>
      <c r="H171" s="364"/>
      <c r="I171" s="364"/>
      <c r="J171" s="362"/>
      <c r="K171" s="362"/>
      <c r="L171" s="362"/>
      <c r="M171" s="362"/>
      <c r="N171" s="362"/>
      <c r="O171" s="362"/>
      <c r="P171" s="357">
        <f t="shared" si="23"/>
        <v>0</v>
      </c>
      <c r="Q171" s="316"/>
      <c r="R171" s="300"/>
    </row>
    <row r="172" spans="1:18" s="313" customFormat="1" ht="24" hidden="1" customHeight="1">
      <c r="A172" s="377">
        <v>15</v>
      </c>
      <c r="B172" s="376" t="s">
        <v>524</v>
      </c>
      <c r="C172" s="377" t="s">
        <v>261</v>
      </c>
      <c r="D172" s="378" t="s">
        <v>722</v>
      </c>
      <c r="E172" s="364" t="e">
        <f>NC_DKDD!H141</f>
        <v>#VALUE!</v>
      </c>
      <c r="F172" s="364"/>
      <c r="G172" s="365"/>
      <c r="H172" s="364"/>
      <c r="I172" s="364"/>
      <c r="J172" s="362"/>
      <c r="K172" s="362"/>
      <c r="L172" s="362"/>
      <c r="M172" s="362"/>
      <c r="N172" s="362"/>
      <c r="O172" s="362"/>
      <c r="P172" s="357">
        <f t="shared" si="23"/>
        <v>0</v>
      </c>
      <c r="Q172" s="316"/>
      <c r="R172" s="300"/>
    </row>
    <row r="173" spans="1:18" s="313" customFormat="1" ht="24" hidden="1" customHeight="1">
      <c r="A173" s="377">
        <v>16</v>
      </c>
      <c r="B173" s="376" t="s">
        <v>525</v>
      </c>
      <c r="C173" s="377" t="s">
        <v>261</v>
      </c>
      <c r="D173" s="378" t="s">
        <v>722</v>
      </c>
      <c r="E173" s="364" t="e">
        <f>NC_DKDD!H142/5000</f>
        <v>#VALUE!</v>
      </c>
      <c r="F173" s="364"/>
      <c r="G173" s="365"/>
      <c r="H173" s="364"/>
      <c r="I173" s="364"/>
      <c r="J173" s="362"/>
      <c r="K173" s="362"/>
      <c r="L173" s="362"/>
      <c r="M173" s="362"/>
      <c r="N173" s="362"/>
      <c r="O173" s="362"/>
      <c r="P173" s="357">
        <f t="shared" si="23"/>
        <v>0</v>
      </c>
      <c r="Q173" s="316"/>
      <c r="R173" s="300"/>
    </row>
    <row r="174" spans="1:18" s="313" customFormat="1" ht="24" hidden="1" customHeight="1">
      <c r="A174" s="381" t="s">
        <v>755</v>
      </c>
      <c r="B174" s="379" t="s">
        <v>339</v>
      </c>
      <c r="C174" s="377"/>
      <c r="D174" s="378"/>
      <c r="E174" s="364"/>
      <c r="F174" s="364"/>
      <c r="G174" s="365"/>
      <c r="H174" s="364"/>
      <c r="I174" s="364"/>
      <c r="J174" s="362"/>
      <c r="K174" s="362"/>
      <c r="L174" s="362"/>
      <c r="M174" s="362"/>
      <c r="N174" s="362"/>
      <c r="O174" s="362"/>
      <c r="P174" s="357">
        <f t="shared" si="23"/>
        <v>0</v>
      </c>
      <c r="Q174" s="316"/>
      <c r="R174" s="300"/>
    </row>
    <row r="175" spans="1:18" s="313" customFormat="1" ht="24" hidden="1" customHeight="1">
      <c r="A175" s="381" t="s">
        <v>1012</v>
      </c>
      <c r="B175" s="379" t="s">
        <v>668</v>
      </c>
      <c r="C175" s="377" t="s">
        <v>261</v>
      </c>
      <c r="D175" s="378" t="s">
        <v>722</v>
      </c>
      <c r="E175" s="396" t="e">
        <f>(E178+E179+E181+E182)*0.3</f>
        <v>#VALUE!</v>
      </c>
      <c r="F175" s="396">
        <f>(F178+F179+F181+F182)*0.3</f>
        <v>0</v>
      </c>
      <c r="G175" s="365"/>
      <c r="H175" s="397">
        <f>'Dcu-DKDD'!L64/5000*0</f>
        <v>0</v>
      </c>
      <c r="I175" s="397">
        <f>'VL-DKDD'!J66/5000*0</f>
        <v>0</v>
      </c>
      <c r="J175" s="397">
        <f>'TB-DKDD'!M32/5000*0</f>
        <v>0</v>
      </c>
      <c r="K175" s="397">
        <f>'NL-DKDD'!J23/5000*0</f>
        <v>0</v>
      </c>
      <c r="L175" s="355" t="e">
        <f>SUM(E175:K175)</f>
        <v>#VALUE!</v>
      </c>
      <c r="M175" s="355" t="e">
        <f>L175*'He so chung'!$D$17/100</f>
        <v>#VALUE!</v>
      </c>
      <c r="N175" s="355" t="e">
        <f>L175+M175</f>
        <v>#VALUE!</v>
      </c>
      <c r="O175" s="362"/>
      <c r="P175" s="357">
        <f t="shared" si="23"/>
        <v>0</v>
      </c>
      <c r="Q175" s="316"/>
      <c r="R175" s="300"/>
    </row>
    <row r="176" spans="1:18" s="313" customFormat="1" ht="24" hidden="1" customHeight="1">
      <c r="A176" s="381" t="s">
        <v>623</v>
      </c>
      <c r="B176" s="379" t="s">
        <v>669</v>
      </c>
      <c r="C176" s="377" t="s">
        <v>261</v>
      </c>
      <c r="D176" s="378" t="s">
        <v>624</v>
      </c>
      <c r="E176" s="396" t="e">
        <f>(E178+E179+E181+E182)*0.3</f>
        <v>#VALUE!</v>
      </c>
      <c r="F176" s="396">
        <f>(F178+F179+F181+F182)*0.3</f>
        <v>0</v>
      </c>
      <c r="G176" s="365"/>
      <c r="H176" s="397">
        <f>H175</f>
        <v>0</v>
      </c>
      <c r="I176" s="397">
        <f>I175</f>
        <v>0</v>
      </c>
      <c r="J176" s="397">
        <f>J175</f>
        <v>0</v>
      </c>
      <c r="K176" s="397">
        <f>K175</f>
        <v>0</v>
      </c>
      <c r="L176" s="355" t="e">
        <f>SUM(E176:K176)</f>
        <v>#VALUE!</v>
      </c>
      <c r="M176" s="355" t="e">
        <f>L176*'He so chung'!$D$17/100</f>
        <v>#VALUE!</v>
      </c>
      <c r="N176" s="355" t="e">
        <f>L176+M176</f>
        <v>#VALUE!</v>
      </c>
      <c r="O176" s="362"/>
      <c r="P176" s="357">
        <f t="shared" si="23"/>
        <v>0</v>
      </c>
      <c r="Q176" s="316"/>
      <c r="R176" s="300"/>
    </row>
    <row r="177" spans="1:18" s="313" customFormat="1" ht="24" hidden="1" customHeight="1">
      <c r="A177" s="377">
        <v>1</v>
      </c>
      <c r="B177" s="376" t="s">
        <v>530</v>
      </c>
      <c r="C177" s="377"/>
      <c r="D177" s="377"/>
      <c r="E177" s="364"/>
      <c r="F177" s="364"/>
      <c r="G177" s="365"/>
      <c r="H177" s="364"/>
      <c r="I177" s="364"/>
      <c r="J177" s="362"/>
      <c r="K177" s="362"/>
      <c r="L177" s="362"/>
      <c r="M177" s="362"/>
      <c r="N177" s="362"/>
      <c r="O177" s="362"/>
      <c r="P177" s="357">
        <f t="shared" si="23"/>
        <v>0</v>
      </c>
      <c r="Q177" s="316"/>
      <c r="R177" s="300"/>
    </row>
    <row r="178" spans="1:18" s="313" customFormat="1" ht="24" hidden="1" customHeight="1">
      <c r="A178" s="377" t="s">
        <v>733</v>
      </c>
      <c r="B178" s="376" t="s">
        <v>340</v>
      </c>
      <c r="C178" s="377" t="s">
        <v>261</v>
      </c>
      <c r="D178" s="378" t="s">
        <v>722</v>
      </c>
      <c r="E178" s="364" t="e">
        <f>NC_DKDD!H145/5000</f>
        <v>#VALUE!</v>
      </c>
      <c r="F178" s="364"/>
      <c r="G178" s="365"/>
      <c r="H178" s="364"/>
      <c r="I178" s="364"/>
      <c r="J178" s="362"/>
      <c r="K178" s="362"/>
      <c r="L178" s="362"/>
      <c r="M178" s="362"/>
      <c r="N178" s="362"/>
      <c r="O178" s="362"/>
      <c r="P178" s="357">
        <f t="shared" si="23"/>
        <v>0</v>
      </c>
      <c r="Q178" s="316"/>
      <c r="R178" s="300"/>
    </row>
    <row r="179" spans="1:18" s="313" customFormat="1" ht="24" hidden="1" customHeight="1">
      <c r="A179" s="377" t="s">
        <v>741</v>
      </c>
      <c r="B179" s="376" t="s">
        <v>343</v>
      </c>
      <c r="C179" s="377" t="s">
        <v>481</v>
      </c>
      <c r="D179" s="378" t="s">
        <v>722</v>
      </c>
      <c r="E179" s="364" t="e">
        <f>NC_DKDD!H146</f>
        <v>#VALUE!</v>
      </c>
      <c r="F179" s="364"/>
      <c r="G179" s="365"/>
      <c r="H179" s="364"/>
      <c r="I179" s="364"/>
      <c r="J179" s="362"/>
      <c r="K179" s="362"/>
      <c r="L179" s="362"/>
      <c r="M179" s="362"/>
      <c r="N179" s="362"/>
      <c r="O179" s="362"/>
      <c r="P179" s="357">
        <f t="shared" si="23"/>
        <v>0</v>
      </c>
      <c r="Q179" s="316"/>
      <c r="R179" s="300"/>
    </row>
    <row r="180" spans="1:18" s="313" customFormat="1" ht="24" hidden="1" customHeight="1">
      <c r="A180" s="377">
        <v>2</v>
      </c>
      <c r="B180" s="376" t="s">
        <v>528</v>
      </c>
      <c r="C180" s="377"/>
      <c r="D180" s="377"/>
      <c r="E180" s="364">
        <f>NC_DKDD!H147</f>
        <v>0</v>
      </c>
      <c r="F180" s="364"/>
      <c r="G180" s="365"/>
      <c r="H180" s="364"/>
      <c r="I180" s="364"/>
      <c r="J180" s="362"/>
      <c r="K180" s="362"/>
      <c r="L180" s="362"/>
      <c r="M180" s="362"/>
      <c r="N180" s="362"/>
      <c r="O180" s="362"/>
      <c r="P180" s="357">
        <f t="shared" si="23"/>
        <v>0</v>
      </c>
      <c r="Q180" s="316"/>
      <c r="R180" s="300"/>
    </row>
    <row r="181" spans="1:18" s="313" customFormat="1" ht="24" hidden="1" customHeight="1">
      <c r="A181" s="377" t="s">
        <v>742</v>
      </c>
      <c r="B181" s="376" t="s">
        <v>345</v>
      </c>
      <c r="C181" s="377" t="s">
        <v>57</v>
      </c>
      <c r="D181" s="378" t="s">
        <v>722</v>
      </c>
      <c r="E181" s="364" t="e">
        <f>NC_DKDD!H148</f>
        <v>#VALUE!</v>
      </c>
      <c r="F181" s="364"/>
      <c r="G181" s="365"/>
      <c r="H181" s="364"/>
      <c r="I181" s="364"/>
      <c r="J181" s="362"/>
      <c r="K181" s="362"/>
      <c r="L181" s="362"/>
      <c r="M181" s="362"/>
      <c r="N181" s="362"/>
      <c r="O181" s="362"/>
      <c r="P181" s="357">
        <f t="shared" si="23"/>
        <v>0</v>
      </c>
      <c r="Q181" s="316"/>
      <c r="R181" s="300"/>
    </row>
    <row r="182" spans="1:18" s="313" customFormat="1" ht="24" hidden="1" customHeight="1">
      <c r="A182" s="377" t="s">
        <v>743</v>
      </c>
      <c r="B182" s="376" t="s">
        <v>346</v>
      </c>
      <c r="C182" s="377" t="s">
        <v>261</v>
      </c>
      <c r="D182" s="378" t="s">
        <v>722</v>
      </c>
      <c r="E182" s="364" t="e">
        <f>NC_DKDD!H149/5000</f>
        <v>#VALUE!</v>
      </c>
      <c r="F182" s="364"/>
      <c r="G182" s="365"/>
      <c r="H182" s="364"/>
      <c r="I182" s="364"/>
      <c r="J182" s="362"/>
      <c r="K182" s="362"/>
      <c r="L182" s="362"/>
      <c r="M182" s="362"/>
      <c r="N182" s="362"/>
      <c r="O182" s="362"/>
      <c r="P182" s="357">
        <f t="shared" si="23"/>
        <v>0</v>
      </c>
      <c r="Q182" s="316"/>
      <c r="R182" s="300"/>
    </row>
    <row r="183" spans="1:18" s="313" customFormat="1" ht="24" hidden="1" customHeight="1">
      <c r="A183" s="377">
        <v>3</v>
      </c>
      <c r="B183" s="376" t="s">
        <v>529</v>
      </c>
      <c r="C183" s="377" t="s">
        <v>261</v>
      </c>
      <c r="D183" s="378" t="s">
        <v>722</v>
      </c>
      <c r="E183" s="364" t="e">
        <f>NC_DKDD!H150/5000</f>
        <v>#VALUE!</v>
      </c>
      <c r="F183" s="364"/>
      <c r="G183" s="365"/>
      <c r="H183" s="364"/>
      <c r="I183" s="364"/>
      <c r="J183" s="362"/>
      <c r="K183" s="362"/>
      <c r="L183" s="362"/>
      <c r="M183" s="362"/>
      <c r="N183" s="362"/>
      <c r="O183" s="362"/>
      <c r="P183" s="357">
        <f t="shared" si="23"/>
        <v>0</v>
      </c>
      <c r="Q183" s="316"/>
      <c r="R183" s="300"/>
    </row>
    <row r="184" spans="1:18" ht="18" hidden="1" customHeight="1">
      <c r="A184" s="321"/>
      <c r="B184" s="301"/>
      <c r="C184" s="322"/>
      <c r="D184" s="332"/>
      <c r="E184" s="323"/>
      <c r="F184" s="323"/>
      <c r="G184" s="324"/>
      <c r="H184" s="323"/>
      <c r="I184" s="323"/>
      <c r="J184" s="325"/>
      <c r="K184" s="325"/>
      <c r="L184" s="325"/>
      <c r="M184" s="325"/>
      <c r="N184" s="325"/>
      <c r="O184" s="333"/>
      <c r="P184" s="300"/>
      <c r="Q184" s="300"/>
    </row>
    <row r="185" spans="1:18" ht="21" hidden="1" customHeight="1">
      <c r="A185" s="321"/>
      <c r="B185" s="334" t="s">
        <v>533</v>
      </c>
      <c r="C185" s="322"/>
      <c r="D185" s="321"/>
      <c r="E185" s="323"/>
      <c r="F185" s="323"/>
      <c r="G185" s="324"/>
      <c r="H185" s="323"/>
      <c r="I185" s="323"/>
      <c r="J185" s="325"/>
      <c r="K185" s="325"/>
      <c r="L185" s="325"/>
      <c r="M185" s="308"/>
      <c r="N185" s="308"/>
      <c r="O185" s="333"/>
      <c r="P185" s="300"/>
      <c r="Q185" s="300"/>
    </row>
    <row r="186" spans="1:18" ht="33" hidden="1" customHeight="1">
      <c r="A186" s="326"/>
      <c r="B186" s="1130" t="s">
        <v>854</v>
      </c>
      <c r="C186" s="1130"/>
      <c r="D186" s="1130"/>
      <c r="E186" s="1130"/>
      <c r="F186" s="1130"/>
      <c r="G186" s="1130"/>
      <c r="H186" s="1130"/>
      <c r="I186" s="1130"/>
      <c r="J186" s="1130"/>
      <c r="K186" s="1130"/>
      <c r="L186" s="1130"/>
      <c r="M186" s="1130"/>
      <c r="N186" s="1130"/>
      <c r="O186" s="1130"/>
      <c r="P186" s="300"/>
      <c r="Q186" s="300"/>
    </row>
    <row r="187" spans="1:18" ht="37.15" hidden="1" customHeight="1">
      <c r="A187" s="326"/>
      <c r="B187" s="1119" t="s">
        <v>744</v>
      </c>
      <c r="C187" s="1119"/>
      <c r="D187" s="1119"/>
      <c r="E187" s="1119"/>
      <c r="F187" s="1119"/>
      <c r="G187" s="1119"/>
      <c r="H187" s="1119"/>
      <c r="I187" s="1119"/>
      <c r="J187" s="1119"/>
      <c r="K187" s="1119"/>
      <c r="L187" s="1119"/>
      <c r="M187" s="1119"/>
      <c r="N187" s="1119"/>
      <c r="O187" s="1119"/>
      <c r="P187" s="300"/>
      <c r="Q187" s="300"/>
    </row>
    <row r="188" spans="1:18" hidden="1"/>
    <row r="189" spans="1:18" hidden="1"/>
    <row r="190" spans="1:18" hidden="1"/>
    <row r="191" spans="1:18" hidden="1"/>
    <row r="192" spans="1:18" hidden="1"/>
    <row r="193" hidden="1"/>
  </sheetData>
  <mergeCells count="53">
    <mergeCell ref="N5:N6"/>
    <mergeCell ref="B186:O186"/>
    <mergeCell ref="E95:L95"/>
    <mergeCell ref="C103:C106"/>
    <mergeCell ref="B95:B96"/>
    <mergeCell ref="C95:C96"/>
    <mergeCell ref="D5:D6"/>
    <mergeCell ref="B90:O90"/>
    <mergeCell ref="B91:O91"/>
    <mergeCell ref="A92:R92"/>
    <mergeCell ref="A2:R2"/>
    <mergeCell ref="O95:O96"/>
    <mergeCell ref="A1:O1"/>
    <mergeCell ref="A5:A6"/>
    <mergeCell ref="B5:B6"/>
    <mergeCell ref="C5:C6"/>
    <mergeCell ref="O5:O6"/>
    <mergeCell ref="E5:L5"/>
    <mergeCell ref="B30:B32"/>
    <mergeCell ref="C30:C32"/>
    <mergeCell ref="B187:O187"/>
    <mergeCell ref="A95:A96"/>
    <mergeCell ref="B112:B115"/>
    <mergeCell ref="C112:C115"/>
    <mergeCell ref="B108:B111"/>
    <mergeCell ref="C108:C110"/>
    <mergeCell ref="A112:A115"/>
    <mergeCell ref="C99:C102"/>
    <mergeCell ref="M95:M96"/>
    <mergeCell ref="D95:D96"/>
    <mergeCell ref="M5:M6"/>
    <mergeCell ref="A125:A128"/>
    <mergeCell ref="B125:B128"/>
    <mergeCell ref="C125:C128"/>
    <mergeCell ref="A103:A106"/>
    <mergeCell ref="B103:B106"/>
    <mergeCell ref="A108:A111"/>
    <mergeCell ref="A99:A102"/>
    <mergeCell ref="B99:B102"/>
    <mergeCell ref="N95:N96"/>
    <mergeCell ref="A15:A17"/>
    <mergeCell ref="B15:B17"/>
    <mergeCell ref="C15:C17"/>
    <mergeCell ref="A18:A20"/>
    <mergeCell ref="B18:B20"/>
    <mergeCell ref="C18:C20"/>
    <mergeCell ref="A30:A32"/>
    <mergeCell ref="A8:A10"/>
    <mergeCell ref="B8:B10"/>
    <mergeCell ref="C8:C10"/>
    <mergeCell ref="A11:A13"/>
    <mergeCell ref="B11:B13"/>
    <mergeCell ref="C11:C13"/>
  </mergeCells>
  <phoneticPr fontId="45" type="noConversion"/>
  <printOptions horizontalCentered="1"/>
  <pageMargins left="0.65055118110236199" right="0.65055118110236199" top="0.78740157480314998" bottom="0.64" header="0.31496062992126" footer="0.39370078740157499"/>
  <pageSetup paperSize="9" scale="73" firstPageNumber="138" fitToHeight="0" orientation="landscape" useFirstPageNumber="1" r:id="rId1"/>
  <headerFooter alignWithMargins="0">
    <oddFooter>&amp;C&amp;P</oddFooter>
  </headerFooter>
  <rowBreaks count="3" manualBreakCount="3">
    <brk id="88" max="16383" man="1"/>
    <brk id="91" max="16383" man="1"/>
    <brk id="184"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M452"/>
  <sheetViews>
    <sheetView showZeros="0" topLeftCell="A409" zoomScale="75" zoomScaleNormal="85" workbookViewId="0">
      <selection activeCell="B425" sqref="B425"/>
    </sheetView>
  </sheetViews>
  <sheetFormatPr defaultRowHeight="16.5"/>
  <cols>
    <col min="1" max="1" width="6.88671875" style="841" customWidth="1"/>
    <col min="2" max="2" width="59.33203125" style="842" customWidth="1"/>
    <col min="3" max="3" width="8.33203125" style="843" customWidth="1"/>
    <col min="4" max="4" width="8.21875" style="844" customWidth="1"/>
    <col min="5" max="5" width="12.33203125" style="459" customWidth="1"/>
    <col min="6" max="6" width="10.109375" style="459" customWidth="1"/>
    <col min="7" max="7" width="8.33203125" style="845" customWidth="1"/>
    <col min="8" max="8" width="7.88671875" style="459" customWidth="1"/>
    <col min="9" max="9" width="6.77734375" style="459" customWidth="1"/>
    <col min="10" max="11" width="7.88671875" style="459" customWidth="1"/>
    <col min="12" max="12" width="11.33203125" style="459" customWidth="1"/>
    <col min="13" max="13" width="9.21875" style="459" customWidth="1"/>
    <col min="14" max="14" width="10.5546875" style="459" customWidth="1"/>
    <col min="15" max="15" width="10.109375" style="459" customWidth="1"/>
    <col min="16" max="39" width="8.88671875" style="409"/>
    <col min="40" max="16384" width="8.88671875" style="527"/>
  </cols>
  <sheetData>
    <row r="1" spans="1:39" ht="16.899999999999999" customHeight="1">
      <c r="A1" s="1085"/>
      <c r="B1" s="1132"/>
      <c r="C1" s="1132"/>
      <c r="D1" s="1132"/>
      <c r="E1" s="1132"/>
      <c r="F1" s="1132"/>
      <c r="G1" s="1132"/>
      <c r="H1" s="1132"/>
      <c r="I1" s="1132"/>
      <c r="J1" s="1132"/>
      <c r="K1" s="1132"/>
      <c r="L1" s="1132"/>
      <c r="M1" s="1132"/>
      <c r="N1" s="1132"/>
      <c r="O1" s="1132"/>
      <c r="P1" s="774" t="s">
        <v>607</v>
      </c>
      <c r="Q1" s="775">
        <v>0</v>
      </c>
    </row>
    <row r="2" spans="1:39" ht="22.9" customHeight="1">
      <c r="A2" s="1133" t="s">
        <v>295</v>
      </c>
      <c r="B2" s="1133"/>
      <c r="C2" s="1133"/>
      <c r="D2" s="1133"/>
      <c r="E2" s="1133"/>
      <c r="F2" s="1133"/>
      <c r="G2" s="1133"/>
      <c r="H2" s="1133"/>
      <c r="I2" s="1133"/>
      <c r="J2" s="1133"/>
      <c r="K2" s="1133"/>
      <c r="L2" s="1133"/>
      <c r="M2" s="1133"/>
      <c r="N2" s="1133"/>
      <c r="O2" s="1133"/>
    </row>
    <row r="3" spans="1:39" s="421" customFormat="1" ht="19.5" customHeight="1">
      <c r="A3" s="414"/>
      <c r="B3" s="415"/>
      <c r="C3" s="776"/>
      <c r="D3" s="777" t="s">
        <v>430</v>
      </c>
      <c r="E3" s="419"/>
      <c r="F3" s="778"/>
      <c r="G3" s="779"/>
      <c r="H3" s="778"/>
      <c r="I3" s="780"/>
      <c r="J3" s="778"/>
      <c r="K3" s="778"/>
      <c r="L3" s="781" t="s">
        <v>262</v>
      </c>
      <c r="M3" s="778"/>
      <c r="N3" s="780"/>
      <c r="O3" s="419"/>
      <c r="P3" s="420"/>
      <c r="Q3" s="420"/>
      <c r="R3" s="420"/>
      <c r="S3" s="420"/>
      <c r="T3" s="420"/>
      <c r="U3" s="420"/>
      <c r="V3" s="420"/>
      <c r="W3" s="420"/>
      <c r="X3" s="420"/>
      <c r="Y3" s="420"/>
      <c r="Z3" s="420"/>
      <c r="AA3" s="420"/>
      <c r="AB3" s="420"/>
      <c r="AC3" s="420"/>
      <c r="AD3" s="420"/>
      <c r="AE3" s="420"/>
      <c r="AF3" s="420"/>
      <c r="AG3" s="420"/>
      <c r="AH3" s="420"/>
      <c r="AI3" s="420"/>
      <c r="AJ3" s="420"/>
      <c r="AK3" s="420"/>
      <c r="AL3" s="420"/>
      <c r="AM3" s="420"/>
    </row>
    <row r="4" spans="1:39" s="421" customFormat="1" ht="7.5" customHeight="1">
      <c r="A4" s="414"/>
      <c r="B4" s="415"/>
      <c r="C4" s="776"/>
      <c r="D4" s="821"/>
      <c r="E4" s="419"/>
      <c r="F4" s="419"/>
      <c r="G4" s="822"/>
      <c r="H4" s="419"/>
      <c r="I4" s="419"/>
      <c r="J4" s="419"/>
      <c r="K4" s="419"/>
      <c r="L4" s="419"/>
      <c r="M4" s="419"/>
      <c r="N4" s="419"/>
      <c r="O4" s="419"/>
      <c r="P4" s="420"/>
      <c r="Q4" s="420"/>
      <c r="R4" s="420"/>
      <c r="S4" s="420"/>
      <c r="T4" s="420"/>
      <c r="U4" s="420"/>
      <c r="V4" s="420"/>
      <c r="W4" s="420"/>
      <c r="X4" s="420"/>
      <c r="Y4" s="420"/>
      <c r="Z4" s="420"/>
      <c r="AA4" s="420"/>
      <c r="AB4" s="420"/>
      <c r="AC4" s="420"/>
      <c r="AD4" s="420"/>
      <c r="AE4" s="420"/>
      <c r="AF4" s="420"/>
      <c r="AG4" s="420"/>
      <c r="AH4" s="420"/>
      <c r="AI4" s="420"/>
      <c r="AJ4" s="420"/>
      <c r="AK4" s="420"/>
      <c r="AL4" s="420"/>
      <c r="AM4" s="420"/>
    </row>
    <row r="5" spans="1:39" s="833" customFormat="1" ht="23.25" customHeight="1">
      <c r="A5" s="1068" t="s">
        <v>718</v>
      </c>
      <c r="B5" s="1068" t="s">
        <v>198</v>
      </c>
      <c r="C5" s="1071" t="s">
        <v>263</v>
      </c>
      <c r="D5" s="1071" t="s">
        <v>264</v>
      </c>
      <c r="E5" s="1071" t="s">
        <v>683</v>
      </c>
      <c r="F5" s="1071"/>
      <c r="G5" s="1071"/>
      <c r="H5" s="1071"/>
      <c r="I5" s="1071"/>
      <c r="J5" s="1071"/>
      <c r="K5" s="1071"/>
      <c r="L5" s="1071"/>
      <c r="M5" s="1071" t="s">
        <v>435</v>
      </c>
      <c r="N5" s="1071" t="s">
        <v>684</v>
      </c>
      <c r="O5" s="1071" t="s">
        <v>685</v>
      </c>
      <c r="P5" s="830"/>
      <c r="Q5" s="830"/>
      <c r="R5" s="832"/>
      <c r="S5" s="832"/>
      <c r="T5" s="832"/>
      <c r="U5" s="832"/>
      <c r="V5" s="832"/>
      <c r="W5" s="832"/>
      <c r="X5" s="832"/>
      <c r="Y5" s="832"/>
      <c r="Z5" s="832"/>
      <c r="AA5" s="832"/>
      <c r="AB5" s="832"/>
      <c r="AC5" s="832"/>
      <c r="AD5" s="832"/>
      <c r="AE5" s="832"/>
      <c r="AF5" s="832"/>
      <c r="AG5" s="832"/>
      <c r="AH5" s="832"/>
      <c r="AI5" s="832"/>
      <c r="AJ5" s="832"/>
      <c r="AK5" s="832"/>
      <c r="AL5" s="832"/>
      <c r="AM5" s="832"/>
    </row>
    <row r="6" spans="1:39" s="833" customFormat="1" ht="36" customHeight="1">
      <c r="A6" s="1068"/>
      <c r="B6" s="1068"/>
      <c r="C6" s="1071"/>
      <c r="D6" s="1071"/>
      <c r="E6" s="783" t="s">
        <v>686</v>
      </c>
      <c r="F6" s="783" t="s">
        <v>687</v>
      </c>
      <c r="G6" s="784" t="s">
        <v>285</v>
      </c>
      <c r="H6" s="783" t="s">
        <v>499</v>
      </c>
      <c r="I6" s="783" t="s">
        <v>688</v>
      </c>
      <c r="J6" s="783" t="s">
        <v>531</v>
      </c>
      <c r="K6" s="783" t="s">
        <v>689</v>
      </c>
      <c r="L6" s="783" t="s">
        <v>690</v>
      </c>
      <c r="M6" s="1071"/>
      <c r="N6" s="1071"/>
      <c r="O6" s="1071"/>
      <c r="P6" s="830"/>
      <c r="Q6" s="830"/>
      <c r="R6" s="832"/>
      <c r="S6" s="832"/>
      <c r="T6" s="832"/>
      <c r="U6" s="832"/>
      <c r="V6" s="832"/>
      <c r="W6" s="832"/>
      <c r="X6" s="832"/>
      <c r="Y6" s="832"/>
      <c r="Z6" s="832"/>
      <c r="AA6" s="832"/>
      <c r="AB6" s="832"/>
      <c r="AC6" s="832"/>
      <c r="AD6" s="832"/>
      <c r="AE6" s="832"/>
      <c r="AF6" s="832"/>
      <c r="AG6" s="832"/>
      <c r="AH6" s="832"/>
      <c r="AI6" s="832"/>
      <c r="AJ6" s="832"/>
      <c r="AK6" s="832"/>
      <c r="AL6" s="832"/>
      <c r="AM6" s="832"/>
    </row>
    <row r="7" spans="1:39" s="833" customFormat="1" ht="45" customHeight="1">
      <c r="A7" s="785"/>
      <c r="B7" s="839" t="s">
        <v>855</v>
      </c>
      <c r="C7" s="783"/>
      <c r="D7" s="783"/>
      <c r="E7" s="783"/>
      <c r="F7" s="783"/>
      <c r="G7" s="784"/>
      <c r="H7" s="783"/>
      <c r="I7" s="783"/>
      <c r="J7" s="783"/>
      <c r="K7" s="783"/>
      <c r="L7" s="783"/>
      <c r="M7" s="783"/>
      <c r="N7" s="783"/>
      <c r="O7" s="783"/>
      <c r="P7" s="830"/>
      <c r="Q7" s="830"/>
      <c r="R7" s="832"/>
      <c r="S7" s="832"/>
      <c r="T7" s="832"/>
      <c r="U7" s="832"/>
      <c r="V7" s="832"/>
      <c r="W7" s="832"/>
      <c r="X7" s="832"/>
      <c r="Y7" s="832"/>
      <c r="Z7" s="832"/>
      <c r="AA7" s="832"/>
      <c r="AB7" s="832"/>
      <c r="AC7" s="832"/>
      <c r="AD7" s="832"/>
      <c r="AE7" s="832"/>
      <c r="AF7" s="832"/>
      <c r="AG7" s="832"/>
      <c r="AH7" s="832"/>
      <c r="AI7" s="832"/>
      <c r="AJ7" s="832"/>
      <c r="AK7" s="832"/>
      <c r="AL7" s="832"/>
      <c r="AM7" s="832"/>
    </row>
    <row r="8" spans="1:39" s="833" customFormat="1" ht="18.75" customHeight="1">
      <c r="A8" s="1068"/>
      <c r="B8" s="1131" t="s">
        <v>668</v>
      </c>
      <c r="C8" s="1071" t="s">
        <v>532</v>
      </c>
      <c r="D8" s="783">
        <v>1</v>
      </c>
      <c r="E8" s="788" t="e">
        <f t="shared" ref="E8:N8" si="0">E15+E46+E80</f>
        <v>#VALUE!</v>
      </c>
      <c r="F8" s="788">
        <f t="shared" si="0"/>
        <v>19201.875</v>
      </c>
      <c r="G8" s="788">
        <f t="shared" si="0"/>
        <v>0</v>
      </c>
      <c r="H8" s="788">
        <f t="shared" si="0"/>
        <v>0.79757781011618578</v>
      </c>
      <c r="I8" s="788">
        <f t="shared" si="0"/>
        <v>5.1638850000000005</v>
      </c>
      <c r="J8" s="788">
        <f t="shared" si="0"/>
        <v>0.34016000000000002</v>
      </c>
      <c r="K8" s="788">
        <f t="shared" si="0"/>
        <v>0.65326274999999989</v>
      </c>
      <c r="L8" s="788" t="e">
        <f t="shared" si="0"/>
        <v>#VALUE!</v>
      </c>
      <c r="M8" s="788" t="e">
        <f t="shared" si="0"/>
        <v>#VALUE!</v>
      </c>
      <c r="N8" s="788" t="e">
        <f t="shared" si="0"/>
        <v>#VALUE!</v>
      </c>
      <c r="O8" s="788">
        <f>O15+O46+O80</f>
        <v>7407.6641826923078</v>
      </c>
      <c r="P8" s="830"/>
      <c r="Q8" s="846"/>
      <c r="R8" s="846"/>
      <c r="S8" s="832"/>
      <c r="T8" s="832"/>
      <c r="U8" s="832"/>
      <c r="V8" s="832"/>
      <c r="W8" s="832"/>
      <c r="X8" s="832"/>
      <c r="Y8" s="832"/>
      <c r="Z8" s="832"/>
      <c r="AA8" s="832"/>
      <c r="AB8" s="832"/>
      <c r="AC8" s="832"/>
      <c r="AD8" s="832"/>
      <c r="AE8" s="832"/>
      <c r="AF8" s="832"/>
      <c r="AG8" s="832"/>
      <c r="AH8" s="832"/>
      <c r="AI8" s="832"/>
      <c r="AJ8" s="832"/>
      <c r="AK8" s="832"/>
      <c r="AL8" s="832"/>
      <c r="AM8" s="832"/>
    </row>
    <row r="9" spans="1:39" s="833" customFormat="1" ht="18.75" customHeight="1">
      <c r="A9" s="1068"/>
      <c r="B9" s="1131"/>
      <c r="C9" s="1071"/>
      <c r="D9" s="783">
        <v>2</v>
      </c>
      <c r="E9" s="788" t="e">
        <f t="shared" ref="E9:N9" si="1">E16+E46+E80</f>
        <v>#VALUE!</v>
      </c>
      <c r="F9" s="788">
        <f t="shared" si="1"/>
        <v>22876.875</v>
      </c>
      <c r="G9" s="788">
        <f t="shared" si="1"/>
        <v>0</v>
      </c>
      <c r="H9" s="788">
        <f t="shared" si="1"/>
        <v>0.81892055476762815</v>
      </c>
      <c r="I9" s="788">
        <f t="shared" si="1"/>
        <v>5.1638850000000005</v>
      </c>
      <c r="J9" s="788">
        <f t="shared" si="1"/>
        <v>0.34016000000000002</v>
      </c>
      <c r="K9" s="788">
        <f t="shared" si="1"/>
        <v>0.65326274999999989</v>
      </c>
      <c r="L9" s="788" t="e">
        <f t="shared" si="1"/>
        <v>#VALUE!</v>
      </c>
      <c r="M9" s="788" t="e">
        <f t="shared" si="1"/>
        <v>#VALUE!</v>
      </c>
      <c r="N9" s="788" t="e">
        <f t="shared" si="1"/>
        <v>#VALUE!</v>
      </c>
      <c r="O9" s="788">
        <f>O16+O46+O80</f>
        <v>7715.0680288461544</v>
      </c>
      <c r="P9" s="830"/>
      <c r="Q9" s="830"/>
      <c r="R9" s="832"/>
      <c r="S9" s="832"/>
      <c r="T9" s="832"/>
      <c r="U9" s="832"/>
      <c r="V9" s="832"/>
      <c r="W9" s="832"/>
      <c r="X9" s="832"/>
      <c r="Y9" s="832"/>
      <c r="Z9" s="832"/>
      <c r="AA9" s="832"/>
      <c r="AB9" s="832"/>
      <c r="AC9" s="832"/>
      <c r="AD9" s="832"/>
      <c r="AE9" s="832"/>
      <c r="AF9" s="832"/>
      <c r="AG9" s="832"/>
      <c r="AH9" s="832"/>
      <c r="AI9" s="832"/>
      <c r="AJ9" s="832"/>
      <c r="AK9" s="832"/>
      <c r="AL9" s="832"/>
      <c r="AM9" s="832"/>
    </row>
    <row r="10" spans="1:39" s="833" customFormat="1" ht="18.75" customHeight="1">
      <c r="A10" s="1068"/>
      <c r="B10" s="1131"/>
      <c r="C10" s="1071"/>
      <c r="D10" s="783">
        <v>3</v>
      </c>
      <c r="E10" s="788" t="e">
        <f t="shared" ref="E10:N10" si="2">E17+E46+E80</f>
        <v>#VALUE!</v>
      </c>
      <c r="F10" s="788">
        <f t="shared" si="2"/>
        <v>27286.875</v>
      </c>
      <c r="G10" s="788">
        <f t="shared" si="2"/>
        <v>0</v>
      </c>
      <c r="H10" s="788">
        <f t="shared" si="2"/>
        <v>0.86160604407051267</v>
      </c>
      <c r="I10" s="788">
        <f t="shared" si="2"/>
        <v>5.1638850000000005</v>
      </c>
      <c r="J10" s="788">
        <f t="shared" si="2"/>
        <v>0.34016000000000002</v>
      </c>
      <c r="K10" s="788">
        <f t="shared" si="2"/>
        <v>0.65326274999999989</v>
      </c>
      <c r="L10" s="788" t="e">
        <f t="shared" si="2"/>
        <v>#VALUE!</v>
      </c>
      <c r="M10" s="788" t="e">
        <f t="shared" si="2"/>
        <v>#VALUE!</v>
      </c>
      <c r="N10" s="788" t="e">
        <f t="shared" si="2"/>
        <v>#VALUE!</v>
      </c>
      <c r="O10" s="788">
        <f>O17+O46+O80</f>
        <v>8083.9526442307688</v>
      </c>
      <c r="P10" s="830"/>
      <c r="Q10" s="830"/>
      <c r="R10" s="832"/>
      <c r="S10" s="832"/>
      <c r="T10" s="832"/>
      <c r="U10" s="832"/>
      <c r="V10" s="832"/>
      <c r="W10" s="832"/>
      <c r="X10" s="832"/>
      <c r="Y10" s="832"/>
      <c r="Z10" s="832"/>
      <c r="AA10" s="832"/>
      <c r="AB10" s="832"/>
      <c r="AC10" s="832"/>
      <c r="AD10" s="832"/>
      <c r="AE10" s="832"/>
      <c r="AF10" s="832"/>
      <c r="AG10" s="832"/>
      <c r="AH10" s="832"/>
      <c r="AI10" s="832"/>
      <c r="AJ10" s="832"/>
      <c r="AK10" s="832"/>
      <c r="AL10" s="832"/>
      <c r="AM10" s="832"/>
    </row>
    <row r="11" spans="1:39" s="833" customFormat="1" ht="18.75" customHeight="1">
      <c r="A11" s="847"/>
      <c r="B11" s="1131" t="s">
        <v>669</v>
      </c>
      <c r="C11" s="1071" t="s">
        <v>532</v>
      </c>
      <c r="D11" s="783">
        <v>1</v>
      </c>
      <c r="E11" s="788" t="e">
        <f>E18+E47+E80</f>
        <v>#VALUE!</v>
      </c>
      <c r="F11" s="788">
        <f t="shared" ref="F11:O11" si="3">F18+F47+F80</f>
        <v>19201.875</v>
      </c>
      <c r="G11" s="788">
        <f t="shared" si="3"/>
        <v>0</v>
      </c>
      <c r="H11" s="788">
        <f t="shared" si="3"/>
        <v>0.43475115104166662</v>
      </c>
      <c r="I11" s="788">
        <f t="shared" si="3"/>
        <v>5.1638850000000005</v>
      </c>
      <c r="J11" s="788">
        <f t="shared" si="3"/>
        <v>0.34016000000000002</v>
      </c>
      <c r="K11" s="788">
        <f t="shared" si="3"/>
        <v>0.65326274999999989</v>
      </c>
      <c r="L11" s="788" t="e">
        <f t="shared" si="3"/>
        <v>#VALUE!</v>
      </c>
      <c r="M11" s="788" t="e">
        <f t="shared" si="3"/>
        <v>#VALUE!</v>
      </c>
      <c r="N11" s="788" t="e">
        <f t="shared" si="3"/>
        <v>#VALUE!</v>
      </c>
      <c r="O11" s="788">
        <f t="shared" si="3"/>
        <v>7001.8911057692303</v>
      </c>
      <c r="P11" s="830"/>
      <c r="Q11" s="830"/>
      <c r="R11" s="832"/>
      <c r="S11" s="832"/>
      <c r="T11" s="832"/>
      <c r="U11" s="832"/>
      <c r="V11" s="832"/>
      <c r="W11" s="832"/>
      <c r="X11" s="832"/>
      <c r="Y11" s="832"/>
      <c r="Z11" s="832"/>
      <c r="AA11" s="832"/>
      <c r="AB11" s="832"/>
      <c r="AC11" s="832"/>
      <c r="AD11" s="832"/>
      <c r="AE11" s="832"/>
      <c r="AF11" s="832"/>
      <c r="AG11" s="832"/>
      <c r="AH11" s="832"/>
      <c r="AI11" s="832"/>
      <c r="AJ11" s="832"/>
      <c r="AK11" s="832"/>
      <c r="AL11" s="832"/>
      <c r="AM11" s="832"/>
    </row>
    <row r="12" spans="1:39" s="833" customFormat="1" ht="18.75" customHeight="1">
      <c r="A12" s="848"/>
      <c r="B12" s="1131"/>
      <c r="C12" s="1071"/>
      <c r="D12" s="783">
        <v>2</v>
      </c>
      <c r="E12" s="788" t="e">
        <f>E19+E47+E80</f>
        <v>#VALUE!</v>
      </c>
      <c r="F12" s="788">
        <f t="shared" ref="F12:O12" si="4">F19+F47+F80</f>
        <v>22876.875</v>
      </c>
      <c r="G12" s="788">
        <f t="shared" si="4"/>
        <v>0</v>
      </c>
      <c r="H12" s="788">
        <f t="shared" si="4"/>
        <v>0.43475115104166662</v>
      </c>
      <c r="I12" s="788">
        <f t="shared" si="4"/>
        <v>5.1638850000000005</v>
      </c>
      <c r="J12" s="788">
        <f t="shared" si="4"/>
        <v>0.34016000000000002</v>
      </c>
      <c r="K12" s="788">
        <f t="shared" si="4"/>
        <v>0.65326274999999989</v>
      </c>
      <c r="L12" s="788" t="e">
        <f t="shared" si="4"/>
        <v>#VALUE!</v>
      </c>
      <c r="M12" s="788" t="e">
        <f t="shared" si="4"/>
        <v>#VALUE!</v>
      </c>
      <c r="N12" s="788" t="e">
        <f t="shared" si="4"/>
        <v>#VALUE!</v>
      </c>
      <c r="O12" s="788">
        <f t="shared" si="4"/>
        <v>7401.5161057692303</v>
      </c>
      <c r="P12" s="830"/>
      <c r="Q12" s="830"/>
      <c r="R12" s="832"/>
      <c r="S12" s="832"/>
      <c r="T12" s="832"/>
      <c r="U12" s="832"/>
      <c r="V12" s="832"/>
      <c r="W12" s="832"/>
      <c r="X12" s="832"/>
      <c r="Y12" s="832"/>
      <c r="Z12" s="832"/>
      <c r="AA12" s="832"/>
      <c r="AB12" s="832"/>
      <c r="AC12" s="832"/>
      <c r="AD12" s="832"/>
      <c r="AE12" s="832"/>
      <c r="AF12" s="832"/>
      <c r="AG12" s="832"/>
      <c r="AH12" s="832"/>
      <c r="AI12" s="832"/>
      <c r="AJ12" s="832"/>
      <c r="AK12" s="832"/>
      <c r="AL12" s="832"/>
      <c r="AM12" s="832"/>
    </row>
    <row r="13" spans="1:39" s="833" customFormat="1" ht="18.75" customHeight="1">
      <c r="A13" s="849"/>
      <c r="B13" s="1131"/>
      <c r="C13" s="1071"/>
      <c r="D13" s="783">
        <v>3</v>
      </c>
      <c r="E13" s="788" t="e">
        <f>E20+E47+E80</f>
        <v>#VALUE!</v>
      </c>
      <c r="F13" s="788">
        <f t="shared" ref="F13:O13" si="5">F20+F47+F80</f>
        <v>27286.875</v>
      </c>
      <c r="G13" s="788">
        <f t="shared" si="5"/>
        <v>0</v>
      </c>
      <c r="H13" s="788">
        <f t="shared" si="5"/>
        <v>0.43475115104166662</v>
      </c>
      <c r="I13" s="788">
        <f t="shared" si="5"/>
        <v>5.1638850000000005</v>
      </c>
      <c r="J13" s="788">
        <f t="shared" si="5"/>
        <v>0.34016000000000002</v>
      </c>
      <c r="K13" s="788">
        <f t="shared" si="5"/>
        <v>0.65326274999999989</v>
      </c>
      <c r="L13" s="788" t="e">
        <f t="shared" si="5"/>
        <v>#VALUE!</v>
      </c>
      <c r="M13" s="788" t="e">
        <f t="shared" si="5"/>
        <v>#VALUE!</v>
      </c>
      <c r="N13" s="788" t="e">
        <f t="shared" si="5"/>
        <v>#VALUE!</v>
      </c>
      <c r="O13" s="788">
        <f t="shared" si="5"/>
        <v>7770.4007211538456</v>
      </c>
      <c r="P13" s="830"/>
      <c r="Q13" s="830"/>
      <c r="R13" s="832"/>
      <c r="S13" s="832"/>
      <c r="T13" s="832"/>
      <c r="U13" s="832"/>
      <c r="V13" s="832"/>
      <c r="W13" s="832"/>
      <c r="X13" s="832"/>
      <c r="Y13" s="832"/>
      <c r="Z13" s="832"/>
      <c r="AA13" s="832"/>
      <c r="AB13" s="832"/>
      <c r="AC13" s="832"/>
      <c r="AD13" s="832"/>
      <c r="AE13" s="832"/>
      <c r="AF13" s="832"/>
      <c r="AG13" s="832"/>
      <c r="AH13" s="832"/>
      <c r="AI13" s="832"/>
      <c r="AJ13" s="832"/>
      <c r="AK13" s="832"/>
      <c r="AL13" s="832"/>
      <c r="AM13" s="832"/>
    </row>
    <row r="14" spans="1:39" s="833" customFormat="1" ht="28.5" customHeight="1">
      <c r="A14" s="785" t="s">
        <v>1000</v>
      </c>
      <c r="B14" s="850" t="s">
        <v>460</v>
      </c>
      <c r="C14" s="783"/>
      <c r="D14" s="783"/>
      <c r="E14" s="788"/>
      <c r="F14" s="788"/>
      <c r="G14" s="788"/>
      <c r="H14" s="788"/>
      <c r="I14" s="788"/>
      <c r="J14" s="788"/>
      <c r="K14" s="788"/>
      <c r="L14" s="788"/>
      <c r="M14" s="788"/>
      <c r="N14" s="788"/>
      <c r="O14" s="788"/>
      <c r="P14" s="830"/>
      <c r="Q14" s="830"/>
      <c r="R14" s="832"/>
      <c r="S14" s="832"/>
      <c r="T14" s="832"/>
      <c r="U14" s="832"/>
      <c r="V14" s="832"/>
      <c r="W14" s="832"/>
      <c r="X14" s="832"/>
      <c r="Y14" s="832"/>
      <c r="Z14" s="832"/>
      <c r="AA14" s="832"/>
      <c r="AB14" s="832"/>
      <c r="AC14" s="832"/>
      <c r="AD14" s="832"/>
      <c r="AE14" s="832"/>
      <c r="AF14" s="832"/>
      <c r="AG14" s="832"/>
      <c r="AH14" s="832"/>
      <c r="AI14" s="832"/>
      <c r="AJ14" s="832"/>
      <c r="AK14" s="832"/>
      <c r="AL14" s="832"/>
      <c r="AM14" s="832"/>
    </row>
    <row r="15" spans="1:39" s="837" customFormat="1" ht="18.75" customHeight="1">
      <c r="A15" s="1089" t="s">
        <v>1008</v>
      </c>
      <c r="B15" s="1131" t="s">
        <v>668</v>
      </c>
      <c r="C15" s="1071" t="s">
        <v>532</v>
      </c>
      <c r="D15" s="851">
        <v>1</v>
      </c>
      <c r="E15" s="796" t="e">
        <f>E22+E23+E24+E26+E28+E29+E30+E34+E37+E39+E41+E43+E44</f>
        <v>#VALUE!</v>
      </c>
      <c r="F15" s="796">
        <f>F22+F23+F24+F26+F28+F29+F30+F34+F37+F39+F41+F43+F44</f>
        <v>19201.875</v>
      </c>
      <c r="G15" s="796">
        <f>G22+G23+G24+G26+G27+G28+G29+G30+G34+G35+G37+G38+G39+G41+G42+G43+G44</f>
        <v>0</v>
      </c>
      <c r="H15" s="852">
        <f>'Dcu-DKDD'!H180/8000</f>
        <v>0.36282665907451911</v>
      </c>
      <c r="I15" s="852">
        <f>'VL-DKDD'!$F$189/8000</f>
        <v>0.907335</v>
      </c>
      <c r="J15" s="852">
        <f>'TB-DKDD'!$I$102/8000</f>
        <v>4.1449999999999994E-3</v>
      </c>
      <c r="K15" s="852">
        <f>'NL-DKDD'!$F$72/8000</f>
        <v>7.1872500000000001E-3</v>
      </c>
      <c r="L15" s="796" t="e">
        <f t="shared" ref="L15:L20" si="6">SUM(E15:K15)</f>
        <v>#VALUE!</v>
      </c>
      <c r="M15" s="796" t="e">
        <f>L15*'He so chung'!$D$17/100</f>
        <v>#VALUE!</v>
      </c>
      <c r="N15" s="796" t="e">
        <f t="shared" ref="N15:N20" si="7">L15+M15</f>
        <v>#VALUE!</v>
      </c>
      <c r="O15" s="796">
        <f>O22+O23+O24+O26+O28+O29+O30+O34+O37+O39+O41+O43+O44</f>
        <v>3566.6531249999998</v>
      </c>
      <c r="P15" s="853"/>
      <c r="Q15" s="853"/>
      <c r="R15" s="836"/>
      <c r="S15" s="836"/>
      <c r="T15" s="836"/>
      <c r="U15" s="836"/>
      <c r="V15" s="836"/>
      <c r="W15" s="836"/>
      <c r="X15" s="836"/>
      <c r="Y15" s="836"/>
      <c r="Z15" s="836"/>
      <c r="AA15" s="836"/>
      <c r="AB15" s="836"/>
      <c r="AC15" s="836"/>
      <c r="AD15" s="836"/>
      <c r="AE15" s="836"/>
      <c r="AF15" s="836"/>
      <c r="AG15" s="836"/>
      <c r="AH15" s="836"/>
      <c r="AI15" s="836"/>
      <c r="AJ15" s="836"/>
      <c r="AK15" s="836"/>
      <c r="AL15" s="836"/>
      <c r="AM15" s="836"/>
    </row>
    <row r="16" spans="1:39" s="837" customFormat="1" ht="18.75" customHeight="1">
      <c r="A16" s="1089"/>
      <c r="B16" s="1131"/>
      <c r="C16" s="1071"/>
      <c r="D16" s="851">
        <v>2</v>
      </c>
      <c r="E16" s="796" t="e">
        <f>E22+E23+E24+E26+E28+E29+E31+E34+E37+E39+E41+E43+E44</f>
        <v>#VALUE!</v>
      </c>
      <c r="F16" s="796">
        <f>F22+F23+F24+F26+F28+F29+F31+F34+F37+F39+F41+F43+F44</f>
        <v>22876.875</v>
      </c>
      <c r="G16" s="796">
        <f>G22+G23+G24+G26+G27+G28+G29+G31+G34+G35+G37+G38+G39+G41+G42+G43+G44</f>
        <v>0</v>
      </c>
      <c r="H16" s="852">
        <f>'Dcu-DKDD'!H181/8000</f>
        <v>0.38416940372596142</v>
      </c>
      <c r="I16" s="852">
        <f>'VL-DKDD'!$F$189/8000</f>
        <v>0.907335</v>
      </c>
      <c r="J16" s="852">
        <f>'TB-DKDD'!$I$102/8000</f>
        <v>4.1449999999999994E-3</v>
      </c>
      <c r="K16" s="852">
        <f>'NL-DKDD'!$F$72/8000</f>
        <v>7.1872500000000001E-3</v>
      </c>
      <c r="L16" s="796" t="e">
        <f t="shared" si="6"/>
        <v>#VALUE!</v>
      </c>
      <c r="M16" s="796" t="e">
        <f>L16*'He so chung'!$D$17/100</f>
        <v>#VALUE!</v>
      </c>
      <c r="N16" s="796" t="e">
        <f t="shared" si="7"/>
        <v>#VALUE!</v>
      </c>
      <c r="O16" s="796">
        <f>O22+O23+O24+O26+O28+O29+O31+O34+O37+O39+O41+O43+O44</f>
        <v>3874.056971153846</v>
      </c>
      <c r="P16" s="853"/>
      <c r="Q16" s="853"/>
      <c r="R16" s="836"/>
      <c r="S16" s="836"/>
      <c r="T16" s="836"/>
      <c r="U16" s="836"/>
      <c r="V16" s="836"/>
      <c r="W16" s="836"/>
      <c r="X16" s="836"/>
      <c r="Y16" s="836"/>
      <c r="Z16" s="836"/>
      <c r="AA16" s="836"/>
      <c r="AB16" s="836"/>
      <c r="AC16" s="836"/>
      <c r="AD16" s="836"/>
      <c r="AE16" s="836"/>
      <c r="AF16" s="836"/>
      <c r="AG16" s="836"/>
      <c r="AH16" s="836"/>
      <c r="AI16" s="836"/>
      <c r="AJ16" s="836"/>
      <c r="AK16" s="836"/>
      <c r="AL16" s="836"/>
      <c r="AM16" s="836"/>
    </row>
    <row r="17" spans="1:39" s="837" customFormat="1" ht="18.75" customHeight="1">
      <c r="A17" s="1089"/>
      <c r="B17" s="1131"/>
      <c r="C17" s="1071"/>
      <c r="D17" s="851">
        <v>3</v>
      </c>
      <c r="E17" s="796" t="e">
        <f>E22+E23+E24+E26+E28+E29+E32+E34+E37+E39+E41+E43+E44</f>
        <v>#VALUE!</v>
      </c>
      <c r="F17" s="796">
        <f>F22+F23+F24+F26+F28+F29+F32+F34+F37+F39+F41+F43+F44</f>
        <v>27286.875</v>
      </c>
      <c r="G17" s="796">
        <f>G22+G23+G24+G26+G27+G28+G29+G32+G34+G35+G37+G38+G39+G41+G42+G43+G44</f>
        <v>0</v>
      </c>
      <c r="H17" s="852">
        <f>'Dcu-DKDD'!H182/8000</f>
        <v>0.42685489302884605</v>
      </c>
      <c r="I17" s="852">
        <f>'VL-DKDD'!$F$189/8000</f>
        <v>0.907335</v>
      </c>
      <c r="J17" s="852">
        <f>'TB-DKDD'!$I$102/8000</f>
        <v>4.1449999999999994E-3</v>
      </c>
      <c r="K17" s="852">
        <f>'NL-DKDD'!$F$72/8000</f>
        <v>7.1872500000000001E-3</v>
      </c>
      <c r="L17" s="854" t="e">
        <f t="shared" si="6"/>
        <v>#VALUE!</v>
      </c>
      <c r="M17" s="854" t="e">
        <f>L17*'He so chung'!$D$17/100</f>
        <v>#VALUE!</v>
      </c>
      <c r="N17" s="854" t="e">
        <f t="shared" si="7"/>
        <v>#VALUE!</v>
      </c>
      <c r="O17" s="796">
        <f>O22+O23+O24+O26+O28+O29+O32+O34+O37+O39+O41+O43+O44</f>
        <v>4242.9415865384608</v>
      </c>
      <c r="P17" s="853"/>
      <c r="Q17" s="853"/>
      <c r="R17" s="836"/>
      <c r="S17" s="836"/>
      <c r="T17" s="836"/>
      <c r="U17" s="836"/>
      <c r="V17" s="836"/>
      <c r="W17" s="836"/>
      <c r="X17" s="836"/>
      <c r="Y17" s="836"/>
      <c r="Z17" s="836"/>
      <c r="AA17" s="836"/>
      <c r="AB17" s="836"/>
      <c r="AC17" s="836"/>
      <c r="AD17" s="836"/>
      <c r="AE17" s="836"/>
      <c r="AF17" s="836"/>
      <c r="AG17" s="836"/>
      <c r="AH17" s="836"/>
      <c r="AI17" s="836"/>
      <c r="AJ17" s="836"/>
      <c r="AK17" s="836"/>
      <c r="AL17" s="836"/>
      <c r="AM17" s="836"/>
    </row>
    <row r="18" spans="1:39" s="837" customFormat="1" ht="18.75" customHeight="1">
      <c r="A18" s="1089" t="s">
        <v>1009</v>
      </c>
      <c r="B18" s="1131" t="s">
        <v>669</v>
      </c>
      <c r="C18" s="1071" t="s">
        <v>532</v>
      </c>
      <c r="D18" s="851">
        <v>1</v>
      </c>
      <c r="E18" s="796" t="e">
        <f>E22+E23+E24+E27+E28+E29+E30+E35+E38+E39+E42+E43+E44</f>
        <v>#VALUE!</v>
      </c>
      <c r="F18" s="796">
        <f>F22+F23+F24+F27+F28+F29+F30+F35+F38+F39+F42+F43+F44</f>
        <v>19201.875</v>
      </c>
      <c r="G18" s="796"/>
      <c r="H18" s="852">
        <f>'Dcu-DKDD'!H183/8000</f>
        <v>0</v>
      </c>
      <c r="I18" s="852">
        <f>'VL-DKDD'!$F$189/8000</f>
        <v>0.907335</v>
      </c>
      <c r="J18" s="852">
        <f>'TB-DKDD'!$I$102/8000</f>
        <v>4.1449999999999994E-3</v>
      </c>
      <c r="K18" s="852">
        <f>'NL-DKDD'!$F$72/8000</f>
        <v>7.1872500000000001E-3</v>
      </c>
      <c r="L18" s="796" t="e">
        <f t="shared" si="6"/>
        <v>#VALUE!</v>
      </c>
      <c r="M18" s="796" t="e">
        <f>L18*'He so chung'!$D$17/100</f>
        <v>#VALUE!</v>
      </c>
      <c r="N18" s="796" t="e">
        <f t="shared" si="7"/>
        <v>#VALUE!</v>
      </c>
      <c r="O18" s="796">
        <f>O22+O23+O24+O27+O28+O29+O30+O35+O38+O39+O42+O43+O44</f>
        <v>3314.5819711538456</v>
      </c>
      <c r="P18" s="853"/>
      <c r="Q18" s="853"/>
      <c r="R18" s="836"/>
      <c r="S18" s="836"/>
      <c r="T18" s="836"/>
      <c r="U18" s="836"/>
      <c r="V18" s="836"/>
      <c r="W18" s="836"/>
      <c r="X18" s="836"/>
      <c r="Y18" s="836"/>
      <c r="Z18" s="836"/>
      <c r="AA18" s="836"/>
      <c r="AB18" s="836"/>
      <c r="AC18" s="836"/>
      <c r="AD18" s="836"/>
      <c r="AE18" s="836"/>
      <c r="AF18" s="836"/>
      <c r="AG18" s="836"/>
      <c r="AH18" s="836"/>
      <c r="AI18" s="836"/>
      <c r="AJ18" s="836"/>
      <c r="AK18" s="836"/>
      <c r="AL18" s="836"/>
      <c r="AM18" s="836"/>
    </row>
    <row r="19" spans="1:39" s="837" customFormat="1" ht="18.75" customHeight="1">
      <c r="A19" s="1089"/>
      <c r="B19" s="1131"/>
      <c r="C19" s="1071"/>
      <c r="D19" s="851">
        <v>2</v>
      </c>
      <c r="E19" s="796" t="e">
        <f>E22+E23+E24+E27+E28+E29+E31+E34+E35+E38+E39+E42+E43+E44</f>
        <v>#VALUE!</v>
      </c>
      <c r="F19" s="796">
        <f>F22+F23+F24+F27+F28+F29+F31+F34+F35+F38+F39+F42+F43+F44</f>
        <v>22876.875</v>
      </c>
      <c r="G19" s="796"/>
      <c r="H19" s="852">
        <f>'Dcu-DKDD'!H184/8000</f>
        <v>0</v>
      </c>
      <c r="I19" s="852">
        <f>'VL-DKDD'!$F$189/8000</f>
        <v>0.907335</v>
      </c>
      <c r="J19" s="852">
        <f>'TB-DKDD'!$I$102/8000</f>
        <v>4.1449999999999994E-3</v>
      </c>
      <c r="K19" s="852">
        <f>'NL-DKDD'!$F$72/8000</f>
        <v>7.1872500000000001E-3</v>
      </c>
      <c r="L19" s="796" t="e">
        <f t="shared" si="6"/>
        <v>#VALUE!</v>
      </c>
      <c r="M19" s="796" t="e">
        <f>L19*'He so chung'!$D$17/100</f>
        <v>#VALUE!</v>
      </c>
      <c r="N19" s="796" t="e">
        <f t="shared" si="7"/>
        <v>#VALUE!</v>
      </c>
      <c r="O19" s="796">
        <f>O22+O23+O24+O27+O28+O29+O31+O34+O35+O38+O39+O42+O43+O44</f>
        <v>3714.2069711538456</v>
      </c>
      <c r="P19" s="853"/>
      <c r="Q19" s="853"/>
      <c r="R19" s="836"/>
      <c r="S19" s="836"/>
      <c r="T19" s="836"/>
      <c r="U19" s="836"/>
      <c r="V19" s="836"/>
      <c r="W19" s="836"/>
      <c r="X19" s="836"/>
      <c r="Y19" s="836"/>
      <c r="Z19" s="836"/>
      <c r="AA19" s="836"/>
      <c r="AB19" s="836"/>
      <c r="AC19" s="836"/>
      <c r="AD19" s="836"/>
      <c r="AE19" s="836"/>
      <c r="AF19" s="836"/>
      <c r="AG19" s="836"/>
      <c r="AH19" s="836"/>
      <c r="AI19" s="836"/>
      <c r="AJ19" s="836"/>
      <c r="AK19" s="836"/>
      <c r="AL19" s="836"/>
      <c r="AM19" s="836"/>
    </row>
    <row r="20" spans="1:39" s="837" customFormat="1" ht="18.75" customHeight="1">
      <c r="A20" s="1089"/>
      <c r="B20" s="1131"/>
      <c r="C20" s="1071"/>
      <c r="D20" s="851">
        <v>3</v>
      </c>
      <c r="E20" s="796" t="e">
        <f>E22+E23+E24+E27+E28+E29+E32+E34+E35+E38+E39+E42+E43+E44</f>
        <v>#VALUE!</v>
      </c>
      <c r="F20" s="796">
        <f>F22+F23+F24+F27+F28+F29+F32+F34+F35+F38+F39+F42+F43+F44</f>
        <v>27286.875</v>
      </c>
      <c r="G20" s="796"/>
      <c r="H20" s="852">
        <f>'Dcu-DKDD'!H185/8000</f>
        <v>0</v>
      </c>
      <c r="I20" s="852">
        <f>'VL-DKDD'!$F$189/8000</f>
        <v>0.907335</v>
      </c>
      <c r="J20" s="852">
        <f>'TB-DKDD'!$I$102/8000</f>
        <v>4.1449999999999994E-3</v>
      </c>
      <c r="K20" s="852">
        <f>'NL-DKDD'!$F$72/8000</f>
        <v>7.1872500000000001E-3</v>
      </c>
      <c r="L20" s="796" t="e">
        <f t="shared" si="6"/>
        <v>#VALUE!</v>
      </c>
      <c r="M20" s="796" t="e">
        <f>L20*'He so chung'!$D$17/100</f>
        <v>#VALUE!</v>
      </c>
      <c r="N20" s="796" t="e">
        <f t="shared" si="7"/>
        <v>#VALUE!</v>
      </c>
      <c r="O20" s="796">
        <f>O22+O23+O24+O27+O28+O29+O32+O34+O35+O38+O39+O42+O43+O44</f>
        <v>4083.0915865384609</v>
      </c>
      <c r="P20" s="853"/>
      <c r="Q20" s="853"/>
      <c r="R20" s="836"/>
      <c r="S20" s="836"/>
      <c r="T20" s="836"/>
      <c r="U20" s="836"/>
      <c r="V20" s="836"/>
      <c r="W20" s="836"/>
      <c r="X20" s="836"/>
      <c r="Y20" s="836"/>
      <c r="Z20" s="836"/>
      <c r="AA20" s="836"/>
      <c r="AB20" s="836"/>
      <c r="AC20" s="836"/>
      <c r="AD20" s="836"/>
      <c r="AE20" s="836"/>
      <c r="AF20" s="836"/>
      <c r="AG20" s="836"/>
      <c r="AH20" s="836"/>
      <c r="AI20" s="836"/>
      <c r="AJ20" s="836"/>
      <c r="AK20" s="836"/>
      <c r="AL20" s="836"/>
      <c r="AM20" s="836"/>
    </row>
    <row r="21" spans="1:39" s="860" customFormat="1" ht="27" customHeight="1">
      <c r="A21" s="798">
        <v>1</v>
      </c>
      <c r="B21" s="799" t="s">
        <v>453</v>
      </c>
      <c r="C21" s="798"/>
      <c r="D21" s="855"/>
      <c r="E21" s="856"/>
      <c r="F21" s="856"/>
      <c r="G21" s="795"/>
      <c r="H21" s="856"/>
      <c r="I21" s="856"/>
      <c r="J21" s="856"/>
      <c r="K21" s="856"/>
      <c r="L21" s="857"/>
      <c r="M21" s="857"/>
      <c r="N21" s="857"/>
      <c r="O21" s="856"/>
      <c r="P21" s="846">
        <f>'He so chung'!$D$22</f>
        <v>5346.1538461538457</v>
      </c>
      <c r="Q21" s="846">
        <f>'He so chung'!$D$23</f>
        <v>801.92307692307691</v>
      </c>
      <c r="R21" s="858"/>
      <c r="S21" s="859"/>
      <c r="T21" s="859"/>
      <c r="U21" s="859"/>
      <c r="V21" s="859"/>
      <c r="W21" s="859"/>
      <c r="X21" s="859"/>
      <c r="Y21" s="859"/>
      <c r="Z21" s="859"/>
      <c r="AA21" s="859"/>
      <c r="AB21" s="859"/>
      <c r="AC21" s="859"/>
      <c r="AD21" s="859"/>
      <c r="AE21" s="859"/>
      <c r="AF21" s="859"/>
      <c r="AG21" s="859"/>
      <c r="AH21" s="859"/>
      <c r="AI21" s="859"/>
      <c r="AJ21" s="859"/>
      <c r="AK21" s="859"/>
      <c r="AL21" s="859"/>
      <c r="AM21" s="859"/>
    </row>
    <row r="22" spans="1:39" s="860" customFormat="1" ht="32.450000000000003" customHeight="1">
      <c r="A22" s="798" t="s">
        <v>733</v>
      </c>
      <c r="B22" s="799" t="s">
        <v>834</v>
      </c>
      <c r="C22" s="798" t="s">
        <v>532</v>
      </c>
      <c r="D22" s="792" t="s">
        <v>187</v>
      </c>
      <c r="E22" s="856" t="e">
        <f>NC_DKDD!H528/8000*10</f>
        <v>#VALUE!</v>
      </c>
      <c r="F22" s="856">
        <f>NC_DKDD!H529/8000*10</f>
        <v>367.5</v>
      </c>
      <c r="G22" s="795"/>
      <c r="H22" s="856"/>
      <c r="I22" s="856"/>
      <c r="J22" s="856"/>
      <c r="K22" s="856"/>
      <c r="L22" s="857"/>
      <c r="M22" s="857"/>
      <c r="N22" s="857"/>
      <c r="O22" s="856">
        <f>P22+Q22</f>
        <v>30.740384615384613</v>
      </c>
      <c r="P22" s="858">
        <f>R22*$P$21</f>
        <v>26.73076923076923</v>
      </c>
      <c r="Q22" s="858">
        <f>R22*$Q$21</f>
        <v>4.009615384615385</v>
      </c>
      <c r="R22" s="861">
        <f>NC_DKDD!G528/8000*10</f>
        <v>5.0000000000000001E-3</v>
      </c>
      <c r="S22" s="859"/>
      <c r="T22" s="859"/>
      <c r="U22" s="859"/>
      <c r="V22" s="859"/>
      <c r="W22" s="859"/>
      <c r="X22" s="859"/>
      <c r="Y22" s="859"/>
      <c r="Z22" s="859"/>
      <c r="AA22" s="859"/>
      <c r="AB22" s="859"/>
      <c r="AC22" s="859"/>
      <c r="AD22" s="859"/>
      <c r="AE22" s="859"/>
      <c r="AF22" s="859"/>
      <c r="AG22" s="859"/>
      <c r="AH22" s="859"/>
      <c r="AI22" s="859"/>
      <c r="AJ22" s="859"/>
      <c r="AK22" s="859"/>
      <c r="AL22" s="859"/>
      <c r="AM22" s="859"/>
    </row>
    <row r="23" spans="1:39" s="860" customFormat="1" ht="28.5">
      <c r="A23" s="798" t="s">
        <v>741</v>
      </c>
      <c r="B23" s="799" t="s">
        <v>837</v>
      </c>
      <c r="C23" s="798" t="s">
        <v>532</v>
      </c>
      <c r="D23" s="792" t="s">
        <v>187</v>
      </c>
      <c r="E23" s="856" t="e">
        <f>NC_DKDD!H530/8000</f>
        <v>#VALUE!</v>
      </c>
      <c r="F23" s="856"/>
      <c r="G23" s="795"/>
      <c r="H23" s="856"/>
      <c r="I23" s="856"/>
      <c r="J23" s="856"/>
      <c r="K23" s="856"/>
      <c r="L23" s="857"/>
      <c r="M23" s="857"/>
      <c r="N23" s="857"/>
      <c r="O23" s="856">
        <f t="shared" ref="O23:O87" si="8">P23+Q23</f>
        <v>12.296153846153846</v>
      </c>
      <c r="P23" s="858">
        <f>R23*$P$21</f>
        <v>10.692307692307692</v>
      </c>
      <c r="Q23" s="858">
        <f>R23*$Q$21</f>
        <v>1.6038461538461539</v>
      </c>
      <c r="R23" s="861">
        <f>NC_DKDD!G530/8000</f>
        <v>2E-3</v>
      </c>
      <c r="S23" s="859"/>
      <c r="T23" s="859"/>
      <c r="U23" s="859"/>
      <c r="V23" s="859"/>
      <c r="W23" s="859"/>
      <c r="X23" s="859"/>
      <c r="Y23" s="859"/>
      <c r="Z23" s="859"/>
      <c r="AA23" s="859"/>
      <c r="AB23" s="859"/>
      <c r="AC23" s="859"/>
      <c r="AD23" s="859"/>
      <c r="AE23" s="859"/>
      <c r="AF23" s="859"/>
      <c r="AG23" s="859"/>
      <c r="AH23" s="859"/>
      <c r="AI23" s="859"/>
      <c r="AJ23" s="859"/>
      <c r="AK23" s="859"/>
      <c r="AL23" s="859"/>
      <c r="AM23" s="859"/>
    </row>
    <row r="24" spans="1:39" s="860" customFormat="1" ht="32.450000000000003" customHeight="1">
      <c r="A24" s="798" t="s">
        <v>734</v>
      </c>
      <c r="B24" s="799" t="s">
        <v>100</v>
      </c>
      <c r="C24" s="798" t="s">
        <v>532</v>
      </c>
      <c r="D24" s="792" t="s">
        <v>187</v>
      </c>
      <c r="E24" s="856" t="e">
        <f>NC_DKDD!H531/8000*10</f>
        <v>#VALUE!</v>
      </c>
      <c r="F24" s="856">
        <f>NC_DKDD!H532/8000*10</f>
        <v>459.375</v>
      </c>
      <c r="G24" s="795"/>
      <c r="H24" s="856"/>
      <c r="I24" s="856"/>
      <c r="J24" s="856"/>
      <c r="K24" s="856"/>
      <c r="L24" s="857"/>
      <c r="M24" s="857"/>
      <c r="N24" s="857"/>
      <c r="O24" s="856">
        <f t="shared" si="8"/>
        <v>19.212740384615387</v>
      </c>
      <c r="P24" s="858">
        <f t="shared" ref="P24:P34" si="9">R24*$P$21</f>
        <v>16.70673076923077</v>
      </c>
      <c r="Q24" s="858">
        <f t="shared" ref="Q24:Q87" si="10">R24*$Q$21</f>
        <v>2.5060096153846154</v>
      </c>
      <c r="R24" s="861">
        <f>NC_DKDD!G531/8000*10</f>
        <v>3.1250000000000002E-3</v>
      </c>
      <c r="S24" s="859"/>
      <c r="T24" s="859"/>
      <c r="U24" s="859"/>
      <c r="V24" s="859"/>
      <c r="W24" s="859"/>
      <c r="X24" s="859"/>
      <c r="Y24" s="859"/>
      <c r="Z24" s="859"/>
      <c r="AA24" s="859"/>
      <c r="AB24" s="859"/>
      <c r="AC24" s="859"/>
      <c r="AD24" s="859"/>
      <c r="AE24" s="859"/>
      <c r="AF24" s="859"/>
      <c r="AG24" s="859"/>
      <c r="AH24" s="859"/>
      <c r="AI24" s="859"/>
      <c r="AJ24" s="859"/>
      <c r="AK24" s="859"/>
      <c r="AL24" s="859"/>
      <c r="AM24" s="859"/>
    </row>
    <row r="25" spans="1:39" s="860" customFormat="1" ht="32.450000000000003" customHeight="1">
      <c r="A25" s="798" t="s">
        <v>843</v>
      </c>
      <c r="B25" s="799" t="s">
        <v>101</v>
      </c>
      <c r="C25" s="798"/>
      <c r="D25" s="798"/>
      <c r="E25" s="799"/>
      <c r="F25" s="799"/>
      <c r="G25" s="795"/>
      <c r="H25" s="856"/>
      <c r="I25" s="856"/>
      <c r="J25" s="856"/>
      <c r="K25" s="856"/>
      <c r="L25" s="857"/>
      <c r="M25" s="857"/>
      <c r="N25" s="857"/>
      <c r="O25" s="856">
        <f t="shared" si="8"/>
        <v>0</v>
      </c>
      <c r="P25" s="858">
        <f t="shared" si="9"/>
        <v>0</v>
      </c>
      <c r="Q25" s="858">
        <f t="shared" si="10"/>
        <v>0</v>
      </c>
      <c r="R25" s="861"/>
      <c r="S25" s="859"/>
      <c r="T25" s="859"/>
      <c r="U25" s="859"/>
      <c r="V25" s="859"/>
      <c r="W25" s="859"/>
      <c r="X25" s="859"/>
      <c r="Y25" s="859"/>
      <c r="Z25" s="859"/>
      <c r="AA25" s="859"/>
      <c r="AB25" s="859"/>
      <c r="AC25" s="859"/>
      <c r="AD25" s="859"/>
      <c r="AE25" s="859"/>
      <c r="AF25" s="859"/>
      <c r="AG25" s="859"/>
      <c r="AH25" s="859"/>
      <c r="AI25" s="859"/>
      <c r="AJ25" s="859"/>
      <c r="AK25" s="859"/>
      <c r="AL25" s="859"/>
      <c r="AM25" s="859"/>
    </row>
    <row r="26" spans="1:39" s="860" customFormat="1" ht="32.450000000000003" customHeight="1">
      <c r="A26" s="798" t="s">
        <v>845</v>
      </c>
      <c r="B26" s="799" t="s">
        <v>846</v>
      </c>
      <c r="C26" s="798" t="s">
        <v>532</v>
      </c>
      <c r="D26" s="792" t="s">
        <v>187</v>
      </c>
      <c r="E26" s="856" t="e">
        <f>NC_DKDD!H534</f>
        <v>#VALUE!</v>
      </c>
      <c r="F26" s="856"/>
      <c r="G26" s="795"/>
      <c r="H26" s="856"/>
      <c r="I26" s="856"/>
      <c r="J26" s="856"/>
      <c r="K26" s="856"/>
      <c r="L26" s="857"/>
      <c r="M26" s="857"/>
      <c r="N26" s="857"/>
      <c r="O26" s="856">
        <f t="shared" si="8"/>
        <v>307.40384615384619</v>
      </c>
      <c r="P26" s="858">
        <f t="shared" si="9"/>
        <v>267.30769230769232</v>
      </c>
      <c r="Q26" s="858">
        <f t="shared" si="10"/>
        <v>40.096153846153847</v>
      </c>
      <c r="R26" s="861">
        <f>NC_DKDD!G534</f>
        <v>0.05</v>
      </c>
      <c r="S26" s="859"/>
      <c r="T26" s="859"/>
      <c r="U26" s="859"/>
      <c r="V26" s="859"/>
      <c r="W26" s="859"/>
      <c r="X26" s="859"/>
      <c r="Y26" s="859"/>
      <c r="Z26" s="859"/>
      <c r="AA26" s="859"/>
      <c r="AB26" s="859"/>
      <c r="AC26" s="859"/>
      <c r="AD26" s="859"/>
      <c r="AE26" s="859"/>
      <c r="AF26" s="859"/>
      <c r="AG26" s="859"/>
      <c r="AH26" s="859"/>
      <c r="AI26" s="859"/>
      <c r="AJ26" s="859"/>
      <c r="AK26" s="859"/>
      <c r="AL26" s="859"/>
      <c r="AM26" s="859"/>
    </row>
    <row r="27" spans="1:39" s="860" customFormat="1" ht="32.450000000000003" customHeight="1">
      <c r="A27" s="798" t="s">
        <v>848</v>
      </c>
      <c r="B27" s="799" t="s">
        <v>849</v>
      </c>
      <c r="C27" s="798" t="s">
        <v>532</v>
      </c>
      <c r="D27" s="792" t="s">
        <v>187</v>
      </c>
      <c r="E27" s="856" t="e">
        <f>NC_DKDD!H535</f>
        <v>#VALUE!</v>
      </c>
      <c r="F27" s="856"/>
      <c r="G27" s="795"/>
      <c r="H27" s="856"/>
      <c r="I27" s="856"/>
      <c r="J27" s="856"/>
      <c r="K27" s="856"/>
      <c r="L27" s="857"/>
      <c r="M27" s="857"/>
      <c r="N27" s="857"/>
      <c r="O27" s="856">
        <f t="shared" si="8"/>
        <v>153.70192307692309</v>
      </c>
      <c r="P27" s="858">
        <f t="shared" si="9"/>
        <v>133.65384615384616</v>
      </c>
      <c r="Q27" s="858">
        <f t="shared" si="10"/>
        <v>20.048076923076923</v>
      </c>
      <c r="R27" s="861">
        <f>NC_DKDD!G535</f>
        <v>2.5000000000000001E-2</v>
      </c>
      <c r="S27" s="859"/>
      <c r="T27" s="859"/>
      <c r="U27" s="859"/>
      <c r="V27" s="859"/>
      <c r="W27" s="859"/>
      <c r="X27" s="859"/>
      <c r="Y27" s="859"/>
      <c r="Z27" s="859"/>
      <c r="AA27" s="859"/>
      <c r="AB27" s="859"/>
      <c r="AC27" s="859"/>
      <c r="AD27" s="859"/>
      <c r="AE27" s="859"/>
      <c r="AF27" s="859"/>
      <c r="AG27" s="859"/>
      <c r="AH27" s="859"/>
      <c r="AI27" s="859"/>
      <c r="AJ27" s="859"/>
      <c r="AK27" s="859"/>
      <c r="AL27" s="859"/>
      <c r="AM27" s="859"/>
    </row>
    <row r="28" spans="1:39" s="860" customFormat="1" ht="28.5">
      <c r="A28" s="798">
        <v>2</v>
      </c>
      <c r="B28" s="799" t="s">
        <v>797</v>
      </c>
      <c r="C28" s="798" t="s">
        <v>532</v>
      </c>
      <c r="D28" s="792" t="s">
        <v>187</v>
      </c>
      <c r="E28" s="856" t="e">
        <f>NC_DKDD!H536</f>
        <v>#VALUE!</v>
      </c>
      <c r="F28" s="856"/>
      <c r="G28" s="795"/>
      <c r="H28" s="856"/>
      <c r="I28" s="856"/>
      <c r="J28" s="856"/>
      <c r="K28" s="856"/>
      <c r="L28" s="857"/>
      <c r="M28" s="857"/>
      <c r="N28" s="857"/>
      <c r="O28" s="856">
        <f t="shared" si="8"/>
        <v>307.40384615384619</v>
      </c>
      <c r="P28" s="858">
        <f t="shared" si="9"/>
        <v>267.30769230769232</v>
      </c>
      <c r="Q28" s="858">
        <f t="shared" si="10"/>
        <v>40.096153846153847</v>
      </c>
      <c r="R28" s="861">
        <f>NC_DKDD!G536</f>
        <v>0.05</v>
      </c>
      <c r="S28" s="859"/>
      <c r="T28" s="859"/>
      <c r="U28" s="859"/>
      <c r="V28" s="859"/>
      <c r="W28" s="859"/>
      <c r="X28" s="859"/>
      <c r="Y28" s="859"/>
      <c r="Z28" s="859"/>
      <c r="AA28" s="859"/>
      <c r="AB28" s="859"/>
      <c r="AC28" s="859"/>
      <c r="AD28" s="859"/>
      <c r="AE28" s="859"/>
      <c r="AF28" s="859"/>
      <c r="AG28" s="859"/>
      <c r="AH28" s="859"/>
      <c r="AI28" s="859"/>
      <c r="AJ28" s="859"/>
      <c r="AK28" s="859"/>
      <c r="AL28" s="859"/>
      <c r="AM28" s="859"/>
    </row>
    <row r="29" spans="1:39" s="860" customFormat="1" ht="32.450000000000003" customHeight="1">
      <c r="A29" s="798">
        <v>3</v>
      </c>
      <c r="B29" s="799" t="s">
        <v>851</v>
      </c>
      <c r="C29" s="798" t="s">
        <v>375</v>
      </c>
      <c r="D29" s="792" t="s">
        <v>187</v>
      </c>
      <c r="E29" s="856" t="e">
        <f>NC_DKDD!H537</f>
        <v>#VALUE!</v>
      </c>
      <c r="F29" s="856"/>
      <c r="G29" s="795"/>
      <c r="H29" s="856"/>
      <c r="I29" s="856"/>
      <c r="J29" s="856"/>
      <c r="K29" s="856"/>
      <c r="L29" s="857"/>
      <c r="M29" s="857"/>
      <c r="N29" s="857"/>
      <c r="O29" s="856">
        <f t="shared" si="8"/>
        <v>657.84423076923065</v>
      </c>
      <c r="P29" s="858">
        <f t="shared" si="9"/>
        <v>572.03846153846143</v>
      </c>
      <c r="Q29" s="858">
        <f t="shared" si="10"/>
        <v>85.805769230769229</v>
      </c>
      <c r="R29" s="861">
        <f>NC_DKDD!G537</f>
        <v>0.107</v>
      </c>
      <c r="S29" s="859"/>
      <c r="T29" s="859"/>
      <c r="U29" s="859"/>
      <c r="V29" s="859"/>
      <c r="W29" s="859"/>
      <c r="X29" s="859"/>
      <c r="Y29" s="859"/>
      <c r="Z29" s="859"/>
      <c r="AA29" s="859"/>
      <c r="AB29" s="859"/>
      <c r="AC29" s="859"/>
      <c r="AD29" s="859"/>
      <c r="AE29" s="859"/>
      <c r="AF29" s="859"/>
      <c r="AG29" s="859"/>
      <c r="AH29" s="859"/>
      <c r="AI29" s="859"/>
      <c r="AJ29" s="859"/>
      <c r="AK29" s="859"/>
      <c r="AL29" s="859"/>
      <c r="AM29" s="859"/>
    </row>
    <row r="30" spans="1:39" s="860" customFormat="1" ht="25.5" customHeight="1">
      <c r="A30" s="1084">
        <v>4</v>
      </c>
      <c r="B30" s="1096" t="s">
        <v>102</v>
      </c>
      <c r="C30" s="1084" t="s">
        <v>532</v>
      </c>
      <c r="D30" s="798">
        <v>1</v>
      </c>
      <c r="E30" s="856" t="e">
        <f>NC_DKDD!H538</f>
        <v>#VALUE!</v>
      </c>
      <c r="F30" s="856">
        <f>NC_DKDD!H539</f>
        <v>18375</v>
      </c>
      <c r="G30" s="795"/>
      <c r="H30" s="856"/>
      <c r="I30" s="856"/>
      <c r="J30" s="856"/>
      <c r="K30" s="856"/>
      <c r="L30" s="857"/>
      <c r="M30" s="857"/>
      <c r="N30" s="857"/>
      <c r="O30" s="856">
        <f t="shared" si="8"/>
        <v>1537.0192307692307</v>
      </c>
      <c r="P30" s="858">
        <f t="shared" si="9"/>
        <v>1336.5384615384614</v>
      </c>
      <c r="Q30" s="858">
        <f t="shared" si="10"/>
        <v>200.48076923076923</v>
      </c>
      <c r="R30" s="861">
        <f>NC_DKDD!G538</f>
        <v>0.25</v>
      </c>
      <c r="S30" s="859"/>
      <c r="T30" s="859"/>
      <c r="U30" s="859"/>
      <c r="V30" s="859"/>
      <c r="W30" s="859"/>
      <c r="X30" s="859"/>
      <c r="Y30" s="859"/>
      <c r="Z30" s="859"/>
      <c r="AA30" s="859"/>
      <c r="AB30" s="859"/>
      <c r="AC30" s="859"/>
      <c r="AD30" s="859"/>
      <c r="AE30" s="859"/>
      <c r="AF30" s="859"/>
      <c r="AG30" s="859"/>
      <c r="AH30" s="859"/>
      <c r="AI30" s="859"/>
      <c r="AJ30" s="859"/>
      <c r="AK30" s="859"/>
      <c r="AL30" s="859"/>
      <c r="AM30" s="859"/>
    </row>
    <row r="31" spans="1:39" s="860" customFormat="1" ht="25.5" customHeight="1">
      <c r="A31" s="1084"/>
      <c r="B31" s="1096"/>
      <c r="C31" s="1084"/>
      <c r="D31" s="798">
        <v>2</v>
      </c>
      <c r="E31" s="856" t="e">
        <f>NC_DKDD!H540</f>
        <v>#VALUE!</v>
      </c>
      <c r="F31" s="856">
        <f>NC_DKDD!H541</f>
        <v>22050</v>
      </c>
      <c r="G31" s="795"/>
      <c r="H31" s="856"/>
      <c r="I31" s="856"/>
      <c r="J31" s="856"/>
      <c r="K31" s="856"/>
      <c r="L31" s="857"/>
      <c r="M31" s="857"/>
      <c r="N31" s="857"/>
      <c r="O31" s="856">
        <f t="shared" si="8"/>
        <v>1844.4230769230767</v>
      </c>
      <c r="P31" s="858">
        <f t="shared" si="9"/>
        <v>1603.8461538461536</v>
      </c>
      <c r="Q31" s="858">
        <f t="shared" si="10"/>
        <v>240.57692307692307</v>
      </c>
      <c r="R31" s="861">
        <f>NC_DKDD!G540</f>
        <v>0.3</v>
      </c>
      <c r="S31" s="859"/>
      <c r="T31" s="859"/>
      <c r="U31" s="859"/>
      <c r="V31" s="859"/>
      <c r="W31" s="859"/>
      <c r="X31" s="859"/>
      <c r="Y31" s="859"/>
      <c r="Z31" s="859"/>
      <c r="AA31" s="859"/>
      <c r="AB31" s="859"/>
      <c r="AC31" s="859"/>
      <c r="AD31" s="859"/>
      <c r="AE31" s="859"/>
      <c r="AF31" s="859"/>
      <c r="AG31" s="859"/>
      <c r="AH31" s="859"/>
      <c r="AI31" s="859"/>
      <c r="AJ31" s="859"/>
      <c r="AK31" s="859"/>
      <c r="AL31" s="859"/>
      <c r="AM31" s="859"/>
    </row>
    <row r="32" spans="1:39" s="860" customFormat="1" ht="25.5" customHeight="1">
      <c r="A32" s="1084"/>
      <c r="B32" s="1096"/>
      <c r="C32" s="1084"/>
      <c r="D32" s="798">
        <v>3</v>
      </c>
      <c r="E32" s="856" t="e">
        <f>NC_DKDD!H542</f>
        <v>#VALUE!</v>
      </c>
      <c r="F32" s="856">
        <f>NC_DKDD!H543</f>
        <v>26460</v>
      </c>
      <c r="G32" s="795"/>
      <c r="H32" s="856"/>
      <c r="I32" s="856"/>
      <c r="J32" s="856"/>
      <c r="K32" s="856"/>
      <c r="L32" s="857"/>
      <c r="M32" s="857"/>
      <c r="N32" s="857"/>
      <c r="O32" s="856">
        <f t="shared" si="8"/>
        <v>2213.3076923076919</v>
      </c>
      <c r="P32" s="858">
        <f t="shared" si="9"/>
        <v>1924.6153846153843</v>
      </c>
      <c r="Q32" s="858">
        <f t="shared" si="10"/>
        <v>288.69230769230768</v>
      </c>
      <c r="R32" s="861">
        <f>NC_DKDD!G542</f>
        <v>0.36</v>
      </c>
      <c r="S32" s="859"/>
      <c r="T32" s="859"/>
      <c r="U32" s="859"/>
      <c r="V32" s="859"/>
      <c r="W32" s="859"/>
      <c r="X32" s="859"/>
      <c r="Y32" s="859"/>
      <c r="Z32" s="859"/>
      <c r="AA32" s="859"/>
      <c r="AB32" s="859"/>
      <c r="AC32" s="859"/>
      <c r="AD32" s="859"/>
      <c r="AE32" s="859"/>
      <c r="AF32" s="859"/>
      <c r="AG32" s="859"/>
      <c r="AH32" s="859"/>
      <c r="AI32" s="859"/>
      <c r="AJ32" s="859"/>
      <c r="AK32" s="859"/>
      <c r="AL32" s="859"/>
      <c r="AM32" s="859"/>
    </row>
    <row r="33" spans="1:39" s="860" customFormat="1" ht="25.5" customHeight="1">
      <c r="A33" s="798">
        <v>5</v>
      </c>
      <c r="B33" s="799" t="s">
        <v>167</v>
      </c>
      <c r="C33" s="798"/>
      <c r="D33" s="798"/>
      <c r="E33" s="856"/>
      <c r="F33" s="856"/>
      <c r="G33" s="795"/>
      <c r="H33" s="856"/>
      <c r="I33" s="856"/>
      <c r="J33" s="856"/>
      <c r="K33" s="856"/>
      <c r="L33" s="857"/>
      <c r="M33" s="857"/>
      <c r="N33" s="857"/>
      <c r="O33" s="856">
        <f t="shared" si="8"/>
        <v>0</v>
      </c>
      <c r="P33" s="858">
        <f t="shared" si="9"/>
        <v>0</v>
      </c>
      <c r="Q33" s="858">
        <f t="shared" si="10"/>
        <v>0</v>
      </c>
      <c r="R33" s="861"/>
      <c r="S33" s="859"/>
      <c r="T33" s="859"/>
      <c r="U33" s="859"/>
      <c r="V33" s="859"/>
      <c r="W33" s="859"/>
      <c r="X33" s="859"/>
      <c r="Y33" s="859"/>
      <c r="Z33" s="859"/>
      <c r="AA33" s="859"/>
      <c r="AB33" s="859"/>
      <c r="AC33" s="859"/>
      <c r="AD33" s="859"/>
      <c r="AE33" s="859"/>
      <c r="AF33" s="859"/>
      <c r="AG33" s="859"/>
      <c r="AH33" s="859"/>
      <c r="AI33" s="859"/>
      <c r="AJ33" s="859"/>
      <c r="AK33" s="859"/>
      <c r="AL33" s="859"/>
      <c r="AM33" s="859"/>
    </row>
    <row r="34" spans="1:39" s="860" customFormat="1" ht="25.5" customHeight="1">
      <c r="A34" s="798" t="s">
        <v>461</v>
      </c>
      <c r="B34" s="799" t="s">
        <v>846</v>
      </c>
      <c r="C34" s="798" t="s">
        <v>532</v>
      </c>
      <c r="D34" s="792" t="s">
        <v>187</v>
      </c>
      <c r="E34" s="856" t="e">
        <f>NC_DKDD!H545</f>
        <v>#VALUE!</v>
      </c>
      <c r="F34" s="856"/>
      <c r="G34" s="795"/>
      <c r="H34" s="856"/>
      <c r="I34" s="856"/>
      <c r="J34" s="856"/>
      <c r="K34" s="856"/>
      <c r="L34" s="857"/>
      <c r="M34" s="857"/>
      <c r="N34" s="857"/>
      <c r="O34" s="856">
        <f t="shared" si="8"/>
        <v>92.22115384615384</v>
      </c>
      <c r="P34" s="858">
        <f t="shared" si="9"/>
        <v>80.192307692307679</v>
      </c>
      <c r="Q34" s="858">
        <f t="shared" si="10"/>
        <v>12.028846153846153</v>
      </c>
      <c r="R34" s="861">
        <f>NC_DKDD!G545</f>
        <v>1.4999999999999999E-2</v>
      </c>
      <c r="S34" s="859"/>
      <c r="T34" s="859"/>
      <c r="U34" s="859"/>
      <c r="V34" s="859"/>
      <c r="W34" s="859"/>
      <c r="X34" s="859"/>
      <c r="Y34" s="859"/>
      <c r="Z34" s="859"/>
      <c r="AA34" s="859"/>
      <c r="AB34" s="859"/>
      <c r="AC34" s="859"/>
      <c r="AD34" s="859"/>
      <c r="AE34" s="859"/>
      <c r="AF34" s="859"/>
      <c r="AG34" s="859"/>
      <c r="AH34" s="859"/>
      <c r="AI34" s="859"/>
      <c r="AJ34" s="859"/>
      <c r="AK34" s="859"/>
      <c r="AL34" s="859"/>
      <c r="AM34" s="859"/>
    </row>
    <row r="35" spans="1:39" s="860" customFormat="1" ht="25.5" customHeight="1">
      <c r="A35" s="798" t="s">
        <v>462</v>
      </c>
      <c r="B35" s="799" t="s">
        <v>849</v>
      </c>
      <c r="C35" s="798" t="s">
        <v>532</v>
      </c>
      <c r="D35" s="792" t="s">
        <v>187</v>
      </c>
      <c r="E35" s="856" t="e">
        <f>NC_DKDD!H546</f>
        <v>#VALUE!</v>
      </c>
      <c r="F35" s="856"/>
      <c r="G35" s="795"/>
      <c r="H35" s="856"/>
      <c r="I35" s="856"/>
      <c r="J35" s="856"/>
      <c r="K35" s="856"/>
      <c r="L35" s="857"/>
      <c r="M35" s="857"/>
      <c r="N35" s="857"/>
      <c r="O35" s="856">
        <f t="shared" si="8"/>
        <v>61.480769230769226</v>
      </c>
      <c r="P35" s="858">
        <f>R35*$P$21</f>
        <v>53.46153846153846</v>
      </c>
      <c r="Q35" s="858">
        <f>R35*$Q$21</f>
        <v>8.0192307692307701</v>
      </c>
      <c r="R35" s="861">
        <f>NC_DKDD!G546</f>
        <v>0.01</v>
      </c>
      <c r="S35" s="859"/>
      <c r="T35" s="859"/>
      <c r="U35" s="859"/>
      <c r="V35" s="859"/>
      <c r="W35" s="859"/>
      <c r="X35" s="859"/>
      <c r="Y35" s="859"/>
      <c r="Z35" s="859"/>
      <c r="AA35" s="859"/>
      <c r="AB35" s="859"/>
      <c r="AC35" s="859"/>
      <c r="AD35" s="859"/>
      <c r="AE35" s="859"/>
      <c r="AF35" s="859"/>
      <c r="AG35" s="859"/>
      <c r="AH35" s="859"/>
      <c r="AI35" s="859"/>
      <c r="AJ35" s="859"/>
      <c r="AK35" s="859"/>
      <c r="AL35" s="859"/>
      <c r="AM35" s="859"/>
    </row>
    <row r="36" spans="1:39" s="860" customFormat="1" ht="28.5">
      <c r="A36" s="798">
        <v>6</v>
      </c>
      <c r="B36" s="799" t="s">
        <v>103</v>
      </c>
      <c r="C36" s="798"/>
      <c r="D36" s="798"/>
      <c r="E36" s="856"/>
      <c r="F36" s="856"/>
      <c r="G36" s="795"/>
      <c r="H36" s="856"/>
      <c r="I36" s="856"/>
      <c r="J36" s="856"/>
      <c r="K36" s="856"/>
      <c r="L36" s="857"/>
      <c r="M36" s="857"/>
      <c r="N36" s="857"/>
      <c r="O36" s="856">
        <f t="shared" si="8"/>
        <v>0</v>
      </c>
      <c r="P36" s="858">
        <f t="shared" ref="P36:P43" si="11">R36*$P$21</f>
        <v>0</v>
      </c>
      <c r="Q36" s="858">
        <f t="shared" si="10"/>
        <v>0</v>
      </c>
      <c r="R36" s="861">
        <f>NC_DKDD!G547</f>
        <v>0</v>
      </c>
      <c r="S36" s="859"/>
      <c r="T36" s="859"/>
      <c r="U36" s="859"/>
      <c r="V36" s="859"/>
      <c r="W36" s="859"/>
      <c r="X36" s="859"/>
      <c r="Y36" s="859"/>
      <c r="Z36" s="859"/>
      <c r="AA36" s="859"/>
      <c r="AB36" s="859"/>
      <c r="AC36" s="859"/>
      <c r="AD36" s="859"/>
      <c r="AE36" s="859"/>
      <c r="AF36" s="859"/>
      <c r="AG36" s="859"/>
      <c r="AH36" s="859"/>
      <c r="AI36" s="859"/>
      <c r="AJ36" s="859"/>
      <c r="AK36" s="859"/>
      <c r="AL36" s="859"/>
      <c r="AM36" s="859"/>
    </row>
    <row r="37" spans="1:39" s="860" customFormat="1" ht="29.25" customHeight="1">
      <c r="A37" s="798" t="s">
        <v>661</v>
      </c>
      <c r="B37" s="799" t="s">
        <v>846</v>
      </c>
      <c r="C37" s="798" t="s">
        <v>532</v>
      </c>
      <c r="D37" s="792" t="s">
        <v>187</v>
      </c>
      <c r="E37" s="856" t="e">
        <f>NC_DKDD!H548</f>
        <v>#VALUE!</v>
      </c>
      <c r="F37" s="856"/>
      <c r="G37" s="795"/>
      <c r="H37" s="856"/>
      <c r="I37" s="856"/>
      <c r="J37" s="856"/>
      <c r="K37" s="856"/>
      <c r="L37" s="857"/>
      <c r="M37" s="857"/>
      <c r="N37" s="857"/>
      <c r="O37" s="856">
        <f t="shared" si="8"/>
        <v>307.40384615384619</v>
      </c>
      <c r="P37" s="858">
        <f t="shared" si="11"/>
        <v>267.30769230769232</v>
      </c>
      <c r="Q37" s="858">
        <f t="shared" si="10"/>
        <v>40.096153846153847</v>
      </c>
      <c r="R37" s="861">
        <f>NC_DKDD!G548</f>
        <v>0.05</v>
      </c>
      <c r="S37" s="859"/>
      <c r="T37" s="859"/>
      <c r="U37" s="859"/>
      <c r="V37" s="859"/>
      <c r="W37" s="859"/>
      <c r="X37" s="859"/>
      <c r="Y37" s="859"/>
      <c r="Z37" s="859"/>
      <c r="AA37" s="859"/>
      <c r="AB37" s="859"/>
      <c r="AC37" s="859"/>
      <c r="AD37" s="859"/>
      <c r="AE37" s="859"/>
      <c r="AF37" s="859"/>
      <c r="AG37" s="859"/>
      <c r="AH37" s="859"/>
      <c r="AI37" s="859"/>
      <c r="AJ37" s="859"/>
      <c r="AK37" s="859"/>
      <c r="AL37" s="859"/>
      <c r="AM37" s="859"/>
    </row>
    <row r="38" spans="1:39" s="860" customFormat="1" ht="29.25" customHeight="1">
      <c r="A38" s="798" t="s">
        <v>662</v>
      </c>
      <c r="B38" s="799" t="s">
        <v>849</v>
      </c>
      <c r="C38" s="798" t="s">
        <v>532</v>
      </c>
      <c r="D38" s="792" t="s">
        <v>187</v>
      </c>
      <c r="E38" s="856" t="e">
        <f>NC_DKDD!H549</f>
        <v>#VALUE!</v>
      </c>
      <c r="F38" s="856"/>
      <c r="G38" s="795"/>
      <c r="H38" s="856"/>
      <c r="I38" s="856"/>
      <c r="J38" s="856"/>
      <c r="K38" s="856"/>
      <c r="L38" s="857"/>
      <c r="M38" s="857"/>
      <c r="N38" s="857"/>
      <c r="O38" s="856">
        <f t="shared" si="8"/>
        <v>245.92307692307691</v>
      </c>
      <c r="P38" s="858">
        <f t="shared" si="11"/>
        <v>213.84615384615384</v>
      </c>
      <c r="Q38" s="858">
        <f t="shared" si="10"/>
        <v>32.07692307692308</v>
      </c>
      <c r="R38" s="861">
        <f>NC_DKDD!G549</f>
        <v>0.04</v>
      </c>
      <c r="S38" s="859"/>
      <c r="T38" s="859"/>
      <c r="U38" s="859"/>
      <c r="V38" s="859"/>
      <c r="W38" s="859"/>
      <c r="X38" s="859"/>
      <c r="Y38" s="859"/>
      <c r="Z38" s="859"/>
      <c r="AA38" s="859"/>
      <c r="AB38" s="859"/>
      <c r="AC38" s="859"/>
      <c r="AD38" s="859"/>
      <c r="AE38" s="859"/>
      <c r="AF38" s="859"/>
      <c r="AG38" s="859"/>
      <c r="AH38" s="859"/>
      <c r="AI38" s="859"/>
      <c r="AJ38" s="859"/>
      <c r="AK38" s="859"/>
      <c r="AL38" s="859"/>
      <c r="AM38" s="859"/>
    </row>
    <row r="39" spans="1:39" s="860" customFormat="1" ht="32.450000000000003" customHeight="1">
      <c r="A39" s="798">
        <v>7</v>
      </c>
      <c r="B39" s="799" t="s">
        <v>793</v>
      </c>
      <c r="C39" s="798" t="s">
        <v>375</v>
      </c>
      <c r="D39" s="792" t="s">
        <v>187</v>
      </c>
      <c r="E39" s="856" t="e">
        <f>NC_DKDD!H550</f>
        <v>#VALUE!</v>
      </c>
      <c r="F39" s="856"/>
      <c r="G39" s="795"/>
      <c r="H39" s="856"/>
      <c r="I39" s="856"/>
      <c r="J39" s="856"/>
      <c r="K39" s="856"/>
      <c r="L39" s="857"/>
      <c r="M39" s="857"/>
      <c r="N39" s="857"/>
      <c r="O39" s="856">
        <f t="shared" si="8"/>
        <v>18.444230769230767</v>
      </c>
      <c r="P39" s="858">
        <f t="shared" si="11"/>
        <v>16.038461538461537</v>
      </c>
      <c r="Q39" s="858">
        <f t="shared" si="10"/>
        <v>2.4057692307692307</v>
      </c>
      <c r="R39" s="861">
        <f>NC_DKDD!G550</f>
        <v>3.0000000000000001E-3</v>
      </c>
      <c r="S39" s="859"/>
      <c r="T39" s="859"/>
      <c r="U39" s="859"/>
      <c r="V39" s="859"/>
      <c r="W39" s="859"/>
      <c r="X39" s="859"/>
      <c r="Y39" s="859"/>
      <c r="Z39" s="859"/>
      <c r="AA39" s="859"/>
      <c r="AB39" s="859"/>
      <c r="AC39" s="859"/>
      <c r="AD39" s="859"/>
      <c r="AE39" s="859"/>
      <c r="AF39" s="859"/>
      <c r="AG39" s="859"/>
      <c r="AH39" s="859"/>
      <c r="AI39" s="859"/>
      <c r="AJ39" s="859"/>
      <c r="AK39" s="859"/>
      <c r="AL39" s="859"/>
      <c r="AM39" s="859"/>
    </row>
    <row r="40" spans="1:39" s="860" customFormat="1" ht="32.450000000000003" customHeight="1">
      <c r="A40" s="798">
        <v>8</v>
      </c>
      <c r="B40" s="799" t="s">
        <v>508</v>
      </c>
      <c r="C40" s="798"/>
      <c r="D40" s="798"/>
      <c r="E40" s="856">
        <f>NC_DKDD!H551</f>
        <v>0</v>
      </c>
      <c r="F40" s="856"/>
      <c r="G40" s="795"/>
      <c r="H40" s="856"/>
      <c r="I40" s="856"/>
      <c r="J40" s="856"/>
      <c r="K40" s="856"/>
      <c r="L40" s="857"/>
      <c r="M40" s="857"/>
      <c r="N40" s="857"/>
      <c r="O40" s="856">
        <f t="shared" si="8"/>
        <v>0</v>
      </c>
      <c r="P40" s="858">
        <f t="shared" si="11"/>
        <v>0</v>
      </c>
      <c r="Q40" s="858">
        <f t="shared" si="10"/>
        <v>0</v>
      </c>
      <c r="R40" s="861">
        <f>NC_DKDD!G551</f>
        <v>0</v>
      </c>
      <c r="S40" s="859"/>
      <c r="T40" s="859"/>
      <c r="U40" s="859"/>
      <c r="V40" s="859"/>
      <c r="W40" s="859"/>
      <c r="X40" s="859"/>
      <c r="Y40" s="859"/>
      <c r="Z40" s="859"/>
      <c r="AA40" s="859"/>
      <c r="AB40" s="859"/>
      <c r="AC40" s="859"/>
      <c r="AD40" s="859"/>
      <c r="AE40" s="859"/>
      <c r="AF40" s="859"/>
      <c r="AG40" s="859"/>
      <c r="AH40" s="859"/>
      <c r="AI40" s="859"/>
      <c r="AJ40" s="859"/>
      <c r="AK40" s="859"/>
      <c r="AL40" s="859"/>
      <c r="AM40" s="859"/>
    </row>
    <row r="41" spans="1:39" s="860" customFormat="1" ht="29.25" customHeight="1">
      <c r="A41" s="798" t="s">
        <v>191</v>
      </c>
      <c r="B41" s="799" t="s">
        <v>846</v>
      </c>
      <c r="C41" s="798" t="s">
        <v>532</v>
      </c>
      <c r="D41" s="792" t="s">
        <v>187</v>
      </c>
      <c r="E41" s="856" t="e">
        <f>NC_DKDD!H552</f>
        <v>#VALUE!</v>
      </c>
      <c r="F41" s="856"/>
      <c r="G41" s="795"/>
      <c r="H41" s="856"/>
      <c r="I41" s="856"/>
      <c r="J41" s="856"/>
      <c r="K41" s="856"/>
      <c r="L41" s="857"/>
      <c r="M41" s="857"/>
      <c r="N41" s="857"/>
      <c r="O41" s="856">
        <f t="shared" si="8"/>
        <v>30.740384615384613</v>
      </c>
      <c r="P41" s="858">
        <f t="shared" si="11"/>
        <v>26.73076923076923</v>
      </c>
      <c r="Q41" s="858">
        <f t="shared" si="10"/>
        <v>4.009615384615385</v>
      </c>
      <c r="R41" s="861">
        <f>NC_DKDD!G552</f>
        <v>5.0000000000000001E-3</v>
      </c>
      <c r="S41" s="859"/>
      <c r="T41" s="859"/>
      <c r="U41" s="859"/>
      <c r="V41" s="859"/>
      <c r="W41" s="859"/>
      <c r="X41" s="859"/>
      <c r="Y41" s="859"/>
      <c r="Z41" s="859"/>
      <c r="AA41" s="859"/>
      <c r="AB41" s="859"/>
      <c r="AC41" s="859"/>
      <c r="AD41" s="859"/>
      <c r="AE41" s="859"/>
      <c r="AF41" s="859"/>
      <c r="AG41" s="859"/>
      <c r="AH41" s="859"/>
      <c r="AI41" s="859"/>
      <c r="AJ41" s="859"/>
      <c r="AK41" s="859"/>
      <c r="AL41" s="859"/>
      <c r="AM41" s="859"/>
    </row>
    <row r="42" spans="1:39" s="860" customFormat="1" ht="29.25" customHeight="1">
      <c r="A42" s="798" t="s">
        <v>192</v>
      </c>
      <c r="B42" s="799" t="s">
        <v>849</v>
      </c>
      <c r="C42" s="798" t="s">
        <v>532</v>
      </c>
      <c r="D42" s="792" t="s">
        <v>187</v>
      </c>
      <c r="E42" s="856" t="e">
        <f>NC_DKDD!H553</f>
        <v>#VALUE!</v>
      </c>
      <c r="F42" s="856"/>
      <c r="G42" s="795"/>
      <c r="H42" s="856"/>
      <c r="I42" s="856"/>
      <c r="J42" s="856"/>
      <c r="K42" s="856"/>
      <c r="L42" s="857"/>
      <c r="M42" s="857"/>
      <c r="N42" s="857"/>
      <c r="O42" s="856">
        <f t="shared" si="8"/>
        <v>24.592307692307692</v>
      </c>
      <c r="P42" s="858">
        <f t="shared" si="11"/>
        <v>21.384615384615383</v>
      </c>
      <c r="Q42" s="858">
        <f t="shared" si="10"/>
        <v>3.2076923076923078</v>
      </c>
      <c r="R42" s="861">
        <f>NC_DKDD!G553</f>
        <v>4.0000000000000001E-3</v>
      </c>
      <c r="S42" s="859"/>
      <c r="T42" s="859"/>
      <c r="U42" s="859"/>
      <c r="V42" s="859"/>
      <c r="W42" s="859"/>
      <c r="X42" s="859"/>
      <c r="Y42" s="859"/>
      <c r="Z42" s="859"/>
      <c r="AA42" s="859"/>
      <c r="AB42" s="859"/>
      <c r="AC42" s="859"/>
      <c r="AD42" s="859"/>
      <c r="AE42" s="859"/>
      <c r="AF42" s="859"/>
      <c r="AG42" s="859"/>
      <c r="AH42" s="859"/>
      <c r="AI42" s="859"/>
      <c r="AJ42" s="859"/>
      <c r="AK42" s="859"/>
      <c r="AL42" s="859"/>
      <c r="AM42" s="859"/>
    </row>
    <row r="43" spans="1:39" s="860" customFormat="1" ht="57" customHeight="1">
      <c r="A43" s="798">
        <v>9</v>
      </c>
      <c r="B43" s="799" t="s">
        <v>794</v>
      </c>
      <c r="C43" s="798" t="s">
        <v>532</v>
      </c>
      <c r="D43" s="792" t="s">
        <v>187</v>
      </c>
      <c r="E43" s="856" t="e">
        <f>NC_DKDD!H554</f>
        <v>#VALUE!</v>
      </c>
      <c r="F43" s="856"/>
      <c r="G43" s="795"/>
      <c r="H43" s="856"/>
      <c r="I43" s="856"/>
      <c r="J43" s="856"/>
      <c r="K43" s="856"/>
      <c r="L43" s="857"/>
      <c r="M43" s="857"/>
      <c r="N43" s="857"/>
      <c r="O43" s="856">
        <f t="shared" si="8"/>
        <v>122.96153846153845</v>
      </c>
      <c r="P43" s="858">
        <f t="shared" si="11"/>
        <v>106.92307692307692</v>
      </c>
      <c r="Q43" s="858">
        <f t="shared" si="10"/>
        <v>16.03846153846154</v>
      </c>
      <c r="R43" s="861">
        <f>NC_DKDD!G554</f>
        <v>0.02</v>
      </c>
      <c r="S43" s="859"/>
      <c r="T43" s="859"/>
      <c r="U43" s="859"/>
      <c r="V43" s="859"/>
      <c r="W43" s="859"/>
      <c r="X43" s="859"/>
      <c r="Y43" s="859"/>
      <c r="Z43" s="859"/>
      <c r="AA43" s="859"/>
      <c r="AB43" s="859"/>
      <c r="AC43" s="859"/>
      <c r="AD43" s="859"/>
      <c r="AE43" s="859"/>
      <c r="AF43" s="859"/>
      <c r="AG43" s="859"/>
      <c r="AH43" s="859"/>
      <c r="AI43" s="859"/>
      <c r="AJ43" s="859"/>
      <c r="AK43" s="859"/>
      <c r="AL43" s="859"/>
      <c r="AM43" s="859"/>
    </row>
    <row r="44" spans="1:39" s="860" customFormat="1" ht="44.25" customHeight="1">
      <c r="A44" s="798">
        <v>10</v>
      </c>
      <c r="B44" s="799" t="s">
        <v>581</v>
      </c>
      <c r="C44" s="798" t="s">
        <v>532</v>
      </c>
      <c r="D44" s="792" t="s">
        <v>187</v>
      </c>
      <c r="E44" s="856" t="e">
        <f>NC_DKDD!H555</f>
        <v>#VALUE!</v>
      </c>
      <c r="F44" s="856"/>
      <c r="G44" s="795"/>
      <c r="H44" s="856"/>
      <c r="I44" s="856"/>
      <c r="J44" s="856"/>
      <c r="K44" s="856"/>
      <c r="L44" s="857"/>
      <c r="M44" s="857"/>
      <c r="N44" s="857"/>
      <c r="O44" s="856">
        <f t="shared" si="8"/>
        <v>122.96153846153845</v>
      </c>
      <c r="P44" s="858">
        <f>R44*$P$21</f>
        <v>106.92307692307692</v>
      </c>
      <c r="Q44" s="858">
        <f>R44*$Q$21</f>
        <v>16.03846153846154</v>
      </c>
      <c r="R44" s="861">
        <f>NC_DKDD!G555</f>
        <v>0.02</v>
      </c>
      <c r="S44" s="859"/>
      <c r="T44" s="859"/>
      <c r="U44" s="859"/>
      <c r="V44" s="859"/>
      <c r="W44" s="859"/>
      <c r="X44" s="859"/>
      <c r="Y44" s="859"/>
      <c r="Z44" s="859"/>
      <c r="AA44" s="859"/>
      <c r="AB44" s="859"/>
      <c r="AC44" s="859"/>
      <c r="AD44" s="859"/>
      <c r="AE44" s="859"/>
      <c r="AF44" s="859"/>
      <c r="AG44" s="859"/>
      <c r="AH44" s="859"/>
      <c r="AI44" s="859"/>
      <c r="AJ44" s="859"/>
      <c r="AK44" s="859"/>
      <c r="AL44" s="859"/>
      <c r="AM44" s="859"/>
    </row>
    <row r="45" spans="1:39" s="860" customFormat="1" ht="34.5" customHeight="1">
      <c r="A45" s="791" t="s">
        <v>1005</v>
      </c>
      <c r="B45" s="850" t="s">
        <v>582</v>
      </c>
      <c r="C45" s="798"/>
      <c r="D45" s="792"/>
      <c r="E45" s="856"/>
      <c r="F45" s="856"/>
      <c r="G45" s="795"/>
      <c r="H45" s="856"/>
      <c r="I45" s="856"/>
      <c r="J45" s="856"/>
      <c r="K45" s="856"/>
      <c r="L45" s="857"/>
      <c r="M45" s="857"/>
      <c r="N45" s="857"/>
      <c r="O45" s="856"/>
      <c r="P45" s="858">
        <f t="shared" ref="P45:P50" si="12">R45*$P$21</f>
        <v>0</v>
      </c>
      <c r="Q45" s="858">
        <f t="shared" si="10"/>
        <v>0</v>
      </c>
      <c r="R45" s="861"/>
      <c r="S45" s="859"/>
      <c r="T45" s="859"/>
      <c r="U45" s="859"/>
      <c r="V45" s="859"/>
      <c r="W45" s="859"/>
      <c r="X45" s="859"/>
      <c r="Y45" s="859"/>
      <c r="Z45" s="859"/>
      <c r="AA45" s="859"/>
      <c r="AB45" s="859"/>
      <c r="AC45" s="859"/>
      <c r="AD45" s="859"/>
      <c r="AE45" s="859"/>
      <c r="AF45" s="859"/>
      <c r="AG45" s="859"/>
      <c r="AH45" s="859"/>
      <c r="AI45" s="859"/>
      <c r="AJ45" s="859"/>
      <c r="AK45" s="859"/>
      <c r="AL45" s="859"/>
      <c r="AM45" s="859"/>
    </row>
    <row r="46" spans="1:39" s="860" customFormat="1" ht="32.450000000000003" customHeight="1">
      <c r="A46" s="791" t="s">
        <v>703</v>
      </c>
      <c r="B46" s="787" t="s">
        <v>668</v>
      </c>
      <c r="C46" s="798" t="s">
        <v>532</v>
      </c>
      <c r="D46" s="792" t="s">
        <v>187</v>
      </c>
      <c r="E46" s="856" t="e">
        <f>E49+E51+E52+E54+E58+E60+E62+E65+E67+E69+E70+E71+E74+E75+E76+E77+E78+E79</f>
        <v>#VALUE!</v>
      </c>
      <c r="F46" s="856">
        <f>F49+F51+F52+F54+F58+F60+F62+F63+F65+F67+F69+F70+F71+F74+F75+F76+F77+F78+F79</f>
        <v>0</v>
      </c>
      <c r="G46" s="856"/>
      <c r="H46" s="862">
        <f>'Dcu-DKDD'!$J$180/8000</f>
        <v>0.32537471794871792</v>
      </c>
      <c r="I46" s="862">
        <f>'VL-DKDD'!$H$189/8000</f>
        <v>2.9647350000000001</v>
      </c>
      <c r="J46" s="862">
        <f>'TB-DKDD'!$K$102/8000</f>
        <v>0.21850749999999999</v>
      </c>
      <c r="K46" s="862">
        <f>'NL-DKDD'!$H$72/8000</f>
        <v>0.41219849999999997</v>
      </c>
      <c r="L46" s="796" t="e">
        <f>SUM(E46:K46)</f>
        <v>#VALUE!</v>
      </c>
      <c r="M46" s="796" t="e">
        <f>L46*'He so chung'!$D$17/100</f>
        <v>#VALUE!</v>
      </c>
      <c r="N46" s="796" t="e">
        <f>L46+M46</f>
        <v>#VALUE!</v>
      </c>
      <c r="O46" s="856">
        <f>O49+O51+O52+O54+O58+O60+O62+O65+O67+O69+O70+O71+O74+O75+O76+O77+O78+O79</f>
        <v>3387.5903846153851</v>
      </c>
      <c r="P46" s="858">
        <f t="shared" si="12"/>
        <v>0</v>
      </c>
      <c r="Q46" s="858">
        <f t="shared" si="10"/>
        <v>0</v>
      </c>
      <c r="R46" s="861">
        <f>NC_DKDD!G556</f>
        <v>0</v>
      </c>
      <c r="S46" s="859"/>
      <c r="T46" s="859"/>
      <c r="U46" s="859"/>
      <c r="V46" s="859"/>
      <c r="W46" s="859"/>
      <c r="X46" s="859"/>
      <c r="Y46" s="859"/>
      <c r="Z46" s="859"/>
      <c r="AA46" s="859"/>
      <c r="AB46" s="859"/>
      <c r="AC46" s="859"/>
      <c r="AD46" s="859"/>
      <c r="AE46" s="859"/>
      <c r="AF46" s="859"/>
      <c r="AG46" s="859"/>
      <c r="AH46" s="859"/>
      <c r="AI46" s="859"/>
      <c r="AJ46" s="859"/>
      <c r="AK46" s="859"/>
      <c r="AL46" s="859"/>
      <c r="AM46" s="859"/>
    </row>
    <row r="47" spans="1:39" s="860" customFormat="1" ht="32.450000000000003" customHeight="1">
      <c r="A47" s="791" t="s">
        <v>1011</v>
      </c>
      <c r="B47" s="787" t="s">
        <v>669</v>
      </c>
      <c r="C47" s="798" t="s">
        <v>532</v>
      </c>
      <c r="D47" s="792" t="s">
        <v>187</v>
      </c>
      <c r="E47" s="856" t="e">
        <f>E50+E51+E52+E54+E57+E61+E62+E65+E67+E69+E70+E71+E74+E75+E76+E77+E78+E79</f>
        <v>#VALUE!</v>
      </c>
      <c r="F47" s="856">
        <f>F50+F51+F52+F54+F57+F61+F62+F63+F65+F67+F69+F70+F71+F74+F75+F76+F77+F78+F79</f>
        <v>0</v>
      </c>
      <c r="G47" s="856"/>
      <c r="H47" s="862">
        <f>'Dcu-DKDD'!$J$180/8000</f>
        <v>0.32537471794871792</v>
      </c>
      <c r="I47" s="862">
        <f>'VL-DKDD'!$H$189/8000</f>
        <v>2.9647350000000001</v>
      </c>
      <c r="J47" s="862">
        <f>'TB-DKDD'!$K$102/8000</f>
        <v>0.21850749999999999</v>
      </c>
      <c r="K47" s="862">
        <f>'NL-DKDD'!$H$72/8000</f>
        <v>0.41219849999999997</v>
      </c>
      <c r="L47" s="796" t="e">
        <f>SUM(E47:K47)</f>
        <v>#VALUE!</v>
      </c>
      <c r="M47" s="796" t="e">
        <f>L47*'He so chung'!$D$17/100</f>
        <v>#VALUE!</v>
      </c>
      <c r="N47" s="796" t="e">
        <f>L47+M47</f>
        <v>#VALUE!</v>
      </c>
      <c r="O47" s="856">
        <f>O50+O51+O52+O54+O57+O61+O62+O65+O67+O69+O70+O71+O74+O75+O76+O77+O78+O79</f>
        <v>3233.8884615384618</v>
      </c>
      <c r="P47" s="858">
        <f t="shared" si="12"/>
        <v>0</v>
      </c>
      <c r="Q47" s="858">
        <f t="shared" si="10"/>
        <v>0</v>
      </c>
      <c r="R47" s="861"/>
      <c r="S47" s="859"/>
      <c r="T47" s="859"/>
      <c r="U47" s="859"/>
      <c r="V47" s="859"/>
      <c r="W47" s="859"/>
      <c r="X47" s="859"/>
      <c r="Y47" s="859"/>
      <c r="Z47" s="859"/>
      <c r="AA47" s="859"/>
      <c r="AB47" s="859"/>
      <c r="AC47" s="859"/>
      <c r="AD47" s="859"/>
      <c r="AE47" s="859"/>
      <c r="AF47" s="859"/>
      <c r="AG47" s="859"/>
      <c r="AH47" s="859"/>
      <c r="AI47" s="859"/>
      <c r="AJ47" s="859"/>
      <c r="AK47" s="859"/>
      <c r="AL47" s="859"/>
      <c r="AM47" s="859"/>
    </row>
    <row r="48" spans="1:39" s="860" customFormat="1" ht="32.450000000000003" customHeight="1">
      <c r="A48" s="798">
        <v>1</v>
      </c>
      <c r="B48" s="799" t="s">
        <v>509</v>
      </c>
      <c r="C48" s="798"/>
      <c r="D48" s="798"/>
      <c r="E48" s="856">
        <f>NC_DKDD!H557</f>
        <v>0</v>
      </c>
      <c r="F48" s="856"/>
      <c r="G48" s="795"/>
      <c r="H48" s="856"/>
      <c r="I48" s="856"/>
      <c r="J48" s="856"/>
      <c r="K48" s="856"/>
      <c r="L48" s="857"/>
      <c r="M48" s="857"/>
      <c r="N48" s="857"/>
      <c r="O48" s="856">
        <f t="shared" si="8"/>
        <v>0</v>
      </c>
      <c r="P48" s="858">
        <f t="shared" si="12"/>
        <v>0</v>
      </c>
      <c r="Q48" s="858">
        <f t="shared" si="10"/>
        <v>0</v>
      </c>
      <c r="R48" s="861">
        <f>NC_DKDD!G557</f>
        <v>0</v>
      </c>
      <c r="S48" s="859"/>
      <c r="T48" s="859"/>
      <c r="U48" s="859"/>
      <c r="V48" s="859"/>
      <c r="W48" s="859"/>
      <c r="X48" s="859"/>
      <c r="Y48" s="859"/>
      <c r="Z48" s="859"/>
      <c r="AA48" s="859"/>
      <c r="AB48" s="859"/>
      <c r="AC48" s="859"/>
      <c r="AD48" s="859"/>
      <c r="AE48" s="859"/>
      <c r="AF48" s="859"/>
      <c r="AG48" s="859"/>
      <c r="AH48" s="859"/>
      <c r="AI48" s="859"/>
      <c r="AJ48" s="859"/>
      <c r="AK48" s="859"/>
      <c r="AL48" s="859"/>
      <c r="AM48" s="859"/>
    </row>
    <row r="49" spans="1:39" s="860" customFormat="1" ht="32.450000000000003" customHeight="1">
      <c r="A49" s="798" t="s">
        <v>733</v>
      </c>
      <c r="B49" s="799" t="s">
        <v>846</v>
      </c>
      <c r="C49" s="798" t="s">
        <v>532</v>
      </c>
      <c r="D49" s="792" t="s">
        <v>187</v>
      </c>
      <c r="E49" s="856" t="e">
        <f>NC_DKDD!H558</f>
        <v>#VALUE!</v>
      </c>
      <c r="F49" s="856"/>
      <c r="G49" s="795"/>
      <c r="H49" s="856"/>
      <c r="I49" s="856"/>
      <c r="J49" s="856"/>
      <c r="K49" s="856"/>
      <c r="L49" s="857"/>
      <c r="M49" s="857"/>
      <c r="N49" s="857"/>
      <c r="O49" s="856">
        <f t="shared" si="8"/>
        <v>153.70192307692309</v>
      </c>
      <c r="P49" s="858">
        <f t="shared" si="12"/>
        <v>133.65384615384616</v>
      </c>
      <c r="Q49" s="858">
        <f t="shared" si="10"/>
        <v>20.048076923076923</v>
      </c>
      <c r="R49" s="861">
        <f>NC_DKDD!G558</f>
        <v>2.5000000000000001E-2</v>
      </c>
      <c r="S49" s="859"/>
      <c r="T49" s="859"/>
      <c r="U49" s="859"/>
      <c r="V49" s="859"/>
      <c r="W49" s="859"/>
      <c r="X49" s="859"/>
      <c r="Y49" s="859"/>
      <c r="Z49" s="859"/>
      <c r="AA49" s="859"/>
      <c r="AB49" s="859"/>
      <c r="AC49" s="859"/>
      <c r="AD49" s="859"/>
      <c r="AE49" s="859"/>
      <c r="AF49" s="859"/>
      <c r="AG49" s="859"/>
      <c r="AH49" s="859"/>
      <c r="AI49" s="859"/>
      <c r="AJ49" s="859"/>
      <c r="AK49" s="859"/>
      <c r="AL49" s="859"/>
      <c r="AM49" s="859"/>
    </row>
    <row r="50" spans="1:39" s="860" customFormat="1" ht="32.450000000000003" customHeight="1">
      <c r="A50" s="798" t="s">
        <v>741</v>
      </c>
      <c r="B50" s="799" t="s">
        <v>849</v>
      </c>
      <c r="C50" s="798" t="s">
        <v>532</v>
      </c>
      <c r="D50" s="792" t="s">
        <v>187</v>
      </c>
      <c r="E50" s="856" t="e">
        <f>NC_DKDD!H559</f>
        <v>#VALUE!</v>
      </c>
      <c r="F50" s="856"/>
      <c r="G50" s="795"/>
      <c r="H50" s="856"/>
      <c r="I50" s="856"/>
      <c r="J50" s="856"/>
      <c r="K50" s="856"/>
      <c r="L50" s="857"/>
      <c r="M50" s="857"/>
      <c r="N50" s="857"/>
      <c r="O50" s="856">
        <f t="shared" si="8"/>
        <v>122.96153846153845</v>
      </c>
      <c r="P50" s="858">
        <f t="shared" si="12"/>
        <v>106.92307692307692</v>
      </c>
      <c r="Q50" s="858">
        <f t="shared" si="10"/>
        <v>16.03846153846154</v>
      </c>
      <c r="R50" s="861">
        <f>NC_DKDD!G559</f>
        <v>0.02</v>
      </c>
      <c r="S50" s="859"/>
      <c r="T50" s="859"/>
      <c r="U50" s="859"/>
      <c r="V50" s="859"/>
      <c r="W50" s="859"/>
      <c r="X50" s="859"/>
      <c r="Y50" s="859"/>
      <c r="Z50" s="859"/>
      <c r="AA50" s="859"/>
      <c r="AB50" s="859"/>
      <c r="AC50" s="859"/>
      <c r="AD50" s="859"/>
      <c r="AE50" s="859"/>
      <c r="AF50" s="859"/>
      <c r="AG50" s="859"/>
      <c r="AH50" s="859"/>
      <c r="AI50" s="859"/>
      <c r="AJ50" s="859"/>
      <c r="AK50" s="859"/>
      <c r="AL50" s="859"/>
      <c r="AM50" s="859"/>
    </row>
    <row r="51" spans="1:39" s="860" customFormat="1" ht="32.450000000000003" customHeight="1">
      <c r="A51" s="798">
        <v>2</v>
      </c>
      <c r="B51" s="799" t="s">
        <v>104</v>
      </c>
      <c r="C51" s="798" t="s">
        <v>532</v>
      </c>
      <c r="D51" s="792" t="s">
        <v>187</v>
      </c>
      <c r="E51" s="856" t="e">
        <f>NC_DKDD!H560</f>
        <v>#VALUE!</v>
      </c>
      <c r="F51" s="856"/>
      <c r="G51" s="795"/>
      <c r="H51" s="856"/>
      <c r="I51" s="856"/>
      <c r="J51" s="856"/>
      <c r="K51" s="856"/>
      <c r="L51" s="857"/>
      <c r="M51" s="857"/>
      <c r="N51" s="857"/>
      <c r="O51" s="856">
        <f t="shared" si="8"/>
        <v>614.80769230769238</v>
      </c>
      <c r="P51" s="858">
        <f>R51*$P$21</f>
        <v>534.61538461538464</v>
      </c>
      <c r="Q51" s="858">
        <f>R51*$Q$21</f>
        <v>80.192307692307693</v>
      </c>
      <c r="R51" s="861">
        <f>NC_DKDD!G560</f>
        <v>0.1</v>
      </c>
      <c r="S51" s="859"/>
      <c r="T51" s="859"/>
      <c r="U51" s="859"/>
      <c r="V51" s="859"/>
      <c r="W51" s="859"/>
      <c r="X51" s="859"/>
      <c r="Y51" s="859"/>
      <c r="Z51" s="859"/>
      <c r="AA51" s="859"/>
      <c r="AB51" s="859"/>
      <c r="AC51" s="859"/>
      <c r="AD51" s="859"/>
      <c r="AE51" s="859"/>
      <c r="AF51" s="859"/>
      <c r="AG51" s="859"/>
      <c r="AH51" s="859"/>
      <c r="AI51" s="859"/>
      <c r="AJ51" s="859"/>
      <c r="AK51" s="859"/>
      <c r="AL51" s="859"/>
      <c r="AM51" s="859"/>
    </row>
    <row r="52" spans="1:39" s="860" customFormat="1" ht="32.450000000000003" customHeight="1">
      <c r="A52" s="798">
        <v>3</v>
      </c>
      <c r="B52" s="799" t="s">
        <v>2</v>
      </c>
      <c r="C52" s="798" t="s">
        <v>375</v>
      </c>
      <c r="D52" s="792" t="s">
        <v>187</v>
      </c>
      <c r="E52" s="856" t="e">
        <f>NC_DKDD!H561</f>
        <v>#VALUE!</v>
      </c>
      <c r="F52" s="856"/>
      <c r="G52" s="795"/>
      <c r="H52" s="856"/>
      <c r="I52" s="856"/>
      <c r="J52" s="856"/>
      <c r="K52" s="856"/>
      <c r="L52" s="857"/>
      <c r="M52" s="857"/>
      <c r="N52" s="857"/>
      <c r="O52" s="856">
        <f t="shared" si="8"/>
        <v>36.888461538461534</v>
      </c>
      <c r="P52" s="858">
        <f t="shared" ref="P52:P61" si="13">R52*$P$21</f>
        <v>32.076923076923073</v>
      </c>
      <c r="Q52" s="858">
        <f t="shared" si="10"/>
        <v>4.8115384615384613</v>
      </c>
      <c r="R52" s="861">
        <f>NC_DKDD!G561</f>
        <v>6.0000000000000001E-3</v>
      </c>
      <c r="S52" s="859"/>
      <c r="T52" s="859"/>
      <c r="U52" s="859"/>
      <c r="V52" s="859"/>
      <c r="W52" s="859"/>
      <c r="X52" s="859"/>
      <c r="Y52" s="859"/>
      <c r="Z52" s="859"/>
      <c r="AA52" s="859"/>
      <c r="AB52" s="859"/>
      <c r="AC52" s="859"/>
      <c r="AD52" s="859"/>
      <c r="AE52" s="859"/>
      <c r="AF52" s="859"/>
      <c r="AG52" s="859"/>
      <c r="AH52" s="859"/>
      <c r="AI52" s="859"/>
      <c r="AJ52" s="859"/>
      <c r="AK52" s="859"/>
      <c r="AL52" s="859"/>
      <c r="AM52" s="859"/>
    </row>
    <row r="53" spans="1:39" s="860" customFormat="1" ht="32.25" customHeight="1">
      <c r="A53" s="798">
        <v>4</v>
      </c>
      <c r="B53" s="799" t="s">
        <v>23</v>
      </c>
      <c r="C53" s="798"/>
      <c r="D53" s="798"/>
      <c r="E53" s="856">
        <f>NC_DKDD!H562</f>
        <v>0</v>
      </c>
      <c r="F53" s="856"/>
      <c r="G53" s="795"/>
      <c r="H53" s="856"/>
      <c r="I53" s="856"/>
      <c r="J53" s="856"/>
      <c r="K53" s="856"/>
      <c r="L53" s="857"/>
      <c r="M53" s="857"/>
      <c r="N53" s="857"/>
      <c r="O53" s="856">
        <f t="shared" si="8"/>
        <v>0</v>
      </c>
      <c r="P53" s="858">
        <f t="shared" si="13"/>
        <v>0</v>
      </c>
      <c r="Q53" s="858">
        <f t="shared" si="10"/>
        <v>0</v>
      </c>
      <c r="R53" s="861">
        <f>NC_DKDD!G562</f>
        <v>0</v>
      </c>
      <c r="S53" s="859"/>
      <c r="T53" s="859"/>
      <c r="U53" s="859"/>
      <c r="V53" s="859"/>
      <c r="W53" s="859"/>
      <c r="X53" s="859"/>
      <c r="Y53" s="859"/>
      <c r="Z53" s="859"/>
      <c r="AA53" s="859"/>
      <c r="AB53" s="859"/>
      <c r="AC53" s="859"/>
      <c r="AD53" s="859"/>
      <c r="AE53" s="859"/>
      <c r="AF53" s="859"/>
      <c r="AG53" s="859"/>
      <c r="AH53" s="859"/>
      <c r="AI53" s="859"/>
      <c r="AJ53" s="859"/>
      <c r="AK53" s="859"/>
      <c r="AL53" s="859"/>
      <c r="AM53" s="859"/>
    </row>
    <row r="54" spans="1:39" s="860" customFormat="1" ht="32.450000000000003" customHeight="1">
      <c r="A54" s="798" t="s">
        <v>124</v>
      </c>
      <c r="B54" s="799" t="s">
        <v>587</v>
      </c>
      <c r="C54" s="798" t="s">
        <v>532</v>
      </c>
      <c r="D54" s="792" t="s">
        <v>187</v>
      </c>
      <c r="E54" s="856" t="e">
        <f>NC_DKDD!H563</f>
        <v>#VALUE!</v>
      </c>
      <c r="F54" s="856"/>
      <c r="G54" s="795"/>
      <c r="H54" s="856"/>
      <c r="I54" s="856"/>
      <c r="J54" s="856"/>
      <c r="K54" s="856"/>
      <c r="L54" s="857"/>
      <c r="M54" s="857"/>
      <c r="N54" s="857"/>
      <c r="O54" s="856">
        <f t="shared" si="8"/>
        <v>153.70192307692309</v>
      </c>
      <c r="P54" s="858">
        <f t="shared" si="13"/>
        <v>133.65384615384616</v>
      </c>
      <c r="Q54" s="858">
        <f t="shared" si="10"/>
        <v>20.048076923076923</v>
      </c>
      <c r="R54" s="861">
        <f>NC_DKDD!G563</f>
        <v>2.5000000000000001E-2</v>
      </c>
      <c r="S54" s="859"/>
      <c r="T54" s="859"/>
      <c r="U54" s="859"/>
      <c r="V54" s="859"/>
      <c r="W54" s="859"/>
      <c r="X54" s="859"/>
      <c r="Y54" s="859"/>
      <c r="Z54" s="859"/>
      <c r="AA54" s="859"/>
      <c r="AB54" s="859"/>
      <c r="AC54" s="859"/>
      <c r="AD54" s="859"/>
      <c r="AE54" s="859"/>
      <c r="AF54" s="859"/>
      <c r="AG54" s="859"/>
      <c r="AH54" s="859"/>
      <c r="AI54" s="859"/>
      <c r="AJ54" s="859"/>
      <c r="AK54" s="859"/>
      <c r="AL54" s="859"/>
      <c r="AM54" s="859"/>
    </row>
    <row r="55" spans="1:39" s="860" customFormat="1" ht="32.450000000000003" customHeight="1">
      <c r="A55" s="798" t="s">
        <v>125</v>
      </c>
      <c r="B55" s="799" t="s">
        <v>588</v>
      </c>
      <c r="C55" s="798" t="s">
        <v>532</v>
      </c>
      <c r="D55" s="792" t="s">
        <v>187</v>
      </c>
      <c r="E55" s="856" t="e">
        <f>NC_DKDD!H564</f>
        <v>#VALUE!</v>
      </c>
      <c r="F55" s="856"/>
      <c r="G55" s="795"/>
      <c r="H55" s="856"/>
      <c r="I55" s="856"/>
      <c r="J55" s="856"/>
      <c r="K55" s="856"/>
      <c r="L55" s="857"/>
      <c r="M55" s="857"/>
      <c r="N55" s="857"/>
      <c r="O55" s="856">
        <f t="shared" si="8"/>
        <v>307.40384615384619</v>
      </c>
      <c r="P55" s="858">
        <f t="shared" si="13"/>
        <v>267.30769230769232</v>
      </c>
      <c r="Q55" s="858">
        <f t="shared" si="10"/>
        <v>40.096153846153847</v>
      </c>
      <c r="R55" s="861">
        <f>NC_DKDD!G564</f>
        <v>0.05</v>
      </c>
      <c r="S55" s="859"/>
      <c r="T55" s="859"/>
      <c r="U55" s="859"/>
      <c r="V55" s="859"/>
      <c r="W55" s="859"/>
      <c r="X55" s="859"/>
      <c r="Y55" s="859"/>
      <c r="Z55" s="859"/>
      <c r="AA55" s="859"/>
      <c r="AB55" s="859"/>
      <c r="AC55" s="859"/>
      <c r="AD55" s="859"/>
      <c r="AE55" s="859"/>
      <c r="AF55" s="859"/>
      <c r="AG55" s="859"/>
      <c r="AH55" s="859"/>
      <c r="AI55" s="859"/>
      <c r="AJ55" s="859"/>
      <c r="AK55" s="859"/>
      <c r="AL55" s="859"/>
      <c r="AM55" s="859"/>
    </row>
    <row r="56" spans="1:39" s="860" customFormat="1" ht="28.5">
      <c r="A56" s="798">
        <v>5</v>
      </c>
      <c r="B56" s="799" t="s">
        <v>105</v>
      </c>
      <c r="C56" s="798"/>
      <c r="D56" s="798"/>
      <c r="E56" s="856">
        <f>NC_DKDD!H565</f>
        <v>0</v>
      </c>
      <c r="F56" s="856"/>
      <c r="G56" s="795"/>
      <c r="H56" s="856"/>
      <c r="I56" s="856"/>
      <c r="J56" s="856"/>
      <c r="K56" s="856"/>
      <c r="L56" s="857"/>
      <c r="M56" s="857"/>
      <c r="N56" s="857"/>
      <c r="O56" s="856">
        <f t="shared" si="8"/>
        <v>0</v>
      </c>
      <c r="P56" s="858">
        <f t="shared" si="13"/>
        <v>0</v>
      </c>
      <c r="Q56" s="858">
        <f t="shared" si="10"/>
        <v>0</v>
      </c>
      <c r="R56" s="861">
        <f>NC_DKDD!G565</f>
        <v>0</v>
      </c>
      <c r="S56" s="859"/>
      <c r="T56" s="859"/>
      <c r="U56" s="859"/>
      <c r="V56" s="859"/>
      <c r="W56" s="859"/>
      <c r="X56" s="859"/>
      <c r="Y56" s="859"/>
      <c r="Z56" s="859"/>
      <c r="AA56" s="859"/>
      <c r="AB56" s="859"/>
      <c r="AC56" s="859"/>
      <c r="AD56" s="859"/>
      <c r="AE56" s="859"/>
      <c r="AF56" s="859"/>
      <c r="AG56" s="859"/>
      <c r="AH56" s="859"/>
      <c r="AI56" s="859"/>
      <c r="AJ56" s="859"/>
      <c r="AK56" s="859"/>
      <c r="AL56" s="859"/>
      <c r="AM56" s="859"/>
    </row>
    <row r="57" spans="1:39" s="860" customFormat="1" ht="32.450000000000003" customHeight="1">
      <c r="A57" s="798" t="s">
        <v>461</v>
      </c>
      <c r="B57" s="799" t="s">
        <v>590</v>
      </c>
      <c r="C57" s="798" t="s">
        <v>532</v>
      </c>
      <c r="D57" s="792" t="s">
        <v>187</v>
      </c>
      <c r="E57" s="856" t="e">
        <f>NC_DKDD!H566</f>
        <v>#VALUE!</v>
      </c>
      <c r="F57" s="856"/>
      <c r="G57" s="795"/>
      <c r="H57" s="856"/>
      <c r="I57" s="856"/>
      <c r="J57" s="856"/>
      <c r="K57" s="856"/>
      <c r="L57" s="857"/>
      <c r="M57" s="857"/>
      <c r="N57" s="857"/>
      <c r="O57" s="856">
        <f t="shared" si="8"/>
        <v>184.44230769230768</v>
      </c>
      <c r="P57" s="858">
        <f t="shared" si="13"/>
        <v>160.38461538461536</v>
      </c>
      <c r="Q57" s="858">
        <f t="shared" si="10"/>
        <v>24.057692307692307</v>
      </c>
      <c r="R57" s="861">
        <f>NC_DKDD!G566</f>
        <v>0.03</v>
      </c>
      <c r="S57" s="859"/>
      <c r="T57" s="859"/>
      <c r="U57" s="859"/>
      <c r="V57" s="859"/>
      <c r="W57" s="859"/>
      <c r="X57" s="859"/>
      <c r="Y57" s="859"/>
      <c r="Z57" s="859"/>
      <c r="AA57" s="859"/>
      <c r="AB57" s="859"/>
      <c r="AC57" s="859"/>
      <c r="AD57" s="859"/>
      <c r="AE57" s="859"/>
      <c r="AF57" s="859"/>
      <c r="AG57" s="859"/>
      <c r="AH57" s="859"/>
      <c r="AI57" s="859"/>
      <c r="AJ57" s="859"/>
      <c r="AK57" s="859"/>
      <c r="AL57" s="859"/>
      <c r="AM57" s="859"/>
    </row>
    <row r="58" spans="1:39" s="860" customFormat="1" ht="32.450000000000003" customHeight="1">
      <c r="A58" s="798" t="s">
        <v>462</v>
      </c>
      <c r="B58" s="799" t="s">
        <v>591</v>
      </c>
      <c r="C58" s="798" t="s">
        <v>532</v>
      </c>
      <c r="D58" s="792" t="s">
        <v>187</v>
      </c>
      <c r="E58" s="856" t="e">
        <f>NC_DKDD!H567</f>
        <v>#VALUE!</v>
      </c>
      <c r="F58" s="856"/>
      <c r="G58" s="795"/>
      <c r="H58" s="856"/>
      <c r="I58" s="856"/>
      <c r="J58" s="856"/>
      <c r="K58" s="856"/>
      <c r="L58" s="857"/>
      <c r="M58" s="857"/>
      <c r="N58" s="857"/>
      <c r="O58" s="856">
        <f t="shared" si="8"/>
        <v>245.92307692307691</v>
      </c>
      <c r="P58" s="858">
        <f t="shared" si="13"/>
        <v>213.84615384615384</v>
      </c>
      <c r="Q58" s="858">
        <f t="shared" si="10"/>
        <v>32.07692307692308</v>
      </c>
      <c r="R58" s="861">
        <f>NC_DKDD!G567</f>
        <v>0.04</v>
      </c>
      <c r="S58" s="859"/>
      <c r="T58" s="859"/>
      <c r="U58" s="859"/>
      <c r="V58" s="859"/>
      <c r="W58" s="859"/>
      <c r="X58" s="859"/>
      <c r="Y58" s="859"/>
      <c r="Z58" s="859"/>
      <c r="AA58" s="859"/>
      <c r="AB58" s="859"/>
      <c r="AC58" s="859"/>
      <c r="AD58" s="859"/>
      <c r="AE58" s="859"/>
      <c r="AF58" s="859"/>
      <c r="AG58" s="859"/>
      <c r="AH58" s="859"/>
      <c r="AI58" s="859"/>
      <c r="AJ58" s="859"/>
      <c r="AK58" s="859"/>
      <c r="AL58" s="859"/>
      <c r="AM58" s="859"/>
    </row>
    <row r="59" spans="1:39" s="860" customFormat="1" ht="28.5">
      <c r="A59" s="798">
        <v>6</v>
      </c>
      <c r="B59" s="799" t="s">
        <v>106</v>
      </c>
      <c r="C59" s="798"/>
      <c r="D59" s="798"/>
      <c r="E59" s="856">
        <f>NC_DKDD!H568</f>
        <v>0</v>
      </c>
      <c r="F59" s="856"/>
      <c r="G59" s="795"/>
      <c r="H59" s="856"/>
      <c r="I59" s="856"/>
      <c r="J59" s="856"/>
      <c r="K59" s="856"/>
      <c r="L59" s="857"/>
      <c r="M59" s="857"/>
      <c r="N59" s="857"/>
      <c r="O59" s="856">
        <f t="shared" si="8"/>
        <v>0</v>
      </c>
      <c r="P59" s="858">
        <f t="shared" si="13"/>
        <v>0</v>
      </c>
      <c r="Q59" s="858">
        <f t="shared" si="10"/>
        <v>0</v>
      </c>
      <c r="R59" s="861">
        <f>NC_DKDD!G568</f>
        <v>0</v>
      </c>
      <c r="S59" s="859"/>
      <c r="T59" s="859"/>
      <c r="U59" s="859"/>
      <c r="V59" s="859"/>
      <c r="W59" s="859"/>
      <c r="X59" s="859"/>
      <c r="Y59" s="859"/>
      <c r="Z59" s="859"/>
      <c r="AA59" s="859"/>
      <c r="AB59" s="859"/>
      <c r="AC59" s="859"/>
      <c r="AD59" s="859"/>
      <c r="AE59" s="859"/>
      <c r="AF59" s="859"/>
      <c r="AG59" s="859"/>
      <c r="AH59" s="859"/>
      <c r="AI59" s="859"/>
      <c r="AJ59" s="859"/>
      <c r="AK59" s="859"/>
      <c r="AL59" s="859"/>
      <c r="AM59" s="859"/>
    </row>
    <row r="60" spans="1:39" s="860" customFormat="1" ht="32.450000000000003" customHeight="1">
      <c r="A60" s="798" t="s">
        <v>661</v>
      </c>
      <c r="B60" s="799" t="s">
        <v>593</v>
      </c>
      <c r="C60" s="798" t="s">
        <v>532</v>
      </c>
      <c r="D60" s="792" t="s">
        <v>187</v>
      </c>
      <c r="E60" s="856" t="e">
        <f>NC_DKDD!H569</f>
        <v>#VALUE!</v>
      </c>
      <c r="F60" s="856"/>
      <c r="G60" s="795"/>
      <c r="H60" s="856"/>
      <c r="I60" s="856"/>
      <c r="J60" s="856"/>
      <c r="K60" s="856"/>
      <c r="L60" s="857"/>
      <c r="M60" s="857"/>
      <c r="N60" s="857"/>
      <c r="O60" s="856">
        <f t="shared" si="8"/>
        <v>245.92307692307691</v>
      </c>
      <c r="P60" s="858">
        <f t="shared" si="13"/>
        <v>213.84615384615384</v>
      </c>
      <c r="Q60" s="858">
        <f t="shared" si="10"/>
        <v>32.07692307692308</v>
      </c>
      <c r="R60" s="861">
        <f>NC_DKDD!G569</f>
        <v>0.04</v>
      </c>
      <c r="S60" s="859"/>
      <c r="T60" s="859"/>
      <c r="U60" s="859"/>
      <c r="V60" s="859"/>
      <c r="W60" s="859"/>
      <c r="X60" s="859"/>
      <c r="Y60" s="859"/>
      <c r="Z60" s="859"/>
      <c r="AA60" s="859"/>
      <c r="AB60" s="859"/>
      <c r="AC60" s="859"/>
      <c r="AD60" s="859"/>
      <c r="AE60" s="859"/>
      <c r="AF60" s="859"/>
      <c r="AG60" s="859"/>
      <c r="AH60" s="859"/>
      <c r="AI60" s="859"/>
      <c r="AJ60" s="859"/>
      <c r="AK60" s="859"/>
      <c r="AL60" s="859"/>
      <c r="AM60" s="859"/>
    </row>
    <row r="61" spans="1:39" s="860" customFormat="1" ht="32.450000000000003" customHeight="1">
      <c r="A61" s="798" t="s">
        <v>662</v>
      </c>
      <c r="B61" s="799" t="s">
        <v>594</v>
      </c>
      <c r="C61" s="798" t="s">
        <v>532</v>
      </c>
      <c r="D61" s="792" t="s">
        <v>187</v>
      </c>
      <c r="E61" s="856" t="e">
        <f>NC_DKDD!H570</f>
        <v>#VALUE!</v>
      </c>
      <c r="F61" s="856"/>
      <c r="G61" s="795"/>
      <c r="H61" s="856"/>
      <c r="I61" s="856"/>
      <c r="J61" s="856"/>
      <c r="K61" s="856"/>
      <c r="L61" s="857"/>
      <c r="M61" s="857"/>
      <c r="N61" s="857"/>
      <c r="O61" s="856">
        <f t="shared" si="8"/>
        <v>184.44230769230768</v>
      </c>
      <c r="P61" s="858">
        <f t="shared" si="13"/>
        <v>160.38461538461536</v>
      </c>
      <c r="Q61" s="858">
        <f t="shared" si="10"/>
        <v>24.057692307692307</v>
      </c>
      <c r="R61" s="861">
        <f>NC_DKDD!G570</f>
        <v>0.03</v>
      </c>
      <c r="S61" s="859"/>
      <c r="T61" s="859"/>
      <c r="U61" s="859"/>
      <c r="V61" s="859"/>
      <c r="W61" s="859"/>
      <c r="X61" s="859"/>
      <c r="Y61" s="859"/>
      <c r="Z61" s="859"/>
      <c r="AA61" s="859"/>
      <c r="AB61" s="859"/>
      <c r="AC61" s="859"/>
      <c r="AD61" s="859"/>
      <c r="AE61" s="859"/>
      <c r="AF61" s="859"/>
      <c r="AG61" s="859"/>
      <c r="AH61" s="859"/>
      <c r="AI61" s="859"/>
      <c r="AJ61" s="859"/>
      <c r="AK61" s="859"/>
      <c r="AL61" s="859"/>
      <c r="AM61" s="859"/>
    </row>
    <row r="62" spans="1:39" s="860" customFormat="1" ht="30" customHeight="1">
      <c r="A62" s="798">
        <v>7</v>
      </c>
      <c r="B62" s="799" t="s">
        <v>78</v>
      </c>
      <c r="C62" s="798" t="s">
        <v>375</v>
      </c>
      <c r="D62" s="792" t="s">
        <v>187</v>
      </c>
      <c r="E62" s="856" t="e">
        <f>NC_DKDD!H571</f>
        <v>#VALUE!</v>
      </c>
      <c r="F62" s="856"/>
      <c r="G62" s="795"/>
      <c r="H62" s="856"/>
      <c r="I62" s="856"/>
      <c r="J62" s="856"/>
      <c r="K62" s="856"/>
      <c r="L62" s="857"/>
      <c r="M62" s="857"/>
      <c r="N62" s="857"/>
      <c r="O62" s="856">
        <f t="shared" si="8"/>
        <v>202.88653846153844</v>
      </c>
      <c r="P62" s="858">
        <f t="shared" ref="P62:P71" si="14">R62*$P$21</f>
        <v>176.42307692307691</v>
      </c>
      <c r="Q62" s="858">
        <f t="shared" si="10"/>
        <v>26.463461538461541</v>
      </c>
      <c r="R62" s="861">
        <f>NC_DKDD!G571</f>
        <v>3.3000000000000002E-2</v>
      </c>
      <c r="S62" s="859"/>
      <c r="T62" s="859"/>
      <c r="U62" s="859"/>
      <c r="V62" s="859"/>
      <c r="W62" s="859"/>
      <c r="X62" s="859"/>
      <c r="Y62" s="859"/>
      <c r="Z62" s="859"/>
      <c r="AA62" s="859"/>
      <c r="AB62" s="859"/>
      <c r="AC62" s="859"/>
      <c r="AD62" s="859"/>
      <c r="AE62" s="859"/>
      <c r="AF62" s="859"/>
      <c r="AG62" s="859"/>
      <c r="AH62" s="859"/>
      <c r="AI62" s="859"/>
      <c r="AJ62" s="859"/>
      <c r="AK62" s="859"/>
      <c r="AL62" s="859"/>
      <c r="AM62" s="859"/>
    </row>
    <row r="63" spans="1:39" s="860" customFormat="1" ht="30" customHeight="1">
      <c r="A63" s="798">
        <v>8</v>
      </c>
      <c r="B63" s="799" t="s">
        <v>260</v>
      </c>
      <c r="C63" s="798" t="s">
        <v>532</v>
      </c>
      <c r="D63" s="792" t="s">
        <v>187</v>
      </c>
      <c r="E63" s="856" t="e">
        <f>NC_DKDD!H572</f>
        <v>#VALUE!</v>
      </c>
      <c r="F63" s="856"/>
      <c r="G63" s="795"/>
      <c r="H63" s="856"/>
      <c r="I63" s="856"/>
      <c r="J63" s="856"/>
      <c r="K63" s="856"/>
      <c r="L63" s="857"/>
      <c r="M63" s="857"/>
      <c r="N63" s="857"/>
      <c r="O63" s="856">
        <f t="shared" si="8"/>
        <v>1229.6153846153848</v>
      </c>
      <c r="P63" s="858">
        <f t="shared" si="14"/>
        <v>1069.2307692307693</v>
      </c>
      <c r="Q63" s="858">
        <f t="shared" si="10"/>
        <v>160.38461538461539</v>
      </c>
      <c r="R63" s="861">
        <f>NC_DKDD!G572</f>
        <v>0.2</v>
      </c>
      <c r="S63" s="859"/>
      <c r="T63" s="859"/>
      <c r="U63" s="859"/>
      <c r="V63" s="859"/>
      <c r="W63" s="859"/>
      <c r="X63" s="859"/>
      <c r="Y63" s="859"/>
      <c r="Z63" s="859"/>
      <c r="AA63" s="859"/>
      <c r="AB63" s="859"/>
      <c r="AC63" s="859"/>
      <c r="AD63" s="859"/>
      <c r="AE63" s="859"/>
      <c r="AF63" s="859"/>
      <c r="AG63" s="859"/>
      <c r="AH63" s="859"/>
      <c r="AI63" s="859"/>
      <c r="AJ63" s="859"/>
      <c r="AK63" s="859"/>
      <c r="AL63" s="859"/>
      <c r="AM63" s="859"/>
    </row>
    <row r="64" spans="1:39" s="860" customFormat="1" ht="30" customHeight="1">
      <c r="A64" s="798">
        <v>9</v>
      </c>
      <c r="B64" s="799" t="s">
        <v>80</v>
      </c>
      <c r="C64" s="798"/>
      <c r="D64" s="798"/>
      <c r="E64" s="856">
        <f>NC_DKDD!H573</f>
        <v>0</v>
      </c>
      <c r="F64" s="856"/>
      <c r="G64" s="795"/>
      <c r="H64" s="856"/>
      <c r="I64" s="856"/>
      <c r="J64" s="856"/>
      <c r="K64" s="856"/>
      <c r="L64" s="857"/>
      <c r="M64" s="857"/>
      <c r="N64" s="857"/>
      <c r="O64" s="856">
        <f t="shared" si="8"/>
        <v>0</v>
      </c>
      <c r="P64" s="858">
        <f t="shared" si="14"/>
        <v>0</v>
      </c>
      <c r="Q64" s="858">
        <f t="shared" si="10"/>
        <v>0</v>
      </c>
      <c r="R64" s="861">
        <f>NC_DKDD!G573</f>
        <v>0</v>
      </c>
      <c r="S64" s="859"/>
      <c r="T64" s="859"/>
      <c r="U64" s="859"/>
      <c r="V64" s="859"/>
      <c r="W64" s="859"/>
      <c r="X64" s="859"/>
      <c r="Y64" s="859"/>
      <c r="Z64" s="859"/>
      <c r="AA64" s="859"/>
      <c r="AB64" s="859"/>
      <c r="AC64" s="859"/>
      <c r="AD64" s="859"/>
      <c r="AE64" s="859"/>
      <c r="AF64" s="859"/>
      <c r="AG64" s="859"/>
      <c r="AH64" s="859"/>
      <c r="AI64" s="859"/>
      <c r="AJ64" s="859"/>
      <c r="AK64" s="859"/>
      <c r="AL64" s="859"/>
      <c r="AM64" s="859"/>
    </row>
    <row r="65" spans="1:39" s="860" customFormat="1" ht="30" customHeight="1">
      <c r="A65" s="798" t="s">
        <v>663</v>
      </c>
      <c r="B65" s="799" t="s">
        <v>82</v>
      </c>
      <c r="C65" s="798" t="s">
        <v>559</v>
      </c>
      <c r="D65" s="792" t="s">
        <v>187</v>
      </c>
      <c r="E65" s="856" t="e">
        <f>NC_DKDD!H574</f>
        <v>#VALUE!</v>
      </c>
      <c r="F65" s="856"/>
      <c r="G65" s="795"/>
      <c r="H65" s="856"/>
      <c r="I65" s="856"/>
      <c r="J65" s="856"/>
      <c r="K65" s="856"/>
      <c r="L65" s="857"/>
      <c r="M65" s="857"/>
      <c r="N65" s="857"/>
      <c r="O65" s="856">
        <f t="shared" si="8"/>
        <v>307.40384615384619</v>
      </c>
      <c r="P65" s="858">
        <f t="shared" si="14"/>
        <v>267.30769230769232</v>
      </c>
      <c r="Q65" s="858">
        <f t="shared" si="10"/>
        <v>40.096153846153847</v>
      </c>
      <c r="R65" s="861">
        <f>NC_DKDD!G574</f>
        <v>0.05</v>
      </c>
      <c r="S65" s="859"/>
      <c r="T65" s="859"/>
      <c r="U65" s="859"/>
      <c r="V65" s="859"/>
      <c r="W65" s="859"/>
      <c r="X65" s="859"/>
      <c r="Y65" s="859"/>
      <c r="Z65" s="859"/>
      <c r="AA65" s="859"/>
      <c r="AB65" s="859"/>
      <c r="AC65" s="859"/>
      <c r="AD65" s="859"/>
      <c r="AE65" s="859"/>
      <c r="AF65" s="859"/>
      <c r="AG65" s="859"/>
      <c r="AH65" s="859"/>
      <c r="AI65" s="859"/>
      <c r="AJ65" s="859"/>
      <c r="AK65" s="859"/>
      <c r="AL65" s="859"/>
      <c r="AM65" s="859"/>
    </row>
    <row r="66" spans="1:39" s="860" customFormat="1" ht="32.450000000000003" customHeight="1">
      <c r="A66" s="798" t="s">
        <v>664</v>
      </c>
      <c r="B66" s="799" t="s">
        <v>84</v>
      </c>
      <c r="C66" s="798" t="s">
        <v>559</v>
      </c>
      <c r="D66" s="792" t="s">
        <v>187</v>
      </c>
      <c r="E66" s="856" t="e">
        <f>NC_DKDD!H575</f>
        <v>#VALUE!</v>
      </c>
      <c r="F66" s="856"/>
      <c r="G66" s="795"/>
      <c r="H66" s="856"/>
      <c r="I66" s="856"/>
      <c r="J66" s="856"/>
      <c r="K66" s="856"/>
      <c r="L66" s="857"/>
      <c r="M66" s="857"/>
      <c r="N66" s="857"/>
      <c r="O66" s="856">
        <f t="shared" si="8"/>
        <v>614.80769230769238</v>
      </c>
      <c r="P66" s="858">
        <f t="shared" si="14"/>
        <v>534.61538461538464</v>
      </c>
      <c r="Q66" s="858">
        <f t="shared" si="10"/>
        <v>80.192307692307693</v>
      </c>
      <c r="R66" s="861">
        <f>NC_DKDD!G575</f>
        <v>0.1</v>
      </c>
      <c r="S66" s="859"/>
      <c r="T66" s="859"/>
      <c r="U66" s="859"/>
      <c r="V66" s="859"/>
      <c r="W66" s="859"/>
      <c r="X66" s="859"/>
      <c r="Y66" s="859"/>
      <c r="Z66" s="859"/>
      <c r="AA66" s="859"/>
      <c r="AB66" s="859"/>
      <c r="AC66" s="859"/>
      <c r="AD66" s="859"/>
      <c r="AE66" s="859"/>
      <c r="AF66" s="859"/>
      <c r="AG66" s="859"/>
      <c r="AH66" s="859"/>
      <c r="AI66" s="859"/>
      <c r="AJ66" s="859"/>
      <c r="AK66" s="859"/>
      <c r="AL66" s="859"/>
      <c r="AM66" s="859"/>
    </row>
    <row r="67" spans="1:39" s="860" customFormat="1" ht="32.450000000000003" customHeight="1">
      <c r="A67" s="798">
        <v>10</v>
      </c>
      <c r="B67" s="799" t="s">
        <v>85</v>
      </c>
      <c r="C67" s="798" t="s">
        <v>532</v>
      </c>
      <c r="D67" s="792" t="s">
        <v>187</v>
      </c>
      <c r="E67" s="856" t="e">
        <f>NC_DKDD!H576</f>
        <v>#VALUE!</v>
      </c>
      <c r="F67" s="856"/>
      <c r="G67" s="795"/>
      <c r="H67" s="856"/>
      <c r="I67" s="856"/>
      <c r="J67" s="856"/>
      <c r="K67" s="856"/>
      <c r="L67" s="857"/>
      <c r="M67" s="857"/>
      <c r="N67" s="857"/>
      <c r="O67" s="856">
        <f t="shared" si="8"/>
        <v>245.92307692307691</v>
      </c>
      <c r="P67" s="858">
        <f t="shared" si="14"/>
        <v>213.84615384615384</v>
      </c>
      <c r="Q67" s="858">
        <f t="shared" si="10"/>
        <v>32.07692307692308</v>
      </c>
      <c r="R67" s="861">
        <f>NC_DKDD!G576</f>
        <v>0.04</v>
      </c>
      <c r="S67" s="859"/>
      <c r="T67" s="859"/>
      <c r="U67" s="859"/>
      <c r="V67" s="859"/>
      <c r="W67" s="859"/>
      <c r="X67" s="859"/>
      <c r="Y67" s="859"/>
      <c r="Z67" s="859"/>
      <c r="AA67" s="859"/>
      <c r="AB67" s="859"/>
      <c r="AC67" s="859"/>
      <c r="AD67" s="859"/>
      <c r="AE67" s="859"/>
      <c r="AF67" s="859"/>
      <c r="AG67" s="859"/>
      <c r="AH67" s="859"/>
      <c r="AI67" s="859"/>
      <c r="AJ67" s="859"/>
      <c r="AK67" s="859"/>
      <c r="AL67" s="859"/>
      <c r="AM67" s="859"/>
    </row>
    <row r="68" spans="1:39" s="860" customFormat="1" ht="32.450000000000003" customHeight="1">
      <c r="A68" s="798">
        <v>11</v>
      </c>
      <c r="B68" s="799" t="s">
        <v>107</v>
      </c>
      <c r="C68" s="798"/>
      <c r="D68" s="798"/>
      <c r="E68" s="856">
        <f>NC_DKDD!H577</f>
        <v>0</v>
      </c>
      <c r="F68" s="856"/>
      <c r="G68" s="795"/>
      <c r="H68" s="856"/>
      <c r="I68" s="856"/>
      <c r="J68" s="856"/>
      <c r="K68" s="856"/>
      <c r="L68" s="857"/>
      <c r="M68" s="857"/>
      <c r="N68" s="857"/>
      <c r="O68" s="856">
        <f t="shared" si="8"/>
        <v>0</v>
      </c>
      <c r="P68" s="858">
        <f t="shared" si="14"/>
        <v>0</v>
      </c>
      <c r="Q68" s="858">
        <f t="shared" si="10"/>
        <v>0</v>
      </c>
      <c r="R68" s="861">
        <f>NC_DKDD!G577</f>
        <v>0</v>
      </c>
      <c r="S68" s="859"/>
      <c r="T68" s="859"/>
      <c r="U68" s="859"/>
      <c r="V68" s="859"/>
      <c r="W68" s="859"/>
      <c r="X68" s="859"/>
      <c r="Y68" s="859"/>
      <c r="Z68" s="859"/>
      <c r="AA68" s="859"/>
      <c r="AB68" s="859"/>
      <c r="AC68" s="859"/>
      <c r="AD68" s="859"/>
      <c r="AE68" s="859"/>
      <c r="AF68" s="859"/>
      <c r="AG68" s="859"/>
      <c r="AH68" s="859"/>
      <c r="AI68" s="859"/>
      <c r="AJ68" s="859"/>
      <c r="AK68" s="859"/>
      <c r="AL68" s="859"/>
      <c r="AM68" s="859"/>
    </row>
    <row r="69" spans="1:39" s="860" customFormat="1" ht="57">
      <c r="A69" s="798" t="s">
        <v>719</v>
      </c>
      <c r="B69" s="799" t="s">
        <v>108</v>
      </c>
      <c r="C69" s="798" t="s">
        <v>532</v>
      </c>
      <c r="D69" s="792" t="s">
        <v>187</v>
      </c>
      <c r="E69" s="856" t="e">
        <f>NC_DKDD!H578</f>
        <v>#VALUE!</v>
      </c>
      <c r="F69" s="856"/>
      <c r="G69" s="795"/>
      <c r="H69" s="856"/>
      <c r="I69" s="856"/>
      <c r="J69" s="856"/>
      <c r="K69" s="856"/>
      <c r="L69" s="857"/>
      <c r="M69" s="857"/>
      <c r="N69" s="857"/>
      <c r="O69" s="856">
        <f t="shared" si="8"/>
        <v>307.40384615384619</v>
      </c>
      <c r="P69" s="858">
        <f t="shared" si="14"/>
        <v>267.30769230769232</v>
      </c>
      <c r="Q69" s="858">
        <f t="shared" si="10"/>
        <v>40.096153846153847</v>
      </c>
      <c r="R69" s="861">
        <f>NC_DKDD!G578</f>
        <v>0.05</v>
      </c>
      <c r="S69" s="859"/>
      <c r="T69" s="859"/>
      <c r="U69" s="859"/>
      <c r="V69" s="859"/>
      <c r="W69" s="859"/>
      <c r="X69" s="859"/>
      <c r="Y69" s="859"/>
      <c r="Z69" s="859"/>
      <c r="AA69" s="859"/>
      <c r="AB69" s="859"/>
      <c r="AC69" s="859"/>
      <c r="AD69" s="859"/>
      <c r="AE69" s="859"/>
      <c r="AF69" s="859"/>
      <c r="AG69" s="859"/>
      <c r="AH69" s="859"/>
      <c r="AI69" s="859"/>
      <c r="AJ69" s="859"/>
      <c r="AK69" s="859"/>
      <c r="AL69" s="859"/>
      <c r="AM69" s="859"/>
    </row>
    <row r="70" spans="1:39" s="860" customFormat="1" ht="32.450000000000003" customHeight="1">
      <c r="A70" s="798" t="s">
        <v>720</v>
      </c>
      <c r="B70" s="799" t="s">
        <v>109</v>
      </c>
      <c r="C70" s="798" t="s">
        <v>532</v>
      </c>
      <c r="D70" s="792" t="s">
        <v>187</v>
      </c>
      <c r="E70" s="856" t="e">
        <f>NC_DKDD!H579</f>
        <v>#VALUE!</v>
      </c>
      <c r="F70" s="856"/>
      <c r="G70" s="795"/>
      <c r="H70" s="856"/>
      <c r="I70" s="856"/>
      <c r="J70" s="856"/>
      <c r="K70" s="856"/>
      <c r="L70" s="857"/>
      <c r="M70" s="857"/>
      <c r="N70" s="857"/>
      <c r="O70" s="856">
        <f t="shared" si="8"/>
        <v>307.40384615384619</v>
      </c>
      <c r="P70" s="858">
        <f t="shared" si="14"/>
        <v>267.30769230769232</v>
      </c>
      <c r="Q70" s="858">
        <f t="shared" si="10"/>
        <v>40.096153846153847</v>
      </c>
      <c r="R70" s="861">
        <f>NC_DKDD!G579</f>
        <v>0.05</v>
      </c>
      <c r="S70" s="859"/>
      <c r="T70" s="859"/>
      <c r="U70" s="859"/>
      <c r="V70" s="859"/>
      <c r="W70" s="859"/>
      <c r="X70" s="859"/>
      <c r="Y70" s="859"/>
      <c r="Z70" s="859"/>
      <c r="AA70" s="859"/>
      <c r="AB70" s="859"/>
      <c r="AC70" s="859"/>
      <c r="AD70" s="859"/>
      <c r="AE70" s="859"/>
      <c r="AF70" s="859"/>
      <c r="AG70" s="859"/>
      <c r="AH70" s="859"/>
      <c r="AI70" s="859"/>
      <c r="AJ70" s="859"/>
      <c r="AK70" s="859"/>
      <c r="AL70" s="859"/>
      <c r="AM70" s="859"/>
    </row>
    <row r="71" spans="1:39" s="860" customFormat="1" ht="32.450000000000003" customHeight="1">
      <c r="A71" s="798">
        <v>12</v>
      </c>
      <c r="B71" s="799" t="s">
        <v>87</v>
      </c>
      <c r="C71" s="798" t="s">
        <v>375</v>
      </c>
      <c r="D71" s="792" t="s">
        <v>187</v>
      </c>
      <c r="E71" s="856" t="e">
        <f>NC_DKDD!H580</f>
        <v>#VALUE!</v>
      </c>
      <c r="F71" s="856"/>
      <c r="G71" s="795"/>
      <c r="H71" s="856"/>
      <c r="I71" s="856"/>
      <c r="J71" s="856"/>
      <c r="K71" s="856"/>
      <c r="L71" s="857"/>
      <c r="M71" s="857"/>
      <c r="N71" s="857"/>
      <c r="O71" s="856">
        <f t="shared" si="8"/>
        <v>202.88653846153844</v>
      </c>
      <c r="P71" s="858">
        <f t="shared" si="14"/>
        <v>176.42307692307691</v>
      </c>
      <c r="Q71" s="858">
        <f t="shared" si="10"/>
        <v>26.463461538461541</v>
      </c>
      <c r="R71" s="861">
        <f>NC_DKDD!G580</f>
        <v>3.3000000000000002E-2</v>
      </c>
      <c r="S71" s="859"/>
      <c r="T71" s="859"/>
      <c r="U71" s="859"/>
      <c r="V71" s="859"/>
      <c r="W71" s="859"/>
      <c r="X71" s="859"/>
      <c r="Y71" s="859"/>
      <c r="Z71" s="859"/>
      <c r="AA71" s="859"/>
      <c r="AB71" s="859"/>
      <c r="AC71" s="859"/>
      <c r="AD71" s="859"/>
      <c r="AE71" s="859"/>
      <c r="AF71" s="859"/>
      <c r="AG71" s="859"/>
      <c r="AH71" s="859"/>
      <c r="AI71" s="859"/>
      <c r="AJ71" s="859"/>
      <c r="AK71" s="859"/>
      <c r="AL71" s="859"/>
      <c r="AM71" s="859"/>
    </row>
    <row r="72" spans="1:39" s="860" customFormat="1" ht="31.5" customHeight="1">
      <c r="A72" s="798">
        <v>13</v>
      </c>
      <c r="B72" s="799" t="s">
        <v>88</v>
      </c>
      <c r="C72" s="798"/>
      <c r="D72" s="798"/>
      <c r="E72" s="856">
        <f>NC_DKDD!H581</f>
        <v>0</v>
      </c>
      <c r="F72" s="856"/>
      <c r="G72" s="795"/>
      <c r="H72" s="856"/>
      <c r="I72" s="856"/>
      <c r="J72" s="856"/>
      <c r="K72" s="856"/>
      <c r="L72" s="857"/>
      <c r="M72" s="857"/>
      <c r="N72" s="857"/>
      <c r="O72" s="856">
        <f t="shared" si="8"/>
        <v>0</v>
      </c>
      <c r="P72" s="858">
        <f t="shared" ref="P72:P87" si="15">R72*$P$21</f>
        <v>0</v>
      </c>
      <c r="Q72" s="858">
        <f t="shared" si="10"/>
        <v>0</v>
      </c>
      <c r="R72" s="861">
        <f>NC_DKDD!G581</f>
        <v>0</v>
      </c>
      <c r="S72" s="859"/>
      <c r="T72" s="859"/>
      <c r="U72" s="859"/>
      <c r="V72" s="859"/>
      <c r="W72" s="859"/>
      <c r="X72" s="859"/>
      <c r="Y72" s="859"/>
      <c r="Z72" s="859"/>
      <c r="AA72" s="859"/>
      <c r="AB72" s="859"/>
      <c r="AC72" s="859"/>
      <c r="AD72" s="859"/>
      <c r="AE72" s="859"/>
      <c r="AF72" s="859"/>
      <c r="AG72" s="859"/>
      <c r="AH72" s="859"/>
      <c r="AI72" s="859"/>
      <c r="AJ72" s="859"/>
      <c r="AK72" s="859"/>
      <c r="AL72" s="859"/>
      <c r="AM72" s="859"/>
    </row>
    <row r="73" spans="1:39" s="860" customFormat="1" ht="32.450000000000003" customHeight="1">
      <c r="A73" s="798" t="s">
        <v>110</v>
      </c>
      <c r="B73" s="799" t="s">
        <v>775</v>
      </c>
      <c r="C73" s="798"/>
      <c r="D73" s="798"/>
      <c r="E73" s="856">
        <f>NC_DKDD!H582</f>
        <v>0</v>
      </c>
      <c r="F73" s="856"/>
      <c r="G73" s="795"/>
      <c r="H73" s="856"/>
      <c r="I73" s="856"/>
      <c r="J73" s="856"/>
      <c r="K73" s="856"/>
      <c r="L73" s="857"/>
      <c r="M73" s="857"/>
      <c r="N73" s="857"/>
      <c r="O73" s="856">
        <f t="shared" si="8"/>
        <v>0</v>
      </c>
      <c r="P73" s="858">
        <f t="shared" si="15"/>
        <v>0</v>
      </c>
      <c r="Q73" s="858">
        <f t="shared" si="10"/>
        <v>0</v>
      </c>
      <c r="R73" s="861">
        <f>NC_DKDD!G582</f>
        <v>0</v>
      </c>
      <c r="S73" s="859"/>
      <c r="T73" s="859"/>
      <c r="U73" s="859"/>
      <c r="V73" s="859"/>
      <c r="W73" s="859"/>
      <c r="X73" s="859"/>
      <c r="Y73" s="859"/>
      <c r="Z73" s="859"/>
      <c r="AA73" s="859"/>
      <c r="AB73" s="859"/>
      <c r="AC73" s="859"/>
      <c r="AD73" s="859"/>
      <c r="AE73" s="859"/>
      <c r="AF73" s="859"/>
      <c r="AG73" s="859"/>
      <c r="AH73" s="859"/>
      <c r="AI73" s="859"/>
      <c r="AJ73" s="859"/>
      <c r="AK73" s="859"/>
      <c r="AL73" s="859"/>
      <c r="AM73" s="859"/>
    </row>
    <row r="74" spans="1:39" s="860" customFormat="1" ht="32.450000000000003" customHeight="1">
      <c r="A74" s="798" t="s">
        <v>111</v>
      </c>
      <c r="B74" s="799" t="s">
        <v>777</v>
      </c>
      <c r="C74" s="798" t="s">
        <v>377</v>
      </c>
      <c r="D74" s="792" t="s">
        <v>187</v>
      </c>
      <c r="E74" s="856" t="e">
        <f>NC_DKDD!H583</f>
        <v>#VALUE!</v>
      </c>
      <c r="F74" s="856"/>
      <c r="G74" s="795"/>
      <c r="H74" s="856"/>
      <c r="I74" s="856"/>
      <c r="J74" s="856"/>
      <c r="K74" s="856"/>
      <c r="L74" s="857"/>
      <c r="M74" s="857"/>
      <c r="N74" s="857"/>
      <c r="O74" s="856">
        <f t="shared" si="8"/>
        <v>98.369230769230768</v>
      </c>
      <c r="P74" s="858">
        <f t="shared" si="15"/>
        <v>85.538461538461533</v>
      </c>
      <c r="Q74" s="858">
        <f t="shared" si="10"/>
        <v>12.830769230769231</v>
      </c>
      <c r="R74" s="861">
        <f>NC_DKDD!G583</f>
        <v>1.6E-2</v>
      </c>
      <c r="S74" s="859"/>
      <c r="T74" s="859"/>
      <c r="U74" s="859"/>
      <c r="V74" s="859"/>
      <c r="W74" s="859"/>
      <c r="X74" s="859"/>
      <c r="Y74" s="859"/>
      <c r="Z74" s="859"/>
      <c r="AA74" s="859"/>
      <c r="AB74" s="859"/>
      <c r="AC74" s="859"/>
      <c r="AD74" s="859"/>
      <c r="AE74" s="859"/>
      <c r="AF74" s="859"/>
      <c r="AG74" s="859"/>
      <c r="AH74" s="859"/>
      <c r="AI74" s="859"/>
      <c r="AJ74" s="859"/>
      <c r="AK74" s="859"/>
      <c r="AL74" s="859"/>
      <c r="AM74" s="859"/>
    </row>
    <row r="75" spans="1:39" s="860" customFormat="1" ht="32.450000000000003" customHeight="1">
      <c r="A75" s="798" t="s">
        <v>112</v>
      </c>
      <c r="B75" s="799" t="s">
        <v>781</v>
      </c>
      <c r="C75" s="798" t="s">
        <v>377</v>
      </c>
      <c r="D75" s="792" t="s">
        <v>187</v>
      </c>
      <c r="E75" s="856" t="e">
        <f>NC_DKDD!H584</f>
        <v>#VALUE!</v>
      </c>
      <c r="F75" s="856"/>
      <c r="G75" s="795"/>
      <c r="H75" s="856"/>
      <c r="I75" s="856"/>
      <c r="J75" s="856"/>
      <c r="K75" s="856"/>
      <c r="L75" s="857"/>
      <c r="M75" s="857"/>
      <c r="N75" s="857"/>
      <c r="O75" s="856">
        <f t="shared" si="8"/>
        <v>49.184615384615384</v>
      </c>
      <c r="P75" s="858">
        <f t="shared" si="15"/>
        <v>42.769230769230766</v>
      </c>
      <c r="Q75" s="858">
        <f t="shared" si="10"/>
        <v>6.4153846153846157</v>
      </c>
      <c r="R75" s="861">
        <f>NC_DKDD!G584</f>
        <v>8.0000000000000002E-3</v>
      </c>
      <c r="S75" s="859"/>
      <c r="T75" s="859"/>
      <c r="U75" s="859"/>
      <c r="V75" s="859"/>
      <c r="W75" s="859"/>
      <c r="X75" s="859"/>
      <c r="Y75" s="859"/>
      <c r="Z75" s="859"/>
      <c r="AA75" s="859"/>
      <c r="AB75" s="859"/>
      <c r="AC75" s="859"/>
      <c r="AD75" s="859"/>
      <c r="AE75" s="859"/>
      <c r="AF75" s="859"/>
      <c r="AG75" s="859"/>
      <c r="AH75" s="859"/>
      <c r="AI75" s="859"/>
      <c r="AJ75" s="859"/>
      <c r="AK75" s="859"/>
      <c r="AL75" s="859"/>
      <c r="AM75" s="859"/>
    </row>
    <row r="76" spans="1:39" s="860" customFormat="1" ht="32.450000000000003" customHeight="1">
      <c r="A76" s="798" t="s">
        <v>113</v>
      </c>
      <c r="B76" s="799" t="s">
        <v>861</v>
      </c>
      <c r="C76" s="798" t="s">
        <v>377</v>
      </c>
      <c r="D76" s="792" t="s">
        <v>187</v>
      </c>
      <c r="E76" s="856" t="e">
        <f>NC_DKDD!H585</f>
        <v>#VALUE!</v>
      </c>
      <c r="F76" s="856"/>
      <c r="G76" s="795"/>
      <c r="H76" s="856"/>
      <c r="I76" s="856"/>
      <c r="J76" s="856"/>
      <c r="K76" s="856"/>
      <c r="L76" s="857"/>
      <c r="M76" s="857"/>
      <c r="N76" s="857"/>
      <c r="O76" s="856">
        <f t="shared" si="8"/>
        <v>24.592307692307692</v>
      </c>
      <c r="P76" s="858">
        <f t="shared" si="15"/>
        <v>21.384615384615383</v>
      </c>
      <c r="Q76" s="858">
        <f t="shared" si="10"/>
        <v>3.2076923076923078</v>
      </c>
      <c r="R76" s="861">
        <f>NC_DKDD!G585</f>
        <v>4.0000000000000001E-3</v>
      </c>
      <c r="S76" s="859"/>
      <c r="T76" s="859"/>
      <c r="U76" s="859"/>
      <c r="V76" s="859"/>
      <c r="W76" s="859"/>
      <c r="X76" s="859"/>
      <c r="Y76" s="859"/>
      <c r="Z76" s="859"/>
      <c r="AA76" s="859"/>
      <c r="AB76" s="859"/>
      <c r="AC76" s="859"/>
      <c r="AD76" s="859"/>
      <c r="AE76" s="859"/>
      <c r="AF76" s="859"/>
      <c r="AG76" s="859"/>
      <c r="AH76" s="859"/>
      <c r="AI76" s="859"/>
      <c r="AJ76" s="859"/>
      <c r="AK76" s="859"/>
      <c r="AL76" s="859"/>
      <c r="AM76" s="859"/>
    </row>
    <row r="77" spans="1:39" s="860" customFormat="1" ht="32.450000000000003" customHeight="1">
      <c r="A77" s="798" t="s">
        <v>114</v>
      </c>
      <c r="B77" s="799" t="s">
        <v>863</v>
      </c>
      <c r="C77" s="798" t="s">
        <v>375</v>
      </c>
      <c r="D77" s="792" t="s">
        <v>187</v>
      </c>
      <c r="E77" s="856" t="e">
        <f>NC_DKDD!H586</f>
        <v>#VALUE!</v>
      </c>
      <c r="F77" s="856"/>
      <c r="G77" s="795"/>
      <c r="H77" s="856"/>
      <c r="I77" s="856"/>
      <c r="J77" s="856"/>
      <c r="K77" s="856"/>
      <c r="L77" s="857"/>
      <c r="M77" s="857"/>
      <c r="N77" s="857"/>
      <c r="O77" s="856">
        <f t="shared" si="8"/>
        <v>61.480769230769226</v>
      </c>
      <c r="P77" s="858">
        <f t="shared" si="15"/>
        <v>53.46153846153846</v>
      </c>
      <c r="Q77" s="858">
        <f t="shared" si="10"/>
        <v>8.0192307692307701</v>
      </c>
      <c r="R77" s="861">
        <f>NC_DKDD!G586</f>
        <v>0.01</v>
      </c>
      <c r="S77" s="859"/>
      <c r="T77" s="859"/>
      <c r="U77" s="859"/>
      <c r="V77" s="859"/>
      <c r="W77" s="859"/>
      <c r="X77" s="859"/>
      <c r="Y77" s="859"/>
      <c r="Z77" s="859"/>
      <c r="AA77" s="859"/>
      <c r="AB77" s="859"/>
      <c r="AC77" s="859"/>
      <c r="AD77" s="859"/>
      <c r="AE77" s="859"/>
      <c r="AF77" s="859"/>
      <c r="AG77" s="859"/>
      <c r="AH77" s="859"/>
      <c r="AI77" s="859"/>
      <c r="AJ77" s="859"/>
      <c r="AK77" s="859"/>
      <c r="AL77" s="859"/>
      <c r="AM77" s="859"/>
    </row>
    <row r="78" spans="1:39" s="860" customFormat="1" ht="32.450000000000003" customHeight="1">
      <c r="A78" s="798">
        <v>14</v>
      </c>
      <c r="B78" s="799" t="s">
        <v>878</v>
      </c>
      <c r="C78" s="798" t="s">
        <v>532</v>
      </c>
      <c r="D78" s="792" t="s">
        <v>187</v>
      </c>
      <c r="E78" s="856" t="e">
        <f>NC_DKDD!H587</f>
        <v>#VALUE!</v>
      </c>
      <c r="F78" s="856"/>
      <c r="G78" s="795"/>
      <c r="H78" s="856"/>
      <c r="I78" s="856"/>
      <c r="J78" s="856"/>
      <c r="K78" s="856"/>
      <c r="L78" s="857"/>
      <c r="M78" s="857"/>
      <c r="N78" s="857"/>
      <c r="O78" s="856">
        <f t="shared" si="8"/>
        <v>122.96153846153845</v>
      </c>
      <c r="P78" s="858">
        <f t="shared" si="15"/>
        <v>106.92307692307692</v>
      </c>
      <c r="Q78" s="858">
        <f t="shared" si="10"/>
        <v>16.03846153846154</v>
      </c>
      <c r="R78" s="861">
        <f>NC_DKDD!G587</f>
        <v>0.02</v>
      </c>
      <c r="S78" s="859"/>
      <c r="T78" s="859"/>
      <c r="U78" s="859"/>
      <c r="V78" s="859"/>
      <c r="W78" s="859"/>
      <c r="X78" s="859"/>
      <c r="Y78" s="859"/>
      <c r="Z78" s="859"/>
      <c r="AA78" s="859"/>
      <c r="AB78" s="859"/>
      <c r="AC78" s="859"/>
      <c r="AD78" s="859"/>
      <c r="AE78" s="859"/>
      <c r="AF78" s="859"/>
      <c r="AG78" s="859"/>
      <c r="AH78" s="859"/>
      <c r="AI78" s="859"/>
      <c r="AJ78" s="859"/>
      <c r="AK78" s="859"/>
      <c r="AL78" s="859"/>
      <c r="AM78" s="859"/>
    </row>
    <row r="79" spans="1:39" s="860" customFormat="1" ht="32.450000000000003" customHeight="1">
      <c r="A79" s="798">
        <v>15</v>
      </c>
      <c r="B79" s="799" t="s">
        <v>115</v>
      </c>
      <c r="C79" s="798" t="s">
        <v>532</v>
      </c>
      <c r="D79" s="792" t="s">
        <v>187</v>
      </c>
      <c r="E79" s="856" t="e">
        <f>NC_DKDD!H588/8000</f>
        <v>#VALUE!</v>
      </c>
      <c r="F79" s="856"/>
      <c r="G79" s="795"/>
      <c r="H79" s="856"/>
      <c r="I79" s="856"/>
      <c r="J79" s="856"/>
      <c r="K79" s="856"/>
      <c r="L79" s="857"/>
      <c r="M79" s="857"/>
      <c r="N79" s="857"/>
      <c r="O79" s="856">
        <f t="shared" si="8"/>
        <v>6.148076923076923</v>
      </c>
      <c r="P79" s="858">
        <f t="shared" si="15"/>
        <v>5.3461538461538458</v>
      </c>
      <c r="Q79" s="858">
        <f t="shared" si="10"/>
        <v>0.80192307692307696</v>
      </c>
      <c r="R79" s="861">
        <f>NC_DKDD!G588/8000</f>
        <v>1E-3</v>
      </c>
      <c r="S79" s="859"/>
      <c r="T79" s="859"/>
      <c r="U79" s="859"/>
      <c r="V79" s="859"/>
      <c r="W79" s="859"/>
      <c r="X79" s="859"/>
      <c r="Y79" s="859"/>
      <c r="Z79" s="859"/>
      <c r="AA79" s="859"/>
      <c r="AB79" s="859"/>
      <c r="AC79" s="859"/>
      <c r="AD79" s="859"/>
      <c r="AE79" s="859"/>
      <c r="AF79" s="859"/>
      <c r="AG79" s="859"/>
      <c r="AH79" s="859"/>
      <c r="AI79" s="859"/>
      <c r="AJ79" s="859"/>
      <c r="AK79" s="859"/>
      <c r="AL79" s="859"/>
      <c r="AM79" s="859"/>
    </row>
    <row r="80" spans="1:39" s="860" customFormat="1" ht="32.450000000000003" customHeight="1">
      <c r="A80" s="791" t="s">
        <v>755</v>
      </c>
      <c r="B80" s="787" t="s">
        <v>339</v>
      </c>
      <c r="C80" s="798"/>
      <c r="D80" s="798"/>
      <c r="E80" s="856" t="e">
        <f>SUM(E81:E87)</f>
        <v>#VALUE!</v>
      </c>
      <c r="F80" s="856"/>
      <c r="G80" s="795"/>
      <c r="H80" s="862">
        <f>'Dcu-DKDD'!L180/8000</f>
        <v>0.10937643309294873</v>
      </c>
      <c r="I80" s="862">
        <f>'VL-DKDD'!$J$189/8000</f>
        <v>1.2918150000000002</v>
      </c>
      <c r="J80" s="862">
        <f>'TB-DKDD'!$M$102/8000</f>
        <v>0.1175075</v>
      </c>
      <c r="K80" s="862">
        <f>'NL-DKDD'!J72/8000</f>
        <v>0.23387699999999997</v>
      </c>
      <c r="L80" s="796" t="e">
        <f>SUM(E80:K80)</f>
        <v>#VALUE!</v>
      </c>
      <c r="M80" s="796" t="e">
        <f>L80*'He so chung'!$D$17/100</f>
        <v>#VALUE!</v>
      </c>
      <c r="N80" s="796" t="e">
        <f>L80+M80</f>
        <v>#VALUE!</v>
      </c>
      <c r="O80" s="856">
        <f>SUM(O81:O87)</f>
        <v>453.42067307692304</v>
      </c>
      <c r="P80" s="858">
        <f t="shared" si="15"/>
        <v>0</v>
      </c>
      <c r="Q80" s="858">
        <f t="shared" si="10"/>
        <v>0</v>
      </c>
      <c r="R80" s="861">
        <f>NC_DKDD!G589</f>
        <v>0</v>
      </c>
      <c r="S80" s="859"/>
      <c r="T80" s="859"/>
      <c r="U80" s="859"/>
      <c r="V80" s="859"/>
      <c r="W80" s="859"/>
      <c r="X80" s="859"/>
      <c r="Y80" s="859"/>
      <c r="Z80" s="859"/>
      <c r="AA80" s="859"/>
      <c r="AB80" s="859"/>
      <c r="AC80" s="859"/>
      <c r="AD80" s="859"/>
      <c r="AE80" s="859"/>
      <c r="AF80" s="859"/>
      <c r="AG80" s="859"/>
      <c r="AH80" s="859"/>
      <c r="AI80" s="859"/>
      <c r="AJ80" s="859"/>
      <c r="AK80" s="859"/>
      <c r="AL80" s="859"/>
      <c r="AM80" s="859"/>
    </row>
    <row r="81" spans="1:39" s="860" customFormat="1" ht="28.5" customHeight="1">
      <c r="A81" s="798">
        <v>1</v>
      </c>
      <c r="B81" s="799" t="s">
        <v>530</v>
      </c>
      <c r="C81" s="798"/>
      <c r="D81" s="798"/>
      <c r="E81" s="856">
        <f>NC_DKDD!H590</f>
        <v>0</v>
      </c>
      <c r="F81" s="856"/>
      <c r="G81" s="795"/>
      <c r="H81" s="856"/>
      <c r="I81" s="856"/>
      <c r="J81" s="856"/>
      <c r="K81" s="856"/>
      <c r="L81" s="857"/>
      <c r="M81" s="857"/>
      <c r="N81" s="857"/>
      <c r="O81" s="856">
        <f t="shared" si="8"/>
        <v>0</v>
      </c>
      <c r="P81" s="858">
        <f t="shared" si="15"/>
        <v>0</v>
      </c>
      <c r="Q81" s="858">
        <f t="shared" si="10"/>
        <v>0</v>
      </c>
      <c r="R81" s="861">
        <f>NC_DKDD!G590</f>
        <v>0</v>
      </c>
      <c r="S81" s="859"/>
      <c r="T81" s="859"/>
      <c r="U81" s="859"/>
      <c r="V81" s="859"/>
      <c r="W81" s="859"/>
      <c r="X81" s="859"/>
      <c r="Y81" s="859"/>
      <c r="Z81" s="859"/>
      <c r="AA81" s="859"/>
      <c r="AB81" s="859"/>
      <c r="AC81" s="859"/>
      <c r="AD81" s="859"/>
      <c r="AE81" s="859"/>
      <c r="AF81" s="859"/>
      <c r="AG81" s="859"/>
      <c r="AH81" s="859"/>
      <c r="AI81" s="859"/>
      <c r="AJ81" s="859"/>
      <c r="AK81" s="859"/>
      <c r="AL81" s="859"/>
      <c r="AM81" s="859"/>
    </row>
    <row r="82" spans="1:39" s="860" customFormat="1" ht="28.5" customHeight="1">
      <c r="A82" s="798" t="s">
        <v>733</v>
      </c>
      <c r="B82" s="799" t="s">
        <v>340</v>
      </c>
      <c r="C82" s="798" t="s">
        <v>532</v>
      </c>
      <c r="D82" s="792" t="s">
        <v>187</v>
      </c>
      <c r="E82" s="856" t="e">
        <f>NC_DKDD!H591/8000</f>
        <v>#VALUE!</v>
      </c>
      <c r="F82" s="856"/>
      <c r="G82" s="795"/>
      <c r="H82" s="856"/>
      <c r="I82" s="856"/>
      <c r="J82" s="856"/>
      <c r="K82" s="856"/>
      <c r="L82" s="857"/>
      <c r="M82" s="857"/>
      <c r="N82" s="857"/>
      <c r="O82" s="856">
        <f t="shared" si="8"/>
        <v>230.55288461538458</v>
      </c>
      <c r="P82" s="858">
        <f t="shared" si="15"/>
        <v>200.4807692307692</v>
      </c>
      <c r="Q82" s="858">
        <f t="shared" si="10"/>
        <v>30.072115384615383</v>
      </c>
      <c r="R82" s="861">
        <f>NC_DKDD!G591/8000</f>
        <v>3.7499999999999999E-2</v>
      </c>
      <c r="S82" s="859"/>
      <c r="T82" s="859"/>
      <c r="U82" s="859"/>
      <c r="V82" s="859"/>
      <c r="W82" s="859"/>
      <c r="X82" s="859"/>
      <c r="Y82" s="859"/>
      <c r="Z82" s="859"/>
      <c r="AA82" s="859"/>
      <c r="AB82" s="859"/>
      <c r="AC82" s="859"/>
      <c r="AD82" s="859"/>
      <c r="AE82" s="859"/>
      <c r="AF82" s="859"/>
      <c r="AG82" s="859"/>
      <c r="AH82" s="859"/>
      <c r="AI82" s="859"/>
      <c r="AJ82" s="859"/>
      <c r="AK82" s="859"/>
      <c r="AL82" s="859"/>
      <c r="AM82" s="859"/>
    </row>
    <row r="83" spans="1:39" s="860" customFormat="1" ht="28.5" customHeight="1">
      <c r="A83" s="798" t="s">
        <v>741</v>
      </c>
      <c r="B83" s="799" t="s">
        <v>343</v>
      </c>
      <c r="C83" s="798" t="s">
        <v>375</v>
      </c>
      <c r="D83" s="792" t="s">
        <v>187</v>
      </c>
      <c r="E83" s="856" t="e">
        <f>NC_DKDD!H592</f>
        <v>#VALUE!</v>
      </c>
      <c r="F83" s="856"/>
      <c r="G83" s="795"/>
      <c r="H83" s="856"/>
      <c r="I83" s="856"/>
      <c r="J83" s="856"/>
      <c r="K83" s="856"/>
      <c r="L83" s="857"/>
      <c r="M83" s="857"/>
      <c r="N83" s="857"/>
      <c r="O83" s="856">
        <f t="shared" si="8"/>
        <v>61.480769230769226</v>
      </c>
      <c r="P83" s="858">
        <f t="shared" si="15"/>
        <v>53.46153846153846</v>
      </c>
      <c r="Q83" s="858">
        <f t="shared" si="10"/>
        <v>8.0192307692307701</v>
      </c>
      <c r="R83" s="861">
        <f>NC_DKDD!G592</f>
        <v>0.01</v>
      </c>
      <c r="S83" s="859"/>
      <c r="T83" s="859"/>
      <c r="U83" s="859"/>
      <c r="V83" s="859"/>
      <c r="W83" s="859"/>
      <c r="X83" s="859"/>
      <c r="Y83" s="859"/>
      <c r="Z83" s="859"/>
      <c r="AA83" s="859"/>
      <c r="AB83" s="859"/>
      <c r="AC83" s="859"/>
      <c r="AD83" s="859"/>
      <c r="AE83" s="859"/>
      <c r="AF83" s="859"/>
      <c r="AG83" s="859"/>
      <c r="AH83" s="859"/>
      <c r="AI83" s="859"/>
      <c r="AJ83" s="859"/>
      <c r="AK83" s="859"/>
      <c r="AL83" s="859"/>
      <c r="AM83" s="859"/>
    </row>
    <row r="84" spans="1:39" s="860" customFormat="1" ht="28.5" customHeight="1">
      <c r="A84" s="798">
        <v>2</v>
      </c>
      <c r="B84" s="799" t="s">
        <v>344</v>
      </c>
      <c r="C84" s="798"/>
      <c r="D84" s="798"/>
      <c r="E84" s="856">
        <f>NC_DKDD!H593</f>
        <v>0</v>
      </c>
      <c r="F84" s="856"/>
      <c r="G84" s="795"/>
      <c r="H84" s="856"/>
      <c r="I84" s="856"/>
      <c r="J84" s="856"/>
      <c r="K84" s="856"/>
      <c r="L84" s="857"/>
      <c r="M84" s="857"/>
      <c r="N84" s="857"/>
      <c r="O84" s="856">
        <f t="shared" si="8"/>
        <v>0</v>
      </c>
      <c r="P84" s="858">
        <f t="shared" si="15"/>
        <v>0</v>
      </c>
      <c r="Q84" s="858">
        <f t="shared" si="10"/>
        <v>0</v>
      </c>
      <c r="R84" s="861">
        <f>NC_DKDD!G593</f>
        <v>0</v>
      </c>
      <c r="S84" s="859"/>
      <c r="T84" s="859"/>
      <c r="U84" s="859"/>
      <c r="V84" s="859"/>
      <c r="W84" s="859"/>
      <c r="X84" s="859"/>
      <c r="Y84" s="859"/>
      <c r="Z84" s="859"/>
      <c r="AA84" s="859"/>
      <c r="AB84" s="859"/>
      <c r="AC84" s="859"/>
      <c r="AD84" s="859"/>
      <c r="AE84" s="859"/>
      <c r="AF84" s="859"/>
      <c r="AG84" s="859"/>
      <c r="AH84" s="859"/>
      <c r="AI84" s="859"/>
      <c r="AJ84" s="859"/>
      <c r="AK84" s="859"/>
      <c r="AL84" s="859"/>
      <c r="AM84" s="859"/>
    </row>
    <row r="85" spans="1:39" s="860" customFormat="1" ht="28.5" customHeight="1">
      <c r="A85" s="798" t="s">
        <v>742</v>
      </c>
      <c r="B85" s="799" t="s">
        <v>345</v>
      </c>
      <c r="C85" s="798" t="s">
        <v>495</v>
      </c>
      <c r="D85" s="792" t="s">
        <v>187</v>
      </c>
      <c r="E85" s="856" t="e">
        <f>NC_DKDD!H594</f>
        <v>#VALUE!</v>
      </c>
      <c r="F85" s="856"/>
      <c r="G85" s="795"/>
      <c r="H85" s="856"/>
      <c r="I85" s="856"/>
      <c r="J85" s="856"/>
      <c r="K85" s="856"/>
      <c r="L85" s="857"/>
      <c r="M85" s="857"/>
      <c r="N85" s="857"/>
      <c r="O85" s="856">
        <f t="shared" si="8"/>
        <v>153.70192307692309</v>
      </c>
      <c r="P85" s="858">
        <f t="shared" si="15"/>
        <v>133.65384615384616</v>
      </c>
      <c r="Q85" s="858">
        <f t="shared" si="10"/>
        <v>20.048076923076923</v>
      </c>
      <c r="R85" s="861">
        <f>NC_DKDD!G594</f>
        <v>2.5000000000000001E-2</v>
      </c>
      <c r="S85" s="859"/>
      <c r="T85" s="859"/>
      <c r="U85" s="859"/>
      <c r="V85" s="859"/>
      <c r="W85" s="859"/>
      <c r="X85" s="859"/>
      <c r="Y85" s="859"/>
      <c r="Z85" s="859"/>
      <c r="AA85" s="859"/>
      <c r="AB85" s="859"/>
      <c r="AC85" s="859"/>
      <c r="AD85" s="859"/>
      <c r="AE85" s="859"/>
      <c r="AF85" s="859"/>
      <c r="AG85" s="859"/>
      <c r="AH85" s="859"/>
      <c r="AI85" s="859"/>
      <c r="AJ85" s="859"/>
      <c r="AK85" s="859"/>
      <c r="AL85" s="859"/>
      <c r="AM85" s="859"/>
    </row>
    <row r="86" spans="1:39" s="860" customFormat="1" ht="28.5" customHeight="1">
      <c r="A86" s="798" t="s">
        <v>743</v>
      </c>
      <c r="B86" s="799" t="s">
        <v>117</v>
      </c>
      <c r="C86" s="798" t="s">
        <v>532</v>
      </c>
      <c r="D86" s="792" t="s">
        <v>187</v>
      </c>
      <c r="E86" s="856" t="e">
        <f>NC_DKDD!H595/8000</f>
        <v>#VALUE!</v>
      </c>
      <c r="F86" s="856"/>
      <c r="G86" s="795"/>
      <c r="H86" s="856"/>
      <c r="I86" s="856"/>
      <c r="J86" s="856"/>
      <c r="K86" s="856"/>
      <c r="L86" s="857"/>
      <c r="M86" s="857"/>
      <c r="N86" s="857"/>
      <c r="O86" s="856">
        <f t="shared" si="8"/>
        <v>1.5370192307692307</v>
      </c>
      <c r="P86" s="858">
        <f t="shared" si="15"/>
        <v>1.3365384615384615</v>
      </c>
      <c r="Q86" s="858">
        <f t="shared" si="10"/>
        <v>0.20048076923076924</v>
      </c>
      <c r="R86" s="863">
        <f>NC_DKDD!G595/8000</f>
        <v>2.5000000000000001E-4</v>
      </c>
      <c r="S86" s="859"/>
      <c r="T86" s="859"/>
      <c r="U86" s="859"/>
      <c r="V86" s="859"/>
      <c r="W86" s="859"/>
      <c r="X86" s="859"/>
      <c r="Y86" s="859"/>
      <c r="Z86" s="859"/>
      <c r="AA86" s="859"/>
      <c r="AB86" s="859"/>
      <c r="AC86" s="859"/>
      <c r="AD86" s="859"/>
      <c r="AE86" s="859"/>
      <c r="AF86" s="859"/>
      <c r="AG86" s="859"/>
      <c r="AH86" s="859"/>
      <c r="AI86" s="859"/>
      <c r="AJ86" s="859"/>
      <c r="AK86" s="859"/>
      <c r="AL86" s="859"/>
      <c r="AM86" s="859"/>
    </row>
    <row r="87" spans="1:39" s="860" customFormat="1" ht="32.450000000000003" customHeight="1">
      <c r="A87" s="798">
        <v>3</v>
      </c>
      <c r="B87" s="799" t="s">
        <v>118</v>
      </c>
      <c r="C87" s="798" t="s">
        <v>532</v>
      </c>
      <c r="D87" s="792" t="s">
        <v>187</v>
      </c>
      <c r="E87" s="856" t="e">
        <f>NC_DKDD!H596/8000</f>
        <v>#VALUE!</v>
      </c>
      <c r="F87" s="856"/>
      <c r="G87" s="795"/>
      <c r="H87" s="856"/>
      <c r="I87" s="856"/>
      <c r="J87" s="856"/>
      <c r="K87" s="856"/>
      <c r="L87" s="857"/>
      <c r="M87" s="857"/>
      <c r="N87" s="857"/>
      <c r="O87" s="856">
        <f t="shared" si="8"/>
        <v>6.148076923076923</v>
      </c>
      <c r="P87" s="858">
        <f t="shared" si="15"/>
        <v>5.3461538461538458</v>
      </c>
      <c r="Q87" s="858">
        <f t="shared" si="10"/>
        <v>0.80192307692307696</v>
      </c>
      <c r="R87" s="861">
        <f>NC_DKDD!G596/8000</f>
        <v>1E-3</v>
      </c>
      <c r="S87" s="859"/>
      <c r="T87" s="859"/>
      <c r="U87" s="859"/>
      <c r="V87" s="859"/>
      <c r="W87" s="859"/>
      <c r="X87" s="859"/>
      <c r="Y87" s="859"/>
      <c r="Z87" s="859"/>
      <c r="AA87" s="859"/>
      <c r="AB87" s="859"/>
      <c r="AC87" s="859"/>
      <c r="AD87" s="859"/>
      <c r="AE87" s="859"/>
      <c r="AF87" s="859"/>
      <c r="AG87" s="859"/>
      <c r="AH87" s="859"/>
      <c r="AI87" s="859"/>
      <c r="AJ87" s="859"/>
      <c r="AK87" s="859"/>
      <c r="AL87" s="859"/>
      <c r="AM87" s="859"/>
    </row>
    <row r="88" spans="1:39" ht="24" customHeight="1">
      <c r="A88" s="437"/>
      <c r="B88" s="802" t="s">
        <v>533</v>
      </c>
      <c r="C88" s="439"/>
      <c r="D88" s="437"/>
      <c r="E88" s="803"/>
      <c r="F88" s="803"/>
      <c r="G88" s="804"/>
      <c r="H88" s="803"/>
      <c r="I88" s="803"/>
      <c r="J88" s="805"/>
      <c r="K88" s="805"/>
      <c r="L88" s="805"/>
      <c r="M88" s="419"/>
      <c r="N88" s="419"/>
      <c r="O88" s="442"/>
      <c r="P88" s="420"/>
      <c r="Q88" s="420"/>
      <c r="R88" s="806"/>
    </row>
    <row r="89" spans="1:39" ht="33" customHeight="1">
      <c r="A89" s="455"/>
      <c r="B89" s="1073" t="s">
        <v>854</v>
      </c>
      <c r="C89" s="1073"/>
      <c r="D89" s="1073"/>
      <c r="E89" s="1073"/>
      <c r="F89" s="1073"/>
      <c r="G89" s="1073"/>
      <c r="H89" s="1073"/>
      <c r="I89" s="1073"/>
      <c r="J89" s="1073"/>
      <c r="K89" s="1073"/>
      <c r="L89" s="1073"/>
      <c r="M89" s="1073"/>
      <c r="N89" s="1073"/>
      <c r="O89" s="1073"/>
      <c r="P89" s="420"/>
      <c r="Q89" s="420"/>
      <c r="R89" s="806"/>
    </row>
    <row r="90" spans="1:39" ht="37.15" customHeight="1">
      <c r="A90" s="455"/>
      <c r="B90" s="1072" t="s">
        <v>744</v>
      </c>
      <c r="C90" s="1072"/>
      <c r="D90" s="1072"/>
      <c r="E90" s="1072"/>
      <c r="F90" s="1072"/>
      <c r="G90" s="1072"/>
      <c r="H90" s="1072"/>
      <c r="I90" s="1072"/>
      <c r="J90" s="1072"/>
      <c r="K90" s="1072"/>
      <c r="L90" s="1072"/>
      <c r="M90" s="1072"/>
      <c r="N90" s="1072"/>
      <c r="O90" s="1072"/>
      <c r="P90" s="420"/>
      <c r="Q90" s="420"/>
      <c r="R90" s="806"/>
    </row>
    <row r="91" spans="1:39" ht="37.9" customHeight="1">
      <c r="A91" s="455"/>
      <c r="B91" s="1072" t="s">
        <v>810</v>
      </c>
      <c r="C91" s="1072"/>
      <c r="D91" s="1072"/>
      <c r="E91" s="1072"/>
      <c r="F91" s="1072"/>
      <c r="G91" s="1072"/>
      <c r="H91" s="1072"/>
      <c r="I91" s="1072"/>
      <c r="J91" s="1072"/>
      <c r="K91" s="1072"/>
      <c r="L91" s="1072"/>
      <c r="M91" s="1072"/>
      <c r="N91" s="1072"/>
      <c r="O91" s="1072"/>
      <c r="P91" s="420"/>
      <c r="Q91" s="420"/>
      <c r="R91" s="806"/>
    </row>
    <row r="92" spans="1:39" ht="54" customHeight="1">
      <c r="A92" s="455"/>
      <c r="B92" s="1072" t="s">
        <v>512</v>
      </c>
      <c r="C92" s="1072"/>
      <c r="D92" s="1072"/>
      <c r="E92" s="1072"/>
      <c r="F92" s="1072"/>
      <c r="G92" s="1072"/>
      <c r="H92" s="1072"/>
      <c r="I92" s="1072"/>
      <c r="J92" s="1072"/>
      <c r="K92" s="1072"/>
      <c r="L92" s="1072"/>
      <c r="M92" s="1072"/>
      <c r="N92" s="1072"/>
      <c r="O92" s="1072"/>
      <c r="P92" s="420"/>
      <c r="Q92" s="420"/>
      <c r="R92" s="806"/>
    </row>
    <row r="93" spans="1:39" ht="54" customHeight="1">
      <c r="A93" s="455"/>
      <c r="B93" s="1072" t="s">
        <v>811</v>
      </c>
      <c r="C93" s="1072"/>
      <c r="D93" s="1072"/>
      <c r="E93" s="1072"/>
      <c r="F93" s="1072"/>
      <c r="G93" s="1072"/>
      <c r="H93" s="1072"/>
      <c r="I93" s="1072"/>
      <c r="J93" s="1072"/>
      <c r="K93" s="1072"/>
      <c r="L93" s="1072"/>
      <c r="M93" s="1072"/>
      <c r="N93" s="1072"/>
      <c r="O93" s="1072"/>
      <c r="P93" s="420"/>
      <c r="Q93" s="420"/>
      <c r="R93" s="806"/>
    </row>
    <row r="94" spans="1:39" ht="36.75" customHeight="1">
      <c r="A94" s="455"/>
      <c r="B94" s="1072" t="s">
        <v>812</v>
      </c>
      <c r="C94" s="1072"/>
      <c r="D94" s="1072"/>
      <c r="E94" s="1072"/>
      <c r="F94" s="1072"/>
      <c r="G94" s="1072"/>
      <c r="H94" s="1072"/>
      <c r="I94" s="1072"/>
      <c r="J94" s="1072"/>
      <c r="K94" s="1072"/>
      <c r="L94" s="1072"/>
      <c r="M94" s="1072"/>
      <c r="N94" s="1072"/>
      <c r="O94" s="1072"/>
      <c r="P94" s="420"/>
      <c r="Q94" s="420"/>
      <c r="R94" s="806"/>
    </row>
    <row r="95" spans="1:39" ht="53.45" customHeight="1">
      <c r="A95" s="455"/>
      <c r="B95" s="1072" t="s">
        <v>388</v>
      </c>
      <c r="C95" s="1072"/>
      <c r="D95" s="1072"/>
      <c r="E95" s="1072"/>
      <c r="F95" s="1072"/>
      <c r="G95" s="1072"/>
      <c r="H95" s="1072"/>
      <c r="I95" s="1072"/>
      <c r="J95" s="1072"/>
      <c r="K95" s="1072"/>
      <c r="L95" s="1072"/>
      <c r="M95" s="1072"/>
      <c r="N95" s="1072"/>
      <c r="O95" s="1072"/>
      <c r="P95" s="420"/>
      <c r="Q95" s="420"/>
      <c r="R95" s="806"/>
    </row>
    <row r="96" spans="1:39" ht="35.450000000000003" customHeight="1">
      <c r="A96" s="455"/>
      <c r="B96" s="864"/>
      <c r="C96" s="864"/>
      <c r="D96" s="864"/>
      <c r="E96" s="864"/>
      <c r="F96" s="864"/>
      <c r="G96" s="864"/>
      <c r="H96" s="864"/>
      <c r="I96" s="864"/>
      <c r="J96" s="864"/>
      <c r="K96" s="864"/>
      <c r="L96" s="864"/>
      <c r="M96" s="864"/>
      <c r="N96" s="864"/>
      <c r="O96" s="864"/>
      <c r="P96" s="420"/>
      <c r="Q96" s="420"/>
      <c r="R96" s="806"/>
    </row>
    <row r="97" spans="1:39" ht="27" customHeight="1">
      <c r="A97" s="1133" t="s">
        <v>21</v>
      </c>
      <c r="B97" s="1133"/>
      <c r="C97" s="1133"/>
      <c r="D97" s="1133"/>
      <c r="E97" s="1133"/>
      <c r="F97" s="1133"/>
      <c r="G97" s="1133"/>
      <c r="H97" s="1133"/>
      <c r="I97" s="1133"/>
      <c r="J97" s="1133"/>
      <c r="K97" s="1133"/>
      <c r="L97" s="1133"/>
      <c r="M97" s="1133"/>
      <c r="N97" s="1133"/>
      <c r="O97" s="1133"/>
      <c r="R97" s="806"/>
    </row>
    <row r="98" spans="1:39" s="421" customFormat="1" ht="19.5" customHeight="1">
      <c r="A98" s="414"/>
      <c r="B98" s="415"/>
      <c r="C98" s="776"/>
      <c r="D98" s="777" t="s">
        <v>430</v>
      </c>
      <c r="E98" s="419"/>
      <c r="F98" s="778"/>
      <c r="G98" s="779"/>
      <c r="H98" s="778"/>
      <c r="I98" s="780"/>
      <c r="J98" s="778"/>
      <c r="K98" s="778"/>
      <c r="L98" s="781" t="s">
        <v>262</v>
      </c>
      <c r="M98" s="778"/>
      <c r="N98" s="780"/>
      <c r="O98" s="419"/>
      <c r="P98" s="420"/>
      <c r="Q98" s="420"/>
      <c r="R98" s="820"/>
      <c r="S98" s="420"/>
      <c r="T98" s="420"/>
      <c r="U98" s="420"/>
      <c r="V98" s="420"/>
      <c r="W98" s="420"/>
      <c r="X98" s="420"/>
      <c r="Y98" s="420"/>
      <c r="Z98" s="420"/>
      <c r="AA98" s="420"/>
      <c r="AB98" s="420"/>
      <c r="AC98" s="420"/>
      <c r="AD98" s="420"/>
      <c r="AE98" s="420"/>
      <c r="AF98" s="420"/>
      <c r="AG98" s="420"/>
      <c r="AH98" s="420"/>
      <c r="AI98" s="420"/>
      <c r="AJ98" s="420"/>
      <c r="AK98" s="420"/>
      <c r="AL98" s="420"/>
      <c r="AM98" s="420"/>
    </row>
    <row r="99" spans="1:39" s="421" customFormat="1" ht="7.5" customHeight="1">
      <c r="A99" s="414"/>
      <c r="B99" s="415"/>
      <c r="C99" s="776"/>
      <c r="D99" s="821"/>
      <c r="E99" s="419"/>
      <c r="F99" s="419"/>
      <c r="G99" s="822"/>
      <c r="H99" s="419"/>
      <c r="I99" s="419"/>
      <c r="J99" s="419"/>
      <c r="K99" s="419"/>
      <c r="L99" s="419"/>
      <c r="M99" s="419"/>
      <c r="N99" s="419"/>
      <c r="O99" s="419"/>
      <c r="P99" s="420"/>
      <c r="Q99" s="420"/>
      <c r="R99" s="820"/>
      <c r="S99" s="420"/>
      <c r="T99" s="420"/>
      <c r="U99" s="420"/>
      <c r="V99" s="420"/>
      <c r="W99" s="420"/>
      <c r="X99" s="420"/>
      <c r="Y99" s="420"/>
      <c r="Z99" s="420"/>
      <c r="AA99" s="420"/>
      <c r="AB99" s="420"/>
      <c r="AC99" s="420"/>
      <c r="AD99" s="420"/>
      <c r="AE99" s="420"/>
      <c r="AF99" s="420"/>
      <c r="AG99" s="420"/>
      <c r="AH99" s="420"/>
      <c r="AI99" s="420"/>
      <c r="AJ99" s="420"/>
      <c r="AK99" s="420"/>
      <c r="AL99" s="420"/>
      <c r="AM99" s="420"/>
    </row>
    <row r="100" spans="1:39" s="833" customFormat="1" ht="23.25" customHeight="1">
      <c r="A100" s="1068" t="s">
        <v>718</v>
      </c>
      <c r="B100" s="1068" t="s">
        <v>198</v>
      </c>
      <c r="C100" s="1071" t="s">
        <v>263</v>
      </c>
      <c r="D100" s="1071" t="s">
        <v>264</v>
      </c>
      <c r="E100" s="1071" t="s">
        <v>683</v>
      </c>
      <c r="F100" s="1071"/>
      <c r="G100" s="1071"/>
      <c r="H100" s="1071"/>
      <c r="I100" s="1071"/>
      <c r="J100" s="1071"/>
      <c r="K100" s="1071"/>
      <c r="L100" s="1071"/>
      <c r="M100" s="1071" t="s">
        <v>435</v>
      </c>
      <c r="N100" s="1071" t="s">
        <v>684</v>
      </c>
      <c r="O100" s="1071" t="s">
        <v>685</v>
      </c>
      <c r="P100" s="830"/>
      <c r="Q100" s="830"/>
      <c r="R100" s="831"/>
      <c r="S100" s="832"/>
      <c r="T100" s="832"/>
      <c r="U100" s="832"/>
      <c r="V100" s="832"/>
      <c r="W100" s="832"/>
      <c r="X100" s="832"/>
      <c r="Y100" s="832"/>
      <c r="Z100" s="832"/>
      <c r="AA100" s="832"/>
      <c r="AB100" s="832"/>
      <c r="AC100" s="832"/>
      <c r="AD100" s="832"/>
      <c r="AE100" s="832"/>
      <c r="AF100" s="832"/>
      <c r="AG100" s="832"/>
      <c r="AH100" s="832"/>
      <c r="AI100" s="832"/>
      <c r="AJ100" s="832"/>
      <c r="AK100" s="832"/>
      <c r="AL100" s="832"/>
      <c r="AM100" s="832"/>
    </row>
    <row r="101" spans="1:39" s="833" customFormat="1" ht="36" customHeight="1">
      <c r="A101" s="1068"/>
      <c r="B101" s="1068"/>
      <c r="C101" s="1071"/>
      <c r="D101" s="1071"/>
      <c r="E101" s="783" t="s">
        <v>686</v>
      </c>
      <c r="F101" s="783" t="s">
        <v>687</v>
      </c>
      <c r="G101" s="784" t="s">
        <v>285</v>
      </c>
      <c r="H101" s="783" t="s">
        <v>499</v>
      </c>
      <c r="I101" s="783" t="s">
        <v>688</v>
      </c>
      <c r="J101" s="783" t="s">
        <v>531</v>
      </c>
      <c r="K101" s="783" t="s">
        <v>689</v>
      </c>
      <c r="L101" s="783" t="s">
        <v>690</v>
      </c>
      <c r="M101" s="1071"/>
      <c r="N101" s="1071"/>
      <c r="O101" s="1071"/>
      <c r="P101" s="830"/>
      <c r="Q101" s="830"/>
      <c r="R101" s="831"/>
      <c r="S101" s="832"/>
      <c r="T101" s="832"/>
      <c r="U101" s="832"/>
      <c r="V101" s="832"/>
      <c r="W101" s="832"/>
      <c r="X101" s="832"/>
      <c r="Y101" s="832"/>
      <c r="Z101" s="832"/>
      <c r="AA101" s="832"/>
      <c r="AB101" s="832"/>
      <c r="AC101" s="832"/>
      <c r="AD101" s="832"/>
      <c r="AE101" s="832"/>
      <c r="AF101" s="832"/>
      <c r="AG101" s="832"/>
      <c r="AH101" s="832"/>
      <c r="AI101" s="832"/>
      <c r="AJ101" s="832"/>
      <c r="AK101" s="832"/>
      <c r="AL101" s="832"/>
      <c r="AM101" s="832"/>
    </row>
    <row r="102" spans="1:39" s="833" customFormat="1" ht="36" customHeight="1">
      <c r="A102" s="785"/>
      <c r="B102" s="839" t="s">
        <v>705</v>
      </c>
      <c r="C102" s="783"/>
      <c r="D102" s="783"/>
      <c r="E102" s="783"/>
      <c r="F102" s="783"/>
      <c r="G102" s="784"/>
      <c r="H102" s="783"/>
      <c r="I102" s="783"/>
      <c r="J102" s="783"/>
      <c r="K102" s="783"/>
      <c r="L102" s="783"/>
      <c r="M102" s="783"/>
      <c r="N102" s="783"/>
      <c r="O102" s="783"/>
      <c r="P102" s="830"/>
      <c r="Q102" s="830"/>
      <c r="R102" s="831"/>
      <c r="S102" s="832"/>
      <c r="T102" s="832"/>
      <c r="U102" s="832"/>
      <c r="V102" s="832"/>
      <c r="W102" s="832"/>
      <c r="X102" s="832"/>
      <c r="Y102" s="832"/>
      <c r="Z102" s="832"/>
      <c r="AA102" s="832"/>
      <c r="AB102" s="832"/>
      <c r="AC102" s="832"/>
      <c r="AD102" s="832"/>
      <c r="AE102" s="832"/>
      <c r="AF102" s="832"/>
      <c r="AG102" s="832"/>
      <c r="AH102" s="832"/>
      <c r="AI102" s="832"/>
      <c r="AJ102" s="832"/>
      <c r="AK102" s="832"/>
      <c r="AL102" s="832"/>
      <c r="AM102" s="832"/>
    </row>
    <row r="103" spans="1:39" s="833" customFormat="1" ht="24" customHeight="1">
      <c r="A103" s="1068"/>
      <c r="B103" s="1134" t="s">
        <v>668</v>
      </c>
      <c r="C103" s="1071" t="s">
        <v>532</v>
      </c>
      <c r="D103" s="783">
        <v>2</v>
      </c>
      <c r="E103" s="788" t="e">
        <f>E113+E147+E181</f>
        <v>#VALUE!</v>
      </c>
      <c r="F103" s="788">
        <f t="shared" ref="F103:M103" si="16">F113+F147+F181</f>
        <v>23373</v>
      </c>
      <c r="G103" s="788">
        <f t="shared" si="16"/>
        <v>0</v>
      </c>
      <c r="H103" s="788">
        <f t="shared" si="16"/>
        <v>1.1738228900641023</v>
      </c>
      <c r="I103" s="788">
        <f t="shared" si="16"/>
        <v>10.584302400000002</v>
      </c>
      <c r="J103" s="788">
        <f t="shared" si="16"/>
        <v>5.1339439999999996</v>
      </c>
      <c r="K103" s="788">
        <f t="shared" si="16"/>
        <v>0.37358160000000001</v>
      </c>
      <c r="L103" s="788" t="e">
        <f t="shared" si="16"/>
        <v>#VALUE!</v>
      </c>
      <c r="M103" s="788" t="e">
        <f t="shared" si="16"/>
        <v>#VALUE!</v>
      </c>
      <c r="N103" s="788" t="e">
        <f>N113+N147+N181</f>
        <v>#VALUE!</v>
      </c>
      <c r="O103" s="788">
        <f>O113+O147+O181</f>
        <v>9143.42</v>
      </c>
      <c r="P103" s="830"/>
      <c r="Q103" s="830"/>
      <c r="R103" s="831"/>
      <c r="S103" s="832"/>
      <c r="T103" s="832">
        <v>355395.63274852361</v>
      </c>
      <c r="U103" s="832"/>
      <c r="V103" s="832"/>
      <c r="W103" s="832"/>
      <c r="X103" s="832"/>
      <c r="Y103" s="832"/>
      <c r="Z103" s="832"/>
      <c r="AA103" s="832"/>
      <c r="AB103" s="832"/>
      <c r="AC103" s="832"/>
      <c r="AD103" s="832"/>
      <c r="AE103" s="832"/>
      <c r="AF103" s="832"/>
      <c r="AG103" s="832"/>
      <c r="AH103" s="832"/>
      <c r="AI103" s="832"/>
      <c r="AJ103" s="832"/>
      <c r="AK103" s="832"/>
      <c r="AL103" s="832"/>
      <c r="AM103" s="832"/>
    </row>
    <row r="104" spans="1:39" s="833" customFormat="1" ht="24" customHeight="1">
      <c r="A104" s="1068"/>
      <c r="B104" s="1135"/>
      <c r="C104" s="1071"/>
      <c r="D104" s="783">
        <v>3</v>
      </c>
      <c r="E104" s="788" t="e">
        <f>E114+E147+E181</f>
        <v>#VALUE!</v>
      </c>
      <c r="F104" s="788">
        <f t="shared" ref="F104:N104" si="17">F114+F147+F181</f>
        <v>27783</v>
      </c>
      <c r="G104" s="788">
        <f t="shared" si="17"/>
        <v>0</v>
      </c>
      <c r="H104" s="788">
        <f t="shared" si="17"/>
        <v>1.1738228900641023</v>
      </c>
      <c r="I104" s="788">
        <f t="shared" si="17"/>
        <v>10.584302400000002</v>
      </c>
      <c r="J104" s="788">
        <f t="shared" si="17"/>
        <v>5.1339439999999996</v>
      </c>
      <c r="K104" s="788">
        <f t="shared" si="17"/>
        <v>0.37358160000000001</v>
      </c>
      <c r="L104" s="788" t="e">
        <f t="shared" si="17"/>
        <v>#VALUE!</v>
      </c>
      <c r="M104" s="788" t="e">
        <f t="shared" si="17"/>
        <v>#VALUE!</v>
      </c>
      <c r="N104" s="788" t="e">
        <f t="shared" si="17"/>
        <v>#VALUE!</v>
      </c>
      <c r="O104" s="788">
        <f>O114+O147+O181</f>
        <v>9512.3046153846153</v>
      </c>
      <c r="P104" s="830"/>
      <c r="Q104" s="830"/>
      <c r="R104" s="831"/>
      <c r="S104" s="832"/>
      <c r="T104" s="832">
        <v>402980.6202485236</v>
      </c>
      <c r="U104" s="832"/>
      <c r="V104" s="832"/>
      <c r="W104" s="832"/>
      <c r="X104" s="832"/>
      <c r="Y104" s="832"/>
      <c r="Z104" s="832"/>
      <c r="AA104" s="832"/>
      <c r="AB104" s="832"/>
      <c r="AC104" s="832"/>
      <c r="AD104" s="832"/>
      <c r="AE104" s="832"/>
      <c r="AF104" s="832"/>
      <c r="AG104" s="832"/>
      <c r="AH104" s="832"/>
      <c r="AI104" s="832"/>
      <c r="AJ104" s="832"/>
      <c r="AK104" s="832"/>
      <c r="AL104" s="832"/>
      <c r="AM104" s="832"/>
    </row>
    <row r="105" spans="1:39" s="833" customFormat="1" ht="24" customHeight="1">
      <c r="A105" s="1068"/>
      <c r="B105" s="1135"/>
      <c r="C105" s="1071"/>
      <c r="D105" s="783">
        <v>4</v>
      </c>
      <c r="E105" s="788" t="e">
        <f>E115+E147+E181</f>
        <v>#VALUE!</v>
      </c>
      <c r="F105" s="788">
        <f t="shared" ref="F105:N105" si="18">F115+F147+F181</f>
        <v>33075</v>
      </c>
      <c r="G105" s="788">
        <f t="shared" si="18"/>
        <v>0</v>
      </c>
      <c r="H105" s="788">
        <f t="shared" si="18"/>
        <v>1.1738228900641023</v>
      </c>
      <c r="I105" s="788">
        <f t="shared" si="18"/>
        <v>10.584302400000002</v>
      </c>
      <c r="J105" s="788">
        <f t="shared" si="18"/>
        <v>5.1339439999999996</v>
      </c>
      <c r="K105" s="788">
        <f t="shared" si="18"/>
        <v>0.37358160000000001</v>
      </c>
      <c r="L105" s="788" t="e">
        <f t="shared" si="18"/>
        <v>#VALUE!</v>
      </c>
      <c r="M105" s="788" t="e">
        <f t="shared" si="18"/>
        <v>#VALUE!</v>
      </c>
      <c r="N105" s="788" t="e">
        <f t="shared" si="18"/>
        <v>#VALUE!</v>
      </c>
      <c r="O105" s="788">
        <f>O115+O147+O181</f>
        <v>9954.9661538461551</v>
      </c>
      <c r="P105" s="830"/>
      <c r="Q105" s="830"/>
      <c r="R105" s="831"/>
      <c r="S105" s="832"/>
      <c r="T105" s="832">
        <v>393138.80524852354</v>
      </c>
      <c r="U105" s="832"/>
      <c r="V105" s="832"/>
      <c r="W105" s="832"/>
      <c r="X105" s="832"/>
      <c r="Y105" s="832"/>
      <c r="Z105" s="832"/>
      <c r="AA105" s="832"/>
      <c r="AB105" s="832"/>
      <c r="AC105" s="832"/>
      <c r="AD105" s="832"/>
      <c r="AE105" s="832"/>
      <c r="AF105" s="832"/>
      <c r="AG105" s="832"/>
      <c r="AH105" s="832"/>
      <c r="AI105" s="832"/>
      <c r="AJ105" s="832"/>
      <c r="AK105" s="832"/>
      <c r="AL105" s="832"/>
      <c r="AM105" s="832"/>
    </row>
    <row r="106" spans="1:39" s="833" customFormat="1" ht="24" customHeight="1">
      <c r="A106" s="1068"/>
      <c r="B106" s="1136"/>
      <c r="C106" s="1071"/>
      <c r="D106" s="783">
        <v>5</v>
      </c>
      <c r="E106" s="788" t="e">
        <f>E116+E147+E181</f>
        <v>#VALUE!</v>
      </c>
      <c r="F106" s="788">
        <f t="shared" ref="F106:N106" si="19">F116+F147+F181</f>
        <v>39396</v>
      </c>
      <c r="G106" s="788">
        <f t="shared" si="19"/>
        <v>0</v>
      </c>
      <c r="H106" s="788">
        <f t="shared" si="19"/>
        <v>1.1738228900641023</v>
      </c>
      <c r="I106" s="788">
        <f t="shared" si="19"/>
        <v>10.584302400000002</v>
      </c>
      <c r="J106" s="788">
        <f t="shared" si="19"/>
        <v>5.1339439999999996</v>
      </c>
      <c r="K106" s="788">
        <f t="shared" si="19"/>
        <v>0.37358160000000001</v>
      </c>
      <c r="L106" s="788" t="e">
        <f t="shared" si="19"/>
        <v>#VALUE!</v>
      </c>
      <c r="M106" s="788" t="e">
        <f t="shared" si="19"/>
        <v>#VALUE!</v>
      </c>
      <c r="N106" s="788" t="e">
        <f t="shared" si="19"/>
        <v>#VALUE!</v>
      </c>
      <c r="O106" s="788">
        <f>O116+O147+O181</f>
        <v>10483.700769230771</v>
      </c>
      <c r="P106" s="830"/>
      <c r="Q106" s="830"/>
      <c r="R106" s="831"/>
      <c r="S106" s="832"/>
      <c r="T106" s="832">
        <v>417729.05399852357</v>
      </c>
      <c r="U106" s="832"/>
      <c r="V106" s="832"/>
      <c r="W106" s="832"/>
      <c r="X106" s="832"/>
      <c r="Y106" s="832"/>
      <c r="Z106" s="832"/>
      <c r="AA106" s="832"/>
      <c r="AB106" s="832"/>
      <c r="AC106" s="832"/>
      <c r="AD106" s="832"/>
      <c r="AE106" s="832"/>
      <c r="AF106" s="832"/>
      <c r="AG106" s="832"/>
      <c r="AH106" s="832"/>
      <c r="AI106" s="832"/>
      <c r="AJ106" s="832"/>
      <c r="AK106" s="832"/>
      <c r="AL106" s="832"/>
      <c r="AM106" s="832"/>
    </row>
    <row r="107" spans="1:39" s="833" customFormat="1" ht="24" customHeight="1">
      <c r="A107" s="1068"/>
      <c r="B107" s="1134" t="s">
        <v>669</v>
      </c>
      <c r="C107" s="1071" t="s">
        <v>532</v>
      </c>
      <c r="D107" s="783">
        <v>2</v>
      </c>
      <c r="E107" s="788" t="e">
        <f>E117+E148+E181</f>
        <v>#VALUE!</v>
      </c>
      <c r="F107" s="788">
        <f>F117+F148+F181</f>
        <v>23373</v>
      </c>
      <c r="G107" s="788">
        <f t="shared" ref="G107:O107" si="20">G117+G148+G181</f>
        <v>0</v>
      </c>
      <c r="H107" s="788">
        <f t="shared" si="20"/>
        <v>1.1738228900641023</v>
      </c>
      <c r="I107" s="788">
        <f t="shared" si="20"/>
        <v>10.584302400000002</v>
      </c>
      <c r="J107" s="788">
        <f t="shared" si="20"/>
        <v>5.1339439999999996</v>
      </c>
      <c r="K107" s="788">
        <f t="shared" si="20"/>
        <v>0.37358160000000001</v>
      </c>
      <c r="L107" s="788" t="e">
        <f t="shared" si="20"/>
        <v>#VALUE!</v>
      </c>
      <c r="M107" s="788" t="e">
        <f t="shared" si="20"/>
        <v>#VALUE!</v>
      </c>
      <c r="N107" s="788" t="e">
        <f t="shared" si="20"/>
        <v>#VALUE!</v>
      </c>
      <c r="O107" s="788">
        <f t="shared" si="20"/>
        <v>8737.6469230769217</v>
      </c>
      <c r="P107" s="830"/>
      <c r="Q107" s="830"/>
      <c r="R107" s="831"/>
      <c r="S107" s="832"/>
      <c r="T107" s="832">
        <v>340898.73274852359</v>
      </c>
      <c r="U107" s="832"/>
      <c r="V107" s="832"/>
      <c r="W107" s="832"/>
      <c r="X107" s="832"/>
      <c r="Y107" s="832"/>
      <c r="Z107" s="832"/>
      <c r="AA107" s="832"/>
      <c r="AB107" s="832"/>
      <c r="AC107" s="832"/>
      <c r="AD107" s="832"/>
      <c r="AE107" s="832"/>
      <c r="AF107" s="832"/>
      <c r="AG107" s="832"/>
      <c r="AH107" s="832"/>
      <c r="AI107" s="832"/>
      <c r="AJ107" s="832"/>
      <c r="AK107" s="832"/>
      <c r="AL107" s="832"/>
      <c r="AM107" s="832"/>
    </row>
    <row r="108" spans="1:39" s="833" customFormat="1" ht="24" customHeight="1">
      <c r="A108" s="1068"/>
      <c r="B108" s="1135"/>
      <c r="C108" s="1071"/>
      <c r="D108" s="783">
        <v>3</v>
      </c>
      <c r="E108" s="788" t="e">
        <f>E118+E148+E181</f>
        <v>#VALUE!</v>
      </c>
      <c r="F108" s="788">
        <f>F118+F148+F181</f>
        <v>27783</v>
      </c>
      <c r="G108" s="788">
        <f t="shared" ref="G108:O108" si="21">G118+G148+G181</f>
        <v>0</v>
      </c>
      <c r="H108" s="788">
        <f t="shared" si="21"/>
        <v>1.1738228900641023</v>
      </c>
      <c r="I108" s="788">
        <f t="shared" si="21"/>
        <v>10.584302400000002</v>
      </c>
      <c r="J108" s="788">
        <f t="shared" si="21"/>
        <v>5.1339439999999996</v>
      </c>
      <c r="K108" s="788">
        <f t="shared" si="21"/>
        <v>0.37358160000000001</v>
      </c>
      <c r="L108" s="788" t="e">
        <f t="shared" si="21"/>
        <v>#VALUE!</v>
      </c>
      <c r="M108" s="788" t="e">
        <f t="shared" si="21"/>
        <v>#VALUE!</v>
      </c>
      <c r="N108" s="788" t="e">
        <f t="shared" si="21"/>
        <v>#VALUE!</v>
      </c>
      <c r="O108" s="788">
        <f t="shared" si="21"/>
        <v>9198.7526923076912</v>
      </c>
      <c r="P108" s="830"/>
      <c r="Q108" s="830"/>
      <c r="R108" s="831"/>
      <c r="S108" s="832"/>
      <c r="T108" s="832">
        <v>392011.34524852358</v>
      </c>
      <c r="U108" s="832"/>
      <c r="V108" s="832"/>
      <c r="W108" s="832"/>
      <c r="X108" s="832"/>
      <c r="Y108" s="832"/>
      <c r="Z108" s="832"/>
      <c r="AA108" s="832"/>
      <c r="AB108" s="832"/>
      <c r="AC108" s="832"/>
      <c r="AD108" s="832"/>
      <c r="AE108" s="832"/>
      <c r="AF108" s="832"/>
      <c r="AG108" s="832"/>
      <c r="AH108" s="832"/>
      <c r="AI108" s="832"/>
      <c r="AJ108" s="832"/>
      <c r="AK108" s="832"/>
      <c r="AL108" s="832"/>
      <c r="AM108" s="832"/>
    </row>
    <row r="109" spans="1:39" s="833" customFormat="1" ht="24" customHeight="1">
      <c r="A109" s="1068"/>
      <c r="B109" s="1135"/>
      <c r="C109" s="1071"/>
      <c r="D109" s="783">
        <v>4</v>
      </c>
      <c r="E109" s="788" t="e">
        <f>E119+E148+E181</f>
        <v>#VALUE!</v>
      </c>
      <c r="F109" s="788">
        <f>F119+F148+F181</f>
        <v>33075</v>
      </c>
      <c r="G109" s="788">
        <f t="shared" ref="G109:O109" si="22">G119+G148+G181</f>
        <v>0</v>
      </c>
      <c r="H109" s="788">
        <f t="shared" si="22"/>
        <v>1.1738228900641023</v>
      </c>
      <c r="I109" s="788">
        <f t="shared" si="22"/>
        <v>10.584302400000002</v>
      </c>
      <c r="J109" s="788">
        <f t="shared" si="22"/>
        <v>5.1339439999999996</v>
      </c>
      <c r="K109" s="788">
        <f t="shared" si="22"/>
        <v>0.37358160000000001</v>
      </c>
      <c r="L109" s="788" t="e">
        <f t="shared" si="22"/>
        <v>#VALUE!</v>
      </c>
      <c r="M109" s="788" t="e">
        <f t="shared" si="22"/>
        <v>#VALUE!</v>
      </c>
      <c r="N109" s="788" t="e">
        <f t="shared" si="22"/>
        <v>#VALUE!</v>
      </c>
      <c r="O109" s="788">
        <f t="shared" si="22"/>
        <v>9641.4142307692291</v>
      </c>
      <c r="P109" s="830"/>
      <c r="Q109" s="830"/>
      <c r="R109" s="831"/>
      <c r="S109" s="832"/>
      <c r="T109" s="832">
        <v>382169.53024852357</v>
      </c>
      <c r="U109" s="832"/>
      <c r="V109" s="832"/>
      <c r="W109" s="832"/>
      <c r="X109" s="832"/>
      <c r="Y109" s="832"/>
      <c r="Z109" s="832"/>
      <c r="AA109" s="832"/>
      <c r="AB109" s="832"/>
      <c r="AC109" s="832"/>
      <c r="AD109" s="832"/>
      <c r="AE109" s="832"/>
      <c r="AF109" s="832"/>
      <c r="AG109" s="832"/>
      <c r="AH109" s="832"/>
      <c r="AI109" s="832"/>
      <c r="AJ109" s="832"/>
      <c r="AK109" s="832"/>
      <c r="AL109" s="832"/>
      <c r="AM109" s="832"/>
    </row>
    <row r="110" spans="1:39" s="833" customFormat="1" ht="24" customHeight="1">
      <c r="A110" s="1068"/>
      <c r="B110" s="1136"/>
      <c r="C110" s="1071"/>
      <c r="D110" s="783">
        <v>5</v>
      </c>
      <c r="E110" s="788" t="e">
        <f>E120+E148+E181</f>
        <v>#VALUE!</v>
      </c>
      <c r="F110" s="788">
        <f>F120+F148+F181</f>
        <v>39396</v>
      </c>
      <c r="G110" s="788">
        <f t="shared" ref="G110:O110" si="23">G120+G148+G181</f>
        <v>0</v>
      </c>
      <c r="H110" s="788">
        <f t="shared" si="23"/>
        <v>1.1738228900641023</v>
      </c>
      <c r="I110" s="788">
        <f t="shared" si="23"/>
        <v>10.584302400000002</v>
      </c>
      <c r="J110" s="788">
        <f t="shared" si="23"/>
        <v>5.1339439999999996</v>
      </c>
      <c r="K110" s="788">
        <f t="shared" si="23"/>
        <v>0.37358160000000001</v>
      </c>
      <c r="L110" s="788" t="e">
        <f t="shared" si="23"/>
        <v>#VALUE!</v>
      </c>
      <c r="M110" s="788" t="e">
        <f t="shared" si="23"/>
        <v>#VALUE!</v>
      </c>
      <c r="N110" s="788" t="e">
        <f t="shared" si="23"/>
        <v>#VALUE!</v>
      </c>
      <c r="O110" s="788">
        <f t="shared" si="23"/>
        <v>10170.148846153847</v>
      </c>
      <c r="P110" s="830"/>
      <c r="Q110" s="830"/>
      <c r="R110" s="831"/>
      <c r="S110" s="832"/>
      <c r="T110" s="832">
        <v>406759.7789985236</v>
      </c>
      <c r="U110" s="832"/>
      <c r="V110" s="832"/>
      <c r="W110" s="832"/>
      <c r="X110" s="832"/>
      <c r="Y110" s="832"/>
      <c r="Z110" s="832"/>
      <c r="AA110" s="832"/>
      <c r="AB110" s="832"/>
      <c r="AC110" s="832"/>
      <c r="AD110" s="832"/>
      <c r="AE110" s="832"/>
      <c r="AF110" s="832"/>
      <c r="AG110" s="832"/>
      <c r="AH110" s="832"/>
      <c r="AI110" s="832"/>
      <c r="AJ110" s="832"/>
      <c r="AK110" s="832"/>
      <c r="AL110" s="832"/>
      <c r="AM110" s="832"/>
    </row>
    <row r="111" spans="1:39" s="833" customFormat="1" ht="26.25" customHeight="1">
      <c r="A111" s="785"/>
      <c r="B111" s="789"/>
      <c r="C111" s="783"/>
      <c r="D111" s="783"/>
      <c r="E111" s="783"/>
      <c r="F111" s="783"/>
      <c r="G111" s="784"/>
      <c r="H111" s="783"/>
      <c r="I111" s="783"/>
      <c r="J111" s="783"/>
      <c r="K111" s="783"/>
      <c r="L111" s="783"/>
      <c r="M111" s="783"/>
      <c r="N111" s="783"/>
      <c r="O111" s="783"/>
      <c r="P111" s="834">
        <f>'He so chung'!D$22</f>
        <v>5346.1538461538457</v>
      </c>
      <c r="Q111" s="834">
        <f>'He so chung'!D$23</f>
        <v>801.92307692307691</v>
      </c>
      <c r="R111" s="835"/>
      <c r="S111" s="832"/>
      <c r="T111" s="832"/>
      <c r="U111" s="832"/>
      <c r="V111" s="832"/>
      <c r="W111" s="832"/>
      <c r="X111" s="832"/>
      <c r="Y111" s="832"/>
      <c r="Z111" s="832"/>
      <c r="AA111" s="832"/>
      <c r="AB111" s="832"/>
      <c r="AC111" s="832"/>
      <c r="AD111" s="832"/>
      <c r="AE111" s="832"/>
      <c r="AF111" s="832"/>
      <c r="AG111" s="832"/>
      <c r="AH111" s="832"/>
      <c r="AI111" s="832"/>
      <c r="AJ111" s="832"/>
      <c r="AK111" s="832"/>
      <c r="AL111" s="832"/>
      <c r="AM111" s="832"/>
    </row>
    <row r="112" spans="1:39" s="833" customFormat="1" ht="28.5" customHeight="1">
      <c r="A112" s="785" t="s">
        <v>1000</v>
      </c>
      <c r="B112" s="789" t="s">
        <v>783</v>
      </c>
      <c r="C112" s="783"/>
      <c r="D112" s="783"/>
      <c r="E112" s="783"/>
      <c r="F112" s="783"/>
      <c r="G112" s="784"/>
      <c r="H112" s="783"/>
      <c r="I112" s="783"/>
      <c r="J112" s="783"/>
      <c r="K112" s="783"/>
      <c r="L112" s="783"/>
      <c r="M112" s="783"/>
      <c r="N112" s="783"/>
      <c r="O112" s="783"/>
      <c r="P112" s="834"/>
      <c r="Q112" s="834"/>
      <c r="R112" s="835"/>
      <c r="S112" s="832"/>
      <c r="T112" s="832"/>
      <c r="U112" s="832"/>
      <c r="V112" s="832"/>
      <c r="W112" s="832"/>
      <c r="X112" s="832"/>
      <c r="Y112" s="832"/>
      <c r="Z112" s="832"/>
      <c r="AA112" s="832"/>
      <c r="AB112" s="832"/>
      <c r="AC112" s="832"/>
      <c r="AD112" s="832"/>
      <c r="AE112" s="832"/>
      <c r="AF112" s="832"/>
      <c r="AG112" s="832"/>
      <c r="AH112" s="832"/>
      <c r="AI112" s="832"/>
      <c r="AJ112" s="832"/>
      <c r="AK112" s="832"/>
      <c r="AL112" s="832"/>
      <c r="AM112" s="832"/>
    </row>
    <row r="113" spans="1:39" s="869" customFormat="1" ht="25.15" customHeight="1">
      <c r="A113" s="1089" t="s">
        <v>1008</v>
      </c>
      <c r="B113" s="1134" t="s">
        <v>668</v>
      </c>
      <c r="C113" s="1071" t="s">
        <v>532</v>
      </c>
      <c r="D113" s="865" t="s">
        <v>728</v>
      </c>
      <c r="E113" s="866" t="e">
        <f>E122+E123+E124+E126+E128+E129+E130+E135+E138+E140+E142+E144+E145</f>
        <v>#VALUE!</v>
      </c>
      <c r="F113" s="866">
        <f>F122+F123+F124+F126+F128+F129+F130+F135+F138+F140+F142+F144+F145</f>
        <v>23373</v>
      </c>
      <c r="G113" s="866">
        <f>G122+G123+G124+G126+G127+G128+G129+G135+G136+G138+G139+G140+G142+G143+G144+G145</f>
        <v>0</v>
      </c>
      <c r="H113" s="867">
        <f>'Dcu-DKDD'!$H$216</f>
        <v>0</v>
      </c>
      <c r="I113" s="867">
        <f>'VL-DKDD'!$F$223</f>
        <v>0</v>
      </c>
      <c r="J113" s="867">
        <f>'TB-DKDD'!$I$123</f>
        <v>0</v>
      </c>
      <c r="K113" s="867">
        <f>'NL-DKDD'!$F$84</f>
        <v>0</v>
      </c>
      <c r="L113" s="796" t="e">
        <f t="shared" ref="L113:L120" si="24">SUM(E113:K113)</f>
        <v>#VALUE!</v>
      </c>
      <c r="M113" s="796" t="e">
        <f>L113*'He so chung'!$D$17/100</f>
        <v>#VALUE!</v>
      </c>
      <c r="N113" s="796" t="e">
        <f t="shared" ref="N113:N120" si="25">L113+M113</f>
        <v>#VALUE!</v>
      </c>
      <c r="O113" s="866">
        <f>O122+O123+O124+O126+O128+O129+O130+O135+O138+O140+O142+O144+O145</f>
        <v>3926.1619230769229</v>
      </c>
      <c r="P113" s="830"/>
      <c r="Q113" s="830"/>
      <c r="R113" s="868"/>
      <c r="T113" s="869">
        <v>162994.19200000001</v>
      </c>
    </row>
    <row r="114" spans="1:39" s="869" customFormat="1" ht="25.15" customHeight="1">
      <c r="A114" s="1089"/>
      <c r="B114" s="1135"/>
      <c r="C114" s="1071"/>
      <c r="D114" s="865" t="s">
        <v>729</v>
      </c>
      <c r="E114" s="866" t="e">
        <f>E122+E123+E124+E126+E128+E129+E131+E135+E138+E140+E142+E144+E145</f>
        <v>#VALUE!</v>
      </c>
      <c r="F114" s="866">
        <f>F122+F123+F124+F126+F128+F129+F131+F135+F138+F140+F142+F144+F145</f>
        <v>27783</v>
      </c>
      <c r="G114" s="866">
        <f>G122+G123+G124+G126+G127+G128+G129+G131+G135+G136+G138+G139+G140+G142+G143+G144+G145</f>
        <v>0</v>
      </c>
      <c r="H114" s="867">
        <f>'Dcu-DKDD'!$H$217</f>
        <v>0</v>
      </c>
      <c r="I114" s="867">
        <f>'VL-DKDD'!$F$223</f>
        <v>0</v>
      </c>
      <c r="J114" s="867">
        <f>'TB-DKDD'!$I$123</f>
        <v>0</v>
      </c>
      <c r="K114" s="867">
        <f>'NL-DKDD'!$F$84</f>
        <v>0</v>
      </c>
      <c r="L114" s="796" t="e">
        <f t="shared" si="24"/>
        <v>#VALUE!</v>
      </c>
      <c r="M114" s="796" t="e">
        <f>L114*'He so chung'!$D$17/100</f>
        <v>#VALUE!</v>
      </c>
      <c r="N114" s="796" t="e">
        <f t="shared" si="25"/>
        <v>#VALUE!</v>
      </c>
      <c r="O114" s="866">
        <f>O122+O123+O124+O126+O128+O129+O131+O135+O138+O140+O142+O144+O145</f>
        <v>4295.0465384615372</v>
      </c>
      <c r="P114" s="830"/>
      <c r="Q114" s="830"/>
      <c r="R114" s="868"/>
      <c r="T114" s="869">
        <v>210579.17950000003</v>
      </c>
    </row>
    <row r="115" spans="1:39" s="869" customFormat="1" ht="25.15" customHeight="1">
      <c r="A115" s="1089"/>
      <c r="B115" s="1135"/>
      <c r="C115" s="1071"/>
      <c r="D115" s="865" t="s">
        <v>730</v>
      </c>
      <c r="E115" s="866" t="e">
        <f>E122+E123+E124+E126+E128+E129+E132+E135+E138+E140+E142+E144+E145</f>
        <v>#VALUE!</v>
      </c>
      <c r="F115" s="866">
        <f>F122+F123+F124+F126+F128+F129+F132+F135+F138+F140+F142+F144+F145</f>
        <v>33075</v>
      </c>
      <c r="G115" s="866">
        <f>G122+G123+G124+G126+G127+G128+G132+G135+G136+G138+G139+G140+G142+G143+G144+G145</f>
        <v>0</v>
      </c>
      <c r="H115" s="867">
        <f>'Dcu-DKDD'!$H$218</f>
        <v>0</v>
      </c>
      <c r="I115" s="867">
        <f>'VL-DKDD'!$F$223</f>
        <v>0</v>
      </c>
      <c r="J115" s="867">
        <f>'TB-DKDD'!$I$123</f>
        <v>0</v>
      </c>
      <c r="K115" s="867">
        <f>'NL-DKDD'!$F$84</f>
        <v>0</v>
      </c>
      <c r="L115" s="796" t="e">
        <f t="shared" si="24"/>
        <v>#VALUE!</v>
      </c>
      <c r="M115" s="796" t="e">
        <f>L115*'He so chung'!$D$17/100</f>
        <v>#VALUE!</v>
      </c>
      <c r="N115" s="796" t="e">
        <f t="shared" si="25"/>
        <v>#VALUE!</v>
      </c>
      <c r="O115" s="866">
        <f>O122+O123+O124+O126+O128+O129+O132+O135+O138+O140+O142+O144+O145</f>
        <v>4737.708076923077</v>
      </c>
      <c r="P115" s="830"/>
      <c r="Q115" s="830"/>
      <c r="R115" s="868"/>
      <c r="T115" s="869">
        <v>200737.36449999997</v>
      </c>
    </row>
    <row r="116" spans="1:39" s="869" customFormat="1" ht="25.15" customHeight="1">
      <c r="A116" s="1089"/>
      <c r="B116" s="1136"/>
      <c r="C116" s="1071"/>
      <c r="D116" s="865" t="s">
        <v>731</v>
      </c>
      <c r="E116" s="866" t="e">
        <f>E122+E123+E124+E126+E128+E129+E133+E135+E138+E140+E142+E144+E145</f>
        <v>#VALUE!</v>
      </c>
      <c r="F116" s="866">
        <f>F122+F123+F124+F126+F128+F129+F133+F135+F138+F140+F142+F144+F145</f>
        <v>39396</v>
      </c>
      <c r="G116" s="866">
        <f>G122+G123+G124+G126+G127+G128+G129+G133+G135+G136+G138+G139+G140+G142+G143+G144+G145</f>
        <v>0</v>
      </c>
      <c r="H116" s="867">
        <f>'Dcu-DKDD'!$H$219</f>
        <v>0</v>
      </c>
      <c r="I116" s="867">
        <f>'VL-DKDD'!$F$223</f>
        <v>0</v>
      </c>
      <c r="J116" s="867">
        <f>'TB-DKDD'!$I$123</f>
        <v>0</v>
      </c>
      <c r="K116" s="867">
        <f>'NL-DKDD'!$F$84</f>
        <v>0</v>
      </c>
      <c r="L116" s="854" t="e">
        <f t="shared" si="24"/>
        <v>#VALUE!</v>
      </c>
      <c r="M116" s="854" t="e">
        <f>L116*'He so chung'!$D$17/100</f>
        <v>#VALUE!</v>
      </c>
      <c r="N116" s="854" t="e">
        <f t="shared" si="25"/>
        <v>#VALUE!</v>
      </c>
      <c r="O116" s="866">
        <f>O122+O123+O124+O126+O128+O129+O133+O135+O138+O140+O142+O144+O145</f>
        <v>5266.4426923076926</v>
      </c>
      <c r="P116" s="830"/>
      <c r="Q116" s="830"/>
      <c r="R116" s="868"/>
      <c r="T116" s="869">
        <v>225327.61324999999</v>
      </c>
    </row>
    <row r="117" spans="1:39" s="869" customFormat="1" ht="25.15" customHeight="1">
      <c r="A117" s="1089" t="s">
        <v>1008</v>
      </c>
      <c r="B117" s="1134" t="s">
        <v>669</v>
      </c>
      <c r="C117" s="1071" t="s">
        <v>532</v>
      </c>
      <c r="D117" s="865" t="s">
        <v>728</v>
      </c>
      <c r="E117" s="866" t="e">
        <f>E122+E123+E124+E127+E128+E129+E130+E136+E139+E140+E143+E144+E145</f>
        <v>#VALUE!</v>
      </c>
      <c r="F117" s="866">
        <f>F122+F123+F124+F127+F128+F129+F130+F136+F139+F140+F143+F144+F145</f>
        <v>23373</v>
      </c>
      <c r="G117" s="866"/>
      <c r="H117" s="867">
        <f>'Dcu-DKDD'!$H$216</f>
        <v>0</v>
      </c>
      <c r="I117" s="867">
        <f>'VL-DKDD'!$F$223</f>
        <v>0</v>
      </c>
      <c r="J117" s="867">
        <f>'TB-DKDD'!$I$123</f>
        <v>0</v>
      </c>
      <c r="K117" s="867">
        <f>'NL-DKDD'!$F$84</f>
        <v>0</v>
      </c>
      <c r="L117" s="796" t="e">
        <f t="shared" si="24"/>
        <v>#VALUE!</v>
      </c>
      <c r="M117" s="796" t="e">
        <f>L117*'He so chung'!$D$17/100</f>
        <v>#VALUE!</v>
      </c>
      <c r="N117" s="796" t="e">
        <f t="shared" si="25"/>
        <v>#VALUE!</v>
      </c>
      <c r="O117" s="866">
        <f>O122+O123+O124+O127+O128+O129+O130+O136+O139+O140+O143+O144+O145</f>
        <v>3674.0907692307687</v>
      </c>
      <c r="P117" s="830"/>
      <c r="Q117" s="830"/>
      <c r="R117" s="868"/>
      <c r="T117" s="869">
        <v>153992.42325000002</v>
      </c>
    </row>
    <row r="118" spans="1:39" s="869" customFormat="1" ht="25.15" customHeight="1">
      <c r="A118" s="1089"/>
      <c r="B118" s="1135"/>
      <c r="C118" s="1071"/>
      <c r="D118" s="865" t="s">
        <v>729</v>
      </c>
      <c r="E118" s="866" t="e">
        <f>E122+E123+E124+E127+E128+E129+E131+E135+E136+E139+E140+E143+E144+E145</f>
        <v>#VALUE!</v>
      </c>
      <c r="F118" s="866">
        <f>F122+F123+F124+F127+F128+F129+F131+F135+F136+F139+F140+F143+F144+F145</f>
        <v>27783</v>
      </c>
      <c r="G118" s="866"/>
      <c r="H118" s="867">
        <f>'Dcu-DKDD'!$H$217</f>
        <v>0</v>
      </c>
      <c r="I118" s="867">
        <f>'VL-DKDD'!$F$223</f>
        <v>0</v>
      </c>
      <c r="J118" s="867">
        <f>'TB-DKDD'!$I$123</f>
        <v>0</v>
      </c>
      <c r="K118" s="867">
        <f>'NL-DKDD'!$F$84</f>
        <v>0</v>
      </c>
      <c r="L118" s="796" t="e">
        <f t="shared" si="24"/>
        <v>#VALUE!</v>
      </c>
      <c r="M118" s="796" t="e">
        <f>L118*'He so chung'!$D$17/100</f>
        <v>#VALUE!</v>
      </c>
      <c r="N118" s="796" t="e">
        <f t="shared" si="25"/>
        <v>#VALUE!</v>
      </c>
      <c r="O118" s="866">
        <f>O122+O123+O124+O127+O128+O129+O131+O135+O136+O139+O140+O143+O144+O145</f>
        <v>4135.1965384615378</v>
      </c>
      <c r="P118" s="830"/>
      <c r="Q118" s="830"/>
      <c r="R118" s="868"/>
      <c r="T118" s="869">
        <v>205105.03575000001</v>
      </c>
    </row>
    <row r="119" spans="1:39" s="869" customFormat="1" ht="25.15" customHeight="1">
      <c r="A119" s="1089"/>
      <c r="B119" s="1135"/>
      <c r="C119" s="1071"/>
      <c r="D119" s="865" t="s">
        <v>730</v>
      </c>
      <c r="E119" s="866" t="e">
        <f>E122+E123+E124+E127+E128+E129+E132+E135+E136+E139+E140+E143+E144+E145</f>
        <v>#VALUE!</v>
      </c>
      <c r="F119" s="866">
        <f>F122+F123+F124+F127+F128+F129+F132+F135+F136+F139+F140+F143+F144+F145</f>
        <v>33075</v>
      </c>
      <c r="G119" s="866"/>
      <c r="H119" s="867">
        <f>'Dcu-DKDD'!$H$218</f>
        <v>0</v>
      </c>
      <c r="I119" s="867">
        <f>'VL-DKDD'!$F$223</f>
        <v>0</v>
      </c>
      <c r="J119" s="867">
        <f>'TB-DKDD'!$I$123</f>
        <v>0</v>
      </c>
      <c r="K119" s="867">
        <f>'NL-DKDD'!$F$84</f>
        <v>0</v>
      </c>
      <c r="L119" s="796" t="e">
        <f t="shared" si="24"/>
        <v>#VALUE!</v>
      </c>
      <c r="M119" s="796" t="e">
        <f>L119*'He so chung'!$D$17/100</f>
        <v>#VALUE!</v>
      </c>
      <c r="N119" s="796" t="e">
        <f t="shared" si="25"/>
        <v>#VALUE!</v>
      </c>
      <c r="O119" s="866">
        <f>O122+O123+O124+O127+O128+O129+O132+O135+O136+O139+O140+O143+O144+O145</f>
        <v>4577.8580769230757</v>
      </c>
      <c r="P119" s="830"/>
      <c r="Q119" s="830"/>
      <c r="R119" s="868"/>
      <c r="T119" s="869">
        <v>195263.22074999998</v>
      </c>
    </row>
    <row r="120" spans="1:39" s="869" customFormat="1" ht="25.15" customHeight="1">
      <c r="A120" s="1089"/>
      <c r="B120" s="1136"/>
      <c r="C120" s="1071"/>
      <c r="D120" s="865" t="s">
        <v>731</v>
      </c>
      <c r="E120" s="866" t="e">
        <f>E122+E123+E124+E127+E128+E129+E133+E135+E136+E139+E140+E143+E144+E145</f>
        <v>#VALUE!</v>
      </c>
      <c r="F120" s="866">
        <f>F122+F123+F124+F127+F128+F129+F133+F135+F136+F139+F140+F143+F144+F145</f>
        <v>39396</v>
      </c>
      <c r="G120" s="866"/>
      <c r="H120" s="867">
        <f>'Dcu-DKDD'!$H$219</f>
        <v>0</v>
      </c>
      <c r="I120" s="867">
        <f>'VL-DKDD'!$F$223</f>
        <v>0</v>
      </c>
      <c r="J120" s="867">
        <f>'TB-DKDD'!$I$123</f>
        <v>0</v>
      </c>
      <c r="K120" s="867">
        <f>'NL-DKDD'!$F$84</f>
        <v>0</v>
      </c>
      <c r="L120" s="854" t="e">
        <f t="shared" si="24"/>
        <v>#VALUE!</v>
      </c>
      <c r="M120" s="854" t="e">
        <f>L120*'He so chung'!$D$17/100</f>
        <v>#VALUE!</v>
      </c>
      <c r="N120" s="854" t="e">
        <f t="shared" si="25"/>
        <v>#VALUE!</v>
      </c>
      <c r="O120" s="866">
        <f>O122+O123+O124+O127+O128+O129+O133+O135+O136+O139+O140+O143+O144+O145</f>
        <v>5106.5926923076922</v>
      </c>
      <c r="P120" s="830"/>
      <c r="Q120" s="830"/>
      <c r="R120" s="868"/>
      <c r="T120" s="869">
        <v>219853.46950000001</v>
      </c>
    </row>
    <row r="121" spans="1:39" s="860" customFormat="1" ht="32.450000000000003" customHeight="1">
      <c r="A121" s="798">
        <v>1</v>
      </c>
      <c r="B121" s="799" t="s">
        <v>453</v>
      </c>
      <c r="C121" s="855"/>
      <c r="D121" s="870"/>
      <c r="E121" s="856"/>
      <c r="F121" s="856"/>
      <c r="G121" s="795"/>
      <c r="H121" s="856"/>
      <c r="I121" s="856"/>
      <c r="J121" s="856"/>
      <c r="K121" s="856"/>
      <c r="L121" s="857"/>
      <c r="M121" s="857"/>
      <c r="N121" s="857"/>
      <c r="O121" s="871"/>
      <c r="P121" s="830"/>
      <c r="Q121" s="830"/>
      <c r="R121" s="872"/>
      <c r="S121" s="859"/>
      <c r="T121" s="859"/>
      <c r="U121" s="859"/>
      <c r="V121" s="859"/>
      <c r="W121" s="859"/>
      <c r="X121" s="859"/>
      <c r="Y121" s="859"/>
      <c r="Z121" s="859"/>
      <c r="AA121" s="859"/>
      <c r="AB121" s="859"/>
      <c r="AC121" s="859"/>
      <c r="AD121" s="859"/>
      <c r="AE121" s="859"/>
      <c r="AF121" s="859"/>
      <c r="AG121" s="859"/>
      <c r="AH121" s="859"/>
      <c r="AI121" s="859"/>
      <c r="AJ121" s="859"/>
      <c r="AK121" s="859"/>
      <c r="AL121" s="859"/>
      <c r="AM121" s="859"/>
    </row>
    <row r="122" spans="1:39" s="860" customFormat="1" ht="32.450000000000003" customHeight="1">
      <c r="A122" s="798" t="s">
        <v>733</v>
      </c>
      <c r="B122" s="799" t="s">
        <v>834</v>
      </c>
      <c r="C122" s="798" t="s">
        <v>532</v>
      </c>
      <c r="D122" s="792" t="s">
        <v>722</v>
      </c>
      <c r="E122" s="856" t="e">
        <f>NC_DKDD!H602/5000*10</f>
        <v>#VALUE!</v>
      </c>
      <c r="F122" s="856">
        <f>NC_DKDD!H603/5000*10</f>
        <v>588</v>
      </c>
      <c r="G122" s="795"/>
      <c r="H122" s="856"/>
      <c r="I122" s="856"/>
      <c r="J122" s="856"/>
      <c r="K122" s="856"/>
      <c r="L122" s="857"/>
      <c r="M122" s="857"/>
      <c r="N122" s="857"/>
      <c r="O122" s="871">
        <f>P122+Q122</f>
        <v>24.592307692307692</v>
      </c>
      <c r="P122" s="830">
        <f>R122*P$111</f>
        <v>21.384615384615383</v>
      </c>
      <c r="Q122" s="830">
        <f>R122*Q$111</f>
        <v>3.2076923076923078</v>
      </c>
      <c r="R122" s="873">
        <f>NC_DKDD!G602/5000*10</f>
        <v>4.0000000000000001E-3</v>
      </c>
      <c r="S122" s="859"/>
      <c r="T122" s="859"/>
      <c r="U122" s="859"/>
      <c r="V122" s="859"/>
      <c r="W122" s="859"/>
      <c r="X122" s="859"/>
      <c r="Y122" s="859"/>
      <c r="Z122" s="859"/>
      <c r="AA122" s="859"/>
      <c r="AB122" s="859"/>
      <c r="AC122" s="859"/>
      <c r="AD122" s="859"/>
      <c r="AE122" s="859"/>
      <c r="AF122" s="859"/>
      <c r="AG122" s="859"/>
      <c r="AH122" s="859"/>
      <c r="AI122" s="859"/>
      <c r="AJ122" s="859"/>
      <c r="AK122" s="859"/>
      <c r="AL122" s="859"/>
      <c r="AM122" s="859"/>
    </row>
    <row r="123" spans="1:39" s="860" customFormat="1" ht="48" customHeight="1">
      <c r="A123" s="798" t="s">
        <v>741</v>
      </c>
      <c r="B123" s="799" t="s">
        <v>505</v>
      </c>
      <c r="C123" s="798" t="s">
        <v>532</v>
      </c>
      <c r="D123" s="792" t="s">
        <v>722</v>
      </c>
      <c r="E123" s="856" t="e">
        <f>NC_DKDD!H604/5000</f>
        <v>#VALUE!</v>
      </c>
      <c r="F123" s="856"/>
      <c r="G123" s="795"/>
      <c r="H123" s="856"/>
      <c r="I123" s="856"/>
      <c r="J123" s="856"/>
      <c r="K123" s="856"/>
      <c r="L123" s="857"/>
      <c r="M123" s="857"/>
      <c r="N123" s="857"/>
      <c r="O123" s="871">
        <f t="shared" ref="O123:O188" si="26">P123+Q123</f>
        <v>59.021538461538448</v>
      </c>
      <c r="P123" s="830">
        <f t="shared" ref="P123:P188" si="27">R123*P$111</f>
        <v>51.323076923076911</v>
      </c>
      <c r="Q123" s="830">
        <f t="shared" ref="Q123:Q188" si="28">R123*Q$111</f>
        <v>7.6984615384615376</v>
      </c>
      <c r="R123" s="873">
        <f>NC_DKDD!G604/5000</f>
        <v>9.5999999999999992E-3</v>
      </c>
      <c r="S123" s="859"/>
      <c r="T123" s="859"/>
      <c r="U123" s="859"/>
      <c r="V123" s="859"/>
      <c r="W123" s="859"/>
      <c r="X123" s="859"/>
      <c r="Y123" s="859"/>
      <c r="Z123" s="859"/>
      <c r="AA123" s="859"/>
      <c r="AB123" s="859"/>
      <c r="AC123" s="859"/>
      <c r="AD123" s="859"/>
      <c r="AE123" s="859"/>
      <c r="AF123" s="859"/>
      <c r="AG123" s="859"/>
      <c r="AH123" s="859"/>
      <c r="AI123" s="859"/>
      <c r="AJ123" s="859"/>
      <c r="AK123" s="859"/>
      <c r="AL123" s="859"/>
      <c r="AM123" s="859"/>
    </row>
    <row r="124" spans="1:39" s="860" customFormat="1" ht="37.5" customHeight="1">
      <c r="A124" s="798" t="s">
        <v>734</v>
      </c>
      <c r="B124" s="799" t="s">
        <v>840</v>
      </c>
      <c r="C124" s="798" t="s">
        <v>532</v>
      </c>
      <c r="D124" s="792" t="s">
        <v>722</v>
      </c>
      <c r="E124" s="856" t="e">
        <f>NC_DKDD!H606/5000*10</f>
        <v>#VALUE!</v>
      </c>
      <c r="F124" s="856">
        <f>NC_DKDD!H607/5000*10</f>
        <v>735</v>
      </c>
      <c r="G124" s="795"/>
      <c r="H124" s="856"/>
      <c r="I124" s="856"/>
      <c r="J124" s="856"/>
      <c r="K124" s="856"/>
      <c r="L124" s="857"/>
      <c r="M124" s="857"/>
      <c r="N124" s="857"/>
      <c r="O124" s="871">
        <f t="shared" si="26"/>
        <v>30.740384615384613</v>
      </c>
      <c r="P124" s="830">
        <f t="shared" si="27"/>
        <v>26.73076923076923</v>
      </c>
      <c r="Q124" s="830">
        <f t="shared" si="28"/>
        <v>4.009615384615385</v>
      </c>
      <c r="R124" s="873">
        <f>NC_DKDD!G606/5000*10</f>
        <v>5.0000000000000001E-3</v>
      </c>
      <c r="S124" s="859"/>
      <c r="T124" s="859"/>
      <c r="U124" s="859"/>
      <c r="V124" s="859"/>
      <c r="W124" s="859"/>
      <c r="X124" s="859"/>
      <c r="Y124" s="859"/>
      <c r="Z124" s="859"/>
      <c r="AA124" s="859"/>
      <c r="AB124" s="859"/>
      <c r="AC124" s="859"/>
      <c r="AD124" s="859"/>
      <c r="AE124" s="859"/>
      <c r="AF124" s="859"/>
      <c r="AG124" s="859"/>
      <c r="AH124" s="859"/>
      <c r="AI124" s="859"/>
      <c r="AJ124" s="859"/>
      <c r="AK124" s="859"/>
      <c r="AL124" s="859"/>
      <c r="AM124" s="859"/>
    </row>
    <row r="125" spans="1:39" s="860" customFormat="1" ht="32.450000000000003" customHeight="1">
      <c r="A125" s="798" t="s">
        <v>843</v>
      </c>
      <c r="B125" s="799" t="s">
        <v>101</v>
      </c>
      <c r="C125" s="798"/>
      <c r="D125" s="798"/>
      <c r="E125" s="856"/>
      <c r="F125" s="856"/>
      <c r="G125" s="795"/>
      <c r="H125" s="856"/>
      <c r="I125" s="856"/>
      <c r="J125" s="856"/>
      <c r="K125" s="856"/>
      <c r="L125" s="857"/>
      <c r="M125" s="857"/>
      <c r="N125" s="857"/>
      <c r="O125" s="871">
        <f t="shared" si="26"/>
        <v>0</v>
      </c>
      <c r="P125" s="830">
        <f t="shared" si="27"/>
        <v>0</v>
      </c>
      <c r="Q125" s="830">
        <f t="shared" si="28"/>
        <v>0</v>
      </c>
      <c r="R125" s="872"/>
      <c r="S125" s="859"/>
      <c r="T125" s="859"/>
      <c r="U125" s="859"/>
      <c r="V125" s="859"/>
      <c r="W125" s="859"/>
      <c r="X125" s="859"/>
      <c r="Y125" s="859"/>
      <c r="Z125" s="859"/>
      <c r="AA125" s="859"/>
      <c r="AB125" s="859"/>
      <c r="AC125" s="859"/>
      <c r="AD125" s="859"/>
      <c r="AE125" s="859"/>
      <c r="AF125" s="859"/>
      <c r="AG125" s="859"/>
      <c r="AH125" s="859"/>
      <c r="AI125" s="859"/>
      <c r="AJ125" s="859"/>
      <c r="AK125" s="859"/>
      <c r="AL125" s="859"/>
      <c r="AM125" s="859"/>
    </row>
    <row r="126" spans="1:39" s="860" customFormat="1" ht="32.450000000000003" customHeight="1">
      <c r="A126" s="798" t="s">
        <v>845</v>
      </c>
      <c r="B126" s="799" t="s">
        <v>846</v>
      </c>
      <c r="C126" s="798" t="s">
        <v>532</v>
      </c>
      <c r="D126" s="792" t="s">
        <v>722</v>
      </c>
      <c r="E126" s="856" t="e">
        <f>NC_DKDD!H609</f>
        <v>#VALUE!</v>
      </c>
      <c r="F126" s="856"/>
      <c r="G126" s="795"/>
      <c r="H126" s="856"/>
      <c r="I126" s="856"/>
      <c r="J126" s="856"/>
      <c r="K126" s="856"/>
      <c r="L126" s="857"/>
      <c r="M126" s="857"/>
      <c r="N126" s="857"/>
      <c r="O126" s="871">
        <f>P126+Q126</f>
        <v>307.40384615384619</v>
      </c>
      <c r="P126" s="830">
        <f t="shared" si="27"/>
        <v>267.30769230769232</v>
      </c>
      <c r="Q126" s="830">
        <f t="shared" si="28"/>
        <v>40.096153846153847</v>
      </c>
      <c r="R126" s="873">
        <f>NC_DKDD!G609</f>
        <v>0.05</v>
      </c>
      <c r="S126" s="859"/>
      <c r="T126" s="859"/>
      <c r="U126" s="859"/>
      <c r="V126" s="859"/>
      <c r="W126" s="859"/>
      <c r="X126" s="859"/>
      <c r="Y126" s="859"/>
      <c r="Z126" s="859"/>
      <c r="AA126" s="859"/>
      <c r="AB126" s="859"/>
      <c r="AC126" s="859"/>
      <c r="AD126" s="859"/>
      <c r="AE126" s="859"/>
      <c r="AF126" s="859"/>
      <c r="AG126" s="859"/>
      <c r="AH126" s="859"/>
      <c r="AI126" s="859"/>
      <c r="AJ126" s="859"/>
      <c r="AK126" s="859"/>
      <c r="AL126" s="859"/>
      <c r="AM126" s="859"/>
    </row>
    <row r="127" spans="1:39" s="860" customFormat="1" ht="32.450000000000003" customHeight="1">
      <c r="A127" s="798" t="s">
        <v>848</v>
      </c>
      <c r="B127" s="799" t="s">
        <v>849</v>
      </c>
      <c r="C127" s="798" t="s">
        <v>532</v>
      </c>
      <c r="D127" s="792" t="s">
        <v>722</v>
      </c>
      <c r="E127" s="856" t="e">
        <f>NC_DKDD!H610</f>
        <v>#VALUE!</v>
      </c>
      <c r="F127" s="856"/>
      <c r="G127" s="795"/>
      <c r="H127" s="856"/>
      <c r="I127" s="856"/>
      <c r="J127" s="856"/>
      <c r="K127" s="856"/>
      <c r="L127" s="857"/>
      <c r="M127" s="857"/>
      <c r="N127" s="857"/>
      <c r="O127" s="871">
        <f t="shared" si="26"/>
        <v>153.70192307692309</v>
      </c>
      <c r="P127" s="830">
        <f t="shared" si="27"/>
        <v>133.65384615384616</v>
      </c>
      <c r="Q127" s="830">
        <f t="shared" si="28"/>
        <v>20.048076923076923</v>
      </c>
      <c r="R127" s="873">
        <f>NC_DKDD!G610</f>
        <v>2.5000000000000001E-2</v>
      </c>
      <c r="S127" s="859"/>
      <c r="T127" s="859"/>
      <c r="U127" s="859"/>
      <c r="V127" s="859"/>
      <c r="W127" s="859"/>
      <c r="X127" s="859"/>
      <c r="Y127" s="859"/>
      <c r="Z127" s="859"/>
      <c r="AA127" s="859"/>
      <c r="AB127" s="859"/>
      <c r="AC127" s="859"/>
      <c r="AD127" s="859"/>
      <c r="AE127" s="859"/>
      <c r="AF127" s="859"/>
      <c r="AG127" s="859"/>
      <c r="AH127" s="859"/>
      <c r="AI127" s="859"/>
      <c r="AJ127" s="859"/>
      <c r="AK127" s="859"/>
      <c r="AL127" s="859"/>
      <c r="AM127" s="859"/>
    </row>
    <row r="128" spans="1:39" s="860" customFormat="1" ht="28.5">
      <c r="A128" s="798">
        <v>2</v>
      </c>
      <c r="B128" s="799" t="s">
        <v>797</v>
      </c>
      <c r="C128" s="798" t="s">
        <v>532</v>
      </c>
      <c r="D128" s="792" t="s">
        <v>722</v>
      </c>
      <c r="E128" s="856" t="e">
        <f>NC_DKDD!H611</f>
        <v>#VALUE!</v>
      </c>
      <c r="F128" s="856"/>
      <c r="G128" s="795"/>
      <c r="H128" s="856"/>
      <c r="I128" s="856"/>
      <c r="J128" s="856"/>
      <c r="K128" s="856"/>
      <c r="L128" s="857"/>
      <c r="M128" s="857"/>
      <c r="N128" s="857"/>
      <c r="O128" s="871">
        <f t="shared" si="26"/>
        <v>307.40384615384619</v>
      </c>
      <c r="P128" s="830">
        <f t="shared" si="27"/>
        <v>267.30769230769232</v>
      </c>
      <c r="Q128" s="830">
        <f t="shared" si="28"/>
        <v>40.096153846153847</v>
      </c>
      <c r="R128" s="873">
        <f>NC_DKDD!G611</f>
        <v>0.05</v>
      </c>
      <c r="S128" s="859"/>
      <c r="T128" s="859"/>
      <c r="U128" s="859"/>
      <c r="V128" s="859"/>
      <c r="W128" s="859"/>
      <c r="X128" s="859"/>
      <c r="Y128" s="859"/>
      <c r="Z128" s="859"/>
      <c r="AA128" s="859"/>
      <c r="AB128" s="859"/>
      <c r="AC128" s="859"/>
      <c r="AD128" s="859"/>
      <c r="AE128" s="859"/>
      <c r="AF128" s="859"/>
      <c r="AG128" s="859"/>
      <c r="AH128" s="859"/>
      <c r="AI128" s="859"/>
      <c r="AJ128" s="859"/>
      <c r="AK128" s="859"/>
      <c r="AL128" s="859"/>
      <c r="AM128" s="859"/>
    </row>
    <row r="129" spans="1:39" s="860" customFormat="1" ht="28.5">
      <c r="A129" s="798">
        <v>3</v>
      </c>
      <c r="B129" s="799" t="s">
        <v>851</v>
      </c>
      <c r="C129" s="798" t="s">
        <v>375</v>
      </c>
      <c r="D129" s="792" t="s">
        <v>722</v>
      </c>
      <c r="E129" s="856" t="e">
        <f>NC_DKDD!H612</f>
        <v>#VALUE!</v>
      </c>
      <c r="F129" s="856"/>
      <c r="G129" s="795"/>
      <c r="H129" s="856"/>
      <c r="I129" s="856"/>
      <c r="J129" s="856"/>
      <c r="K129" s="856"/>
      <c r="L129" s="857"/>
      <c r="M129" s="857"/>
      <c r="N129" s="857"/>
      <c r="O129" s="871">
        <f t="shared" si="26"/>
        <v>657.84423076923065</v>
      </c>
      <c r="P129" s="830">
        <f t="shared" si="27"/>
        <v>572.03846153846143</v>
      </c>
      <c r="Q129" s="830">
        <f t="shared" si="28"/>
        <v>85.805769230769229</v>
      </c>
      <c r="R129" s="873">
        <f>NC_DKDD!G612</f>
        <v>0.107</v>
      </c>
      <c r="S129" s="859"/>
      <c r="T129" s="859"/>
      <c r="U129" s="859"/>
      <c r="V129" s="859"/>
      <c r="W129" s="859"/>
      <c r="X129" s="859"/>
      <c r="Y129" s="859"/>
      <c r="Z129" s="859"/>
      <c r="AA129" s="859"/>
      <c r="AB129" s="859"/>
      <c r="AC129" s="859"/>
      <c r="AD129" s="859"/>
      <c r="AE129" s="859"/>
      <c r="AF129" s="859"/>
      <c r="AG129" s="859"/>
      <c r="AH129" s="859"/>
      <c r="AI129" s="859"/>
      <c r="AJ129" s="859"/>
      <c r="AK129" s="859"/>
      <c r="AL129" s="859"/>
      <c r="AM129" s="859"/>
    </row>
    <row r="130" spans="1:39" s="860" customFormat="1" ht="32.450000000000003" customHeight="1">
      <c r="A130" s="1084">
        <v>4</v>
      </c>
      <c r="B130" s="1096" t="s">
        <v>102</v>
      </c>
      <c r="C130" s="1084" t="s">
        <v>532</v>
      </c>
      <c r="D130" s="798">
        <v>2</v>
      </c>
      <c r="E130" s="856" t="e">
        <f>NC_DKDD!H613</f>
        <v>#VALUE!</v>
      </c>
      <c r="F130" s="856">
        <f>NC_DKDD!H614</f>
        <v>22050</v>
      </c>
      <c r="G130" s="795"/>
      <c r="H130" s="856"/>
      <c r="I130" s="856"/>
      <c r="J130" s="856"/>
      <c r="K130" s="856"/>
      <c r="L130" s="857"/>
      <c r="M130" s="857"/>
      <c r="N130" s="857"/>
      <c r="O130" s="871">
        <f t="shared" si="26"/>
        <v>1844.4230769230767</v>
      </c>
      <c r="P130" s="830">
        <f t="shared" si="27"/>
        <v>1603.8461538461536</v>
      </c>
      <c r="Q130" s="830">
        <f t="shared" si="28"/>
        <v>240.57692307692307</v>
      </c>
      <c r="R130" s="873">
        <f>NC_DKDD!G613</f>
        <v>0.3</v>
      </c>
      <c r="S130" s="859"/>
      <c r="T130" s="859"/>
      <c r="U130" s="859"/>
      <c r="V130" s="859"/>
      <c r="W130" s="859"/>
      <c r="X130" s="859"/>
      <c r="Y130" s="859"/>
      <c r="Z130" s="859"/>
      <c r="AA130" s="859"/>
      <c r="AB130" s="859"/>
      <c r="AC130" s="859"/>
      <c r="AD130" s="859"/>
      <c r="AE130" s="859"/>
      <c r="AF130" s="859"/>
      <c r="AG130" s="859"/>
      <c r="AH130" s="859"/>
      <c r="AI130" s="859"/>
      <c r="AJ130" s="859"/>
      <c r="AK130" s="859"/>
      <c r="AL130" s="859"/>
      <c r="AM130" s="859"/>
    </row>
    <row r="131" spans="1:39" s="860" customFormat="1" ht="32.450000000000003" customHeight="1">
      <c r="A131" s="1137"/>
      <c r="B131" s="1138"/>
      <c r="C131" s="1084"/>
      <c r="D131" s="798">
        <v>3</v>
      </c>
      <c r="E131" s="856" t="e">
        <f>NC_DKDD!H615</f>
        <v>#VALUE!</v>
      </c>
      <c r="F131" s="856">
        <f>NC_DKDD!H616</f>
        <v>26460</v>
      </c>
      <c r="G131" s="795"/>
      <c r="H131" s="856"/>
      <c r="I131" s="856"/>
      <c r="J131" s="856"/>
      <c r="K131" s="856"/>
      <c r="L131" s="857"/>
      <c r="M131" s="857"/>
      <c r="N131" s="857"/>
      <c r="O131" s="871">
        <f t="shared" si="26"/>
        <v>2213.3076923076919</v>
      </c>
      <c r="P131" s="830">
        <f t="shared" si="27"/>
        <v>1924.6153846153843</v>
      </c>
      <c r="Q131" s="830">
        <f t="shared" si="28"/>
        <v>288.69230769230768</v>
      </c>
      <c r="R131" s="873">
        <f>NC_DKDD!G615</f>
        <v>0.36</v>
      </c>
      <c r="S131" s="859"/>
      <c r="T131" s="859"/>
      <c r="U131" s="859"/>
      <c r="V131" s="859"/>
      <c r="W131" s="859"/>
      <c r="X131" s="859"/>
      <c r="Y131" s="859"/>
      <c r="Z131" s="859"/>
      <c r="AA131" s="859"/>
      <c r="AB131" s="859"/>
      <c r="AC131" s="859"/>
      <c r="AD131" s="859"/>
      <c r="AE131" s="859"/>
      <c r="AF131" s="859"/>
      <c r="AG131" s="859"/>
      <c r="AH131" s="859"/>
      <c r="AI131" s="859"/>
      <c r="AJ131" s="859"/>
      <c r="AK131" s="859"/>
      <c r="AL131" s="859"/>
      <c r="AM131" s="859"/>
    </row>
    <row r="132" spans="1:39" s="860" customFormat="1" ht="32.450000000000003" customHeight="1">
      <c r="A132" s="1137"/>
      <c r="B132" s="1138"/>
      <c r="C132" s="1084"/>
      <c r="D132" s="798">
        <v>4</v>
      </c>
      <c r="E132" s="856" t="e">
        <f>NC_DKDD!H617</f>
        <v>#VALUE!</v>
      </c>
      <c r="F132" s="856">
        <f>NC_DKDD!H618</f>
        <v>31752</v>
      </c>
      <c r="G132" s="795"/>
      <c r="H132" s="856"/>
      <c r="I132" s="856"/>
      <c r="J132" s="856"/>
      <c r="K132" s="856"/>
      <c r="L132" s="857"/>
      <c r="M132" s="857"/>
      <c r="N132" s="857"/>
      <c r="O132" s="871">
        <f t="shared" si="26"/>
        <v>2655.9692307692308</v>
      </c>
      <c r="P132" s="830">
        <f t="shared" si="27"/>
        <v>2309.5384615384614</v>
      </c>
      <c r="Q132" s="830">
        <f t="shared" si="28"/>
        <v>346.43076923076922</v>
      </c>
      <c r="R132" s="873">
        <f>NC_DKDD!G617</f>
        <v>0.432</v>
      </c>
      <c r="S132" s="859"/>
      <c r="T132" s="859"/>
      <c r="U132" s="859"/>
      <c r="V132" s="859"/>
      <c r="W132" s="859"/>
      <c r="X132" s="859"/>
      <c r="Y132" s="859"/>
      <c r="Z132" s="859"/>
      <c r="AA132" s="859"/>
      <c r="AB132" s="859"/>
      <c r="AC132" s="859"/>
      <c r="AD132" s="859"/>
      <c r="AE132" s="859"/>
      <c r="AF132" s="859"/>
      <c r="AG132" s="859"/>
      <c r="AH132" s="859"/>
      <c r="AI132" s="859"/>
      <c r="AJ132" s="859"/>
      <c r="AK132" s="859"/>
      <c r="AL132" s="859"/>
      <c r="AM132" s="859"/>
    </row>
    <row r="133" spans="1:39" s="860" customFormat="1" ht="32.450000000000003" customHeight="1">
      <c r="A133" s="1137"/>
      <c r="B133" s="1138"/>
      <c r="C133" s="1084"/>
      <c r="D133" s="798">
        <v>5</v>
      </c>
      <c r="E133" s="856" t="e">
        <f>NC_DKDD!H619</f>
        <v>#VALUE!</v>
      </c>
      <c r="F133" s="856">
        <f>NC_DKDD!H620</f>
        <v>38073</v>
      </c>
      <c r="G133" s="795"/>
      <c r="H133" s="856"/>
      <c r="I133" s="856"/>
      <c r="J133" s="856"/>
      <c r="K133" s="856"/>
      <c r="L133" s="857"/>
      <c r="M133" s="857"/>
      <c r="N133" s="857"/>
      <c r="O133" s="871">
        <f t="shared" si="26"/>
        <v>3184.7038461538464</v>
      </c>
      <c r="P133" s="830">
        <f t="shared" si="27"/>
        <v>2769.3076923076924</v>
      </c>
      <c r="Q133" s="830">
        <f t="shared" si="28"/>
        <v>415.39615384615382</v>
      </c>
      <c r="R133" s="873">
        <f>NC_DKDD!G619</f>
        <v>0.51800000000000002</v>
      </c>
      <c r="S133" s="859"/>
      <c r="T133" s="859"/>
      <c r="U133" s="859"/>
      <c r="V133" s="859"/>
      <c r="W133" s="859"/>
      <c r="X133" s="859"/>
      <c r="Y133" s="859"/>
      <c r="Z133" s="859"/>
      <c r="AA133" s="859"/>
      <c r="AB133" s="859"/>
      <c r="AC133" s="859"/>
      <c r="AD133" s="859"/>
      <c r="AE133" s="859"/>
      <c r="AF133" s="859"/>
      <c r="AG133" s="859"/>
      <c r="AH133" s="859"/>
      <c r="AI133" s="859"/>
      <c r="AJ133" s="859"/>
      <c r="AK133" s="859"/>
      <c r="AL133" s="859"/>
      <c r="AM133" s="859"/>
    </row>
    <row r="134" spans="1:39" s="860" customFormat="1" ht="32.450000000000003" customHeight="1">
      <c r="A134" s="798">
        <v>5</v>
      </c>
      <c r="B134" s="799" t="s">
        <v>167</v>
      </c>
      <c r="C134" s="798"/>
      <c r="D134" s="798"/>
      <c r="E134" s="856"/>
      <c r="F134" s="856"/>
      <c r="G134" s="795"/>
      <c r="H134" s="856"/>
      <c r="I134" s="856"/>
      <c r="J134" s="856"/>
      <c r="K134" s="856"/>
      <c r="L134" s="857"/>
      <c r="M134" s="857"/>
      <c r="N134" s="857"/>
      <c r="O134" s="871">
        <f t="shared" si="26"/>
        <v>0</v>
      </c>
      <c r="P134" s="830">
        <f t="shared" si="27"/>
        <v>0</v>
      </c>
      <c r="Q134" s="830">
        <f t="shared" si="28"/>
        <v>0</v>
      </c>
      <c r="R134" s="872"/>
      <c r="S134" s="859"/>
      <c r="T134" s="859"/>
      <c r="U134" s="859"/>
      <c r="V134" s="859"/>
      <c r="W134" s="859"/>
      <c r="X134" s="859"/>
      <c r="Y134" s="859"/>
      <c r="Z134" s="859"/>
      <c r="AA134" s="859"/>
      <c r="AB134" s="859"/>
      <c r="AC134" s="859"/>
      <c r="AD134" s="859"/>
      <c r="AE134" s="859"/>
      <c r="AF134" s="859"/>
      <c r="AG134" s="859"/>
      <c r="AH134" s="859"/>
      <c r="AI134" s="859"/>
      <c r="AJ134" s="859"/>
      <c r="AK134" s="859"/>
      <c r="AL134" s="859"/>
      <c r="AM134" s="859"/>
    </row>
    <row r="135" spans="1:39" s="860" customFormat="1" ht="32.450000000000003" customHeight="1">
      <c r="A135" s="798" t="s">
        <v>461</v>
      </c>
      <c r="B135" s="799" t="s">
        <v>846</v>
      </c>
      <c r="C135" s="798" t="s">
        <v>532</v>
      </c>
      <c r="D135" s="792" t="s">
        <v>722</v>
      </c>
      <c r="E135" s="856" t="e">
        <f>NC_DKDD!H622</f>
        <v>#VALUE!</v>
      </c>
      <c r="F135" s="856"/>
      <c r="G135" s="795"/>
      <c r="H135" s="856"/>
      <c r="I135" s="856"/>
      <c r="J135" s="856"/>
      <c r="K135" s="856"/>
      <c r="L135" s="857"/>
      <c r="M135" s="857"/>
      <c r="N135" s="857"/>
      <c r="O135" s="871">
        <f t="shared" si="26"/>
        <v>92.22115384615384</v>
      </c>
      <c r="P135" s="830">
        <f t="shared" si="27"/>
        <v>80.192307692307679</v>
      </c>
      <c r="Q135" s="830">
        <f t="shared" si="28"/>
        <v>12.028846153846153</v>
      </c>
      <c r="R135" s="873">
        <f>NC_DKDD!G622</f>
        <v>1.4999999999999999E-2</v>
      </c>
      <c r="S135" s="859"/>
      <c r="T135" s="859"/>
      <c r="U135" s="859"/>
      <c r="V135" s="859"/>
      <c r="W135" s="859"/>
      <c r="X135" s="859"/>
      <c r="Y135" s="859"/>
      <c r="Z135" s="859"/>
      <c r="AA135" s="859"/>
      <c r="AB135" s="859"/>
      <c r="AC135" s="859"/>
      <c r="AD135" s="859"/>
      <c r="AE135" s="859"/>
      <c r="AF135" s="859"/>
      <c r="AG135" s="859"/>
      <c r="AH135" s="859"/>
      <c r="AI135" s="859"/>
      <c r="AJ135" s="859"/>
      <c r="AK135" s="859"/>
      <c r="AL135" s="859"/>
      <c r="AM135" s="859"/>
    </row>
    <row r="136" spans="1:39" s="860" customFormat="1" ht="32.450000000000003" customHeight="1">
      <c r="A136" s="798" t="s">
        <v>462</v>
      </c>
      <c r="B136" s="799" t="s">
        <v>849</v>
      </c>
      <c r="C136" s="798" t="s">
        <v>532</v>
      </c>
      <c r="D136" s="792" t="s">
        <v>722</v>
      </c>
      <c r="E136" s="856" t="e">
        <f>NC_DKDD!H623</f>
        <v>#VALUE!</v>
      </c>
      <c r="F136" s="856"/>
      <c r="G136" s="795"/>
      <c r="H136" s="856"/>
      <c r="I136" s="856"/>
      <c r="J136" s="856"/>
      <c r="K136" s="856"/>
      <c r="L136" s="857"/>
      <c r="M136" s="857"/>
      <c r="N136" s="857"/>
      <c r="O136" s="871">
        <f t="shared" si="26"/>
        <v>61.480769230769226</v>
      </c>
      <c r="P136" s="830">
        <f t="shared" si="27"/>
        <v>53.46153846153846</v>
      </c>
      <c r="Q136" s="830">
        <f t="shared" si="28"/>
        <v>8.0192307692307701</v>
      </c>
      <c r="R136" s="873">
        <f>NC_DKDD!G623</f>
        <v>0.01</v>
      </c>
      <c r="S136" s="859"/>
      <c r="T136" s="859"/>
      <c r="U136" s="859"/>
      <c r="V136" s="859"/>
      <c r="W136" s="859"/>
      <c r="X136" s="859"/>
      <c r="Y136" s="859"/>
      <c r="Z136" s="859"/>
      <c r="AA136" s="859"/>
      <c r="AB136" s="859"/>
      <c r="AC136" s="859"/>
      <c r="AD136" s="859"/>
      <c r="AE136" s="859"/>
      <c r="AF136" s="859"/>
      <c r="AG136" s="859"/>
      <c r="AH136" s="859"/>
      <c r="AI136" s="859"/>
      <c r="AJ136" s="859"/>
      <c r="AK136" s="859"/>
      <c r="AL136" s="859"/>
      <c r="AM136" s="859"/>
    </row>
    <row r="137" spans="1:39" s="860" customFormat="1" ht="28.5">
      <c r="A137" s="798">
        <v>6</v>
      </c>
      <c r="B137" s="799" t="s">
        <v>103</v>
      </c>
      <c r="C137" s="798"/>
      <c r="D137" s="798"/>
      <c r="E137" s="856">
        <f>NC_DKDD!H624</f>
        <v>0</v>
      </c>
      <c r="F137" s="856"/>
      <c r="G137" s="795"/>
      <c r="H137" s="856"/>
      <c r="I137" s="856"/>
      <c r="J137" s="856"/>
      <c r="K137" s="856"/>
      <c r="L137" s="857"/>
      <c r="M137" s="857"/>
      <c r="N137" s="857"/>
      <c r="O137" s="871">
        <f t="shared" si="26"/>
        <v>0</v>
      </c>
      <c r="P137" s="830">
        <f t="shared" si="27"/>
        <v>0</v>
      </c>
      <c r="Q137" s="830">
        <f t="shared" si="28"/>
        <v>0</v>
      </c>
      <c r="R137" s="873">
        <f>NC_DKDD!G624</f>
        <v>0</v>
      </c>
      <c r="S137" s="859"/>
      <c r="T137" s="859"/>
      <c r="U137" s="859"/>
      <c r="V137" s="859"/>
      <c r="W137" s="859"/>
      <c r="X137" s="859"/>
      <c r="Y137" s="859"/>
      <c r="Z137" s="859"/>
      <c r="AA137" s="859"/>
      <c r="AB137" s="859"/>
      <c r="AC137" s="859"/>
      <c r="AD137" s="859"/>
      <c r="AE137" s="859"/>
      <c r="AF137" s="859"/>
      <c r="AG137" s="859"/>
      <c r="AH137" s="859"/>
      <c r="AI137" s="859"/>
      <c r="AJ137" s="859"/>
      <c r="AK137" s="859"/>
      <c r="AL137" s="859"/>
      <c r="AM137" s="859"/>
    </row>
    <row r="138" spans="1:39" s="860" customFormat="1" ht="32.450000000000003" customHeight="1">
      <c r="A138" s="798" t="s">
        <v>661</v>
      </c>
      <c r="B138" s="799" t="s">
        <v>846</v>
      </c>
      <c r="C138" s="798" t="s">
        <v>532</v>
      </c>
      <c r="D138" s="792" t="s">
        <v>722</v>
      </c>
      <c r="E138" s="856" t="e">
        <f>NC_DKDD!H625</f>
        <v>#VALUE!</v>
      </c>
      <c r="F138" s="856"/>
      <c r="G138" s="795"/>
      <c r="H138" s="856"/>
      <c r="I138" s="856"/>
      <c r="J138" s="856"/>
      <c r="K138" s="856"/>
      <c r="L138" s="857"/>
      <c r="M138" s="857"/>
      <c r="N138" s="857"/>
      <c r="O138" s="871">
        <f t="shared" si="26"/>
        <v>307.40384615384619</v>
      </c>
      <c r="P138" s="830">
        <f t="shared" si="27"/>
        <v>267.30769230769232</v>
      </c>
      <c r="Q138" s="830">
        <f t="shared" si="28"/>
        <v>40.096153846153847</v>
      </c>
      <c r="R138" s="873">
        <f>NC_DKDD!G625</f>
        <v>0.05</v>
      </c>
      <c r="S138" s="859"/>
      <c r="T138" s="859"/>
      <c r="U138" s="859"/>
      <c r="V138" s="859"/>
      <c r="W138" s="859"/>
      <c r="X138" s="859"/>
      <c r="Y138" s="859"/>
      <c r="Z138" s="859"/>
      <c r="AA138" s="859"/>
      <c r="AB138" s="859"/>
      <c r="AC138" s="859"/>
      <c r="AD138" s="859"/>
      <c r="AE138" s="859"/>
      <c r="AF138" s="859"/>
      <c r="AG138" s="859"/>
      <c r="AH138" s="859"/>
      <c r="AI138" s="859"/>
      <c r="AJ138" s="859"/>
      <c r="AK138" s="859"/>
      <c r="AL138" s="859"/>
      <c r="AM138" s="859"/>
    </row>
    <row r="139" spans="1:39" s="860" customFormat="1" ht="32.450000000000003" customHeight="1">
      <c r="A139" s="798" t="s">
        <v>662</v>
      </c>
      <c r="B139" s="799" t="s">
        <v>849</v>
      </c>
      <c r="C139" s="798" t="s">
        <v>532</v>
      </c>
      <c r="D139" s="792" t="s">
        <v>722</v>
      </c>
      <c r="E139" s="856" t="e">
        <f>NC_DKDD!H626</f>
        <v>#VALUE!</v>
      </c>
      <c r="F139" s="856"/>
      <c r="G139" s="795"/>
      <c r="H139" s="856"/>
      <c r="I139" s="856"/>
      <c r="J139" s="856"/>
      <c r="K139" s="856"/>
      <c r="L139" s="857"/>
      <c r="M139" s="857"/>
      <c r="N139" s="857"/>
      <c r="O139" s="871">
        <f t="shared" si="26"/>
        <v>245.92307692307691</v>
      </c>
      <c r="P139" s="830">
        <f t="shared" si="27"/>
        <v>213.84615384615384</v>
      </c>
      <c r="Q139" s="830">
        <f t="shared" si="28"/>
        <v>32.07692307692308</v>
      </c>
      <c r="R139" s="873">
        <f>NC_DKDD!G626</f>
        <v>0.04</v>
      </c>
      <c r="S139" s="859"/>
      <c r="T139" s="859"/>
      <c r="U139" s="859"/>
      <c r="V139" s="859"/>
      <c r="W139" s="859"/>
      <c r="X139" s="859"/>
      <c r="Y139" s="859"/>
      <c r="Z139" s="859"/>
      <c r="AA139" s="859"/>
      <c r="AB139" s="859"/>
      <c r="AC139" s="859"/>
      <c r="AD139" s="859"/>
      <c r="AE139" s="859"/>
      <c r="AF139" s="859"/>
      <c r="AG139" s="859"/>
      <c r="AH139" s="859"/>
      <c r="AI139" s="859"/>
      <c r="AJ139" s="859"/>
      <c r="AK139" s="859"/>
      <c r="AL139" s="859"/>
      <c r="AM139" s="859"/>
    </row>
    <row r="140" spans="1:39" s="860" customFormat="1" ht="32.450000000000003" customHeight="1">
      <c r="A140" s="798">
        <v>7</v>
      </c>
      <c r="B140" s="799" t="s">
        <v>793</v>
      </c>
      <c r="C140" s="798" t="s">
        <v>375</v>
      </c>
      <c r="D140" s="792" t="s">
        <v>722</v>
      </c>
      <c r="E140" s="856" t="e">
        <f>NC_DKDD!H627</f>
        <v>#VALUE!</v>
      </c>
      <c r="F140" s="856"/>
      <c r="G140" s="795"/>
      <c r="H140" s="856"/>
      <c r="I140" s="856"/>
      <c r="J140" s="856"/>
      <c r="K140" s="856"/>
      <c r="L140" s="857"/>
      <c r="M140" s="857"/>
      <c r="N140" s="857"/>
      <c r="O140" s="871">
        <f t="shared" si="26"/>
        <v>18.444230769230767</v>
      </c>
      <c r="P140" s="830">
        <f t="shared" si="27"/>
        <v>16.038461538461537</v>
      </c>
      <c r="Q140" s="830">
        <f t="shared" si="28"/>
        <v>2.4057692307692307</v>
      </c>
      <c r="R140" s="873">
        <f>NC_DKDD!G627</f>
        <v>3.0000000000000001E-3</v>
      </c>
      <c r="S140" s="859"/>
      <c r="T140" s="859"/>
      <c r="U140" s="859"/>
      <c r="V140" s="859"/>
      <c r="W140" s="859"/>
      <c r="X140" s="859"/>
      <c r="Y140" s="859"/>
      <c r="Z140" s="859"/>
      <c r="AA140" s="859"/>
      <c r="AB140" s="859"/>
      <c r="AC140" s="859"/>
      <c r="AD140" s="859"/>
      <c r="AE140" s="859"/>
      <c r="AF140" s="859"/>
      <c r="AG140" s="859"/>
      <c r="AH140" s="859"/>
      <c r="AI140" s="859"/>
      <c r="AJ140" s="859"/>
      <c r="AK140" s="859"/>
      <c r="AL140" s="859"/>
      <c r="AM140" s="859"/>
    </row>
    <row r="141" spans="1:39" s="860" customFormat="1" ht="32.450000000000003" customHeight="1">
      <c r="A141" s="798">
        <v>8</v>
      </c>
      <c r="B141" s="799" t="s">
        <v>508</v>
      </c>
      <c r="C141" s="798"/>
      <c r="D141" s="798"/>
      <c r="E141" s="856">
        <f>NC_DKDD!H628</f>
        <v>0</v>
      </c>
      <c r="F141" s="856"/>
      <c r="G141" s="795"/>
      <c r="H141" s="856"/>
      <c r="I141" s="856"/>
      <c r="J141" s="856"/>
      <c r="K141" s="856"/>
      <c r="L141" s="857"/>
      <c r="M141" s="857"/>
      <c r="N141" s="857"/>
      <c r="O141" s="871">
        <f t="shared" si="26"/>
        <v>0</v>
      </c>
      <c r="P141" s="830">
        <f t="shared" si="27"/>
        <v>0</v>
      </c>
      <c r="Q141" s="830">
        <f t="shared" si="28"/>
        <v>0</v>
      </c>
      <c r="R141" s="873">
        <f>NC_DKDD!G628</f>
        <v>0</v>
      </c>
      <c r="S141" s="859"/>
      <c r="T141" s="859"/>
      <c r="U141" s="859"/>
      <c r="V141" s="859"/>
      <c r="W141" s="859"/>
      <c r="X141" s="859"/>
      <c r="Y141" s="859"/>
      <c r="Z141" s="859"/>
      <c r="AA141" s="859"/>
      <c r="AB141" s="859"/>
      <c r="AC141" s="859"/>
      <c r="AD141" s="859"/>
      <c r="AE141" s="859"/>
      <c r="AF141" s="859"/>
      <c r="AG141" s="859"/>
      <c r="AH141" s="859"/>
      <c r="AI141" s="859"/>
      <c r="AJ141" s="859"/>
      <c r="AK141" s="859"/>
      <c r="AL141" s="859"/>
      <c r="AM141" s="859"/>
    </row>
    <row r="142" spans="1:39" s="860" customFormat="1" ht="32.450000000000003" customHeight="1">
      <c r="A142" s="798" t="s">
        <v>191</v>
      </c>
      <c r="B142" s="799" t="s">
        <v>846</v>
      </c>
      <c r="C142" s="798" t="s">
        <v>532</v>
      </c>
      <c r="D142" s="792" t="s">
        <v>722</v>
      </c>
      <c r="E142" s="856" t="e">
        <f>NC_DKDD!H629</f>
        <v>#VALUE!</v>
      </c>
      <c r="F142" s="856"/>
      <c r="G142" s="795"/>
      <c r="H142" s="856"/>
      <c r="I142" s="856"/>
      <c r="J142" s="856"/>
      <c r="K142" s="856"/>
      <c r="L142" s="857"/>
      <c r="M142" s="857"/>
      <c r="N142" s="857"/>
      <c r="O142" s="871">
        <f t="shared" si="26"/>
        <v>30.740384615384613</v>
      </c>
      <c r="P142" s="830">
        <f t="shared" si="27"/>
        <v>26.73076923076923</v>
      </c>
      <c r="Q142" s="830">
        <f t="shared" si="28"/>
        <v>4.009615384615385</v>
      </c>
      <c r="R142" s="873">
        <f>NC_DKDD!G629</f>
        <v>5.0000000000000001E-3</v>
      </c>
      <c r="S142" s="859"/>
      <c r="T142" s="859"/>
      <c r="U142" s="859"/>
      <c r="V142" s="859"/>
      <c r="W142" s="859"/>
      <c r="X142" s="859"/>
      <c r="Y142" s="859"/>
      <c r="Z142" s="859"/>
      <c r="AA142" s="859"/>
      <c r="AB142" s="859"/>
      <c r="AC142" s="859"/>
      <c r="AD142" s="859"/>
      <c r="AE142" s="859"/>
      <c r="AF142" s="859"/>
      <c r="AG142" s="859"/>
      <c r="AH142" s="859"/>
      <c r="AI142" s="859"/>
      <c r="AJ142" s="859"/>
      <c r="AK142" s="859"/>
      <c r="AL142" s="859"/>
      <c r="AM142" s="859"/>
    </row>
    <row r="143" spans="1:39" s="860" customFormat="1" ht="32.450000000000003" customHeight="1">
      <c r="A143" s="798" t="s">
        <v>192</v>
      </c>
      <c r="B143" s="799" t="s">
        <v>849</v>
      </c>
      <c r="C143" s="798" t="s">
        <v>532</v>
      </c>
      <c r="D143" s="792" t="s">
        <v>722</v>
      </c>
      <c r="E143" s="856" t="e">
        <f>NC_DKDD!H630</f>
        <v>#VALUE!</v>
      </c>
      <c r="F143" s="856"/>
      <c r="G143" s="795"/>
      <c r="H143" s="856"/>
      <c r="I143" s="856"/>
      <c r="J143" s="856"/>
      <c r="K143" s="856"/>
      <c r="L143" s="857"/>
      <c r="M143" s="857"/>
      <c r="N143" s="857"/>
      <c r="O143" s="871">
        <f t="shared" si="26"/>
        <v>24.592307692307692</v>
      </c>
      <c r="P143" s="830">
        <f t="shared" si="27"/>
        <v>21.384615384615383</v>
      </c>
      <c r="Q143" s="830">
        <f t="shared" si="28"/>
        <v>3.2076923076923078</v>
      </c>
      <c r="R143" s="873">
        <f>NC_DKDD!G630</f>
        <v>4.0000000000000001E-3</v>
      </c>
      <c r="S143" s="859"/>
      <c r="T143" s="859"/>
      <c r="U143" s="859"/>
      <c r="V143" s="859"/>
      <c r="W143" s="859"/>
      <c r="X143" s="859"/>
      <c r="Y143" s="859"/>
      <c r="Z143" s="859"/>
      <c r="AA143" s="859"/>
      <c r="AB143" s="859"/>
      <c r="AC143" s="859"/>
      <c r="AD143" s="859"/>
      <c r="AE143" s="859"/>
      <c r="AF143" s="859"/>
      <c r="AG143" s="859"/>
      <c r="AH143" s="859"/>
      <c r="AI143" s="859"/>
      <c r="AJ143" s="859"/>
      <c r="AK143" s="859"/>
      <c r="AL143" s="859"/>
      <c r="AM143" s="859"/>
    </row>
    <row r="144" spans="1:39" s="860" customFormat="1" ht="42.75">
      <c r="A144" s="798">
        <v>9</v>
      </c>
      <c r="B144" s="799" t="s">
        <v>355</v>
      </c>
      <c r="C144" s="798" t="s">
        <v>532</v>
      </c>
      <c r="D144" s="792" t="s">
        <v>722</v>
      </c>
      <c r="E144" s="856" t="e">
        <f>NC_DKDD!H631</f>
        <v>#VALUE!</v>
      </c>
      <c r="F144" s="856"/>
      <c r="G144" s="795"/>
      <c r="H144" s="856"/>
      <c r="I144" s="856"/>
      <c r="J144" s="856"/>
      <c r="K144" s="856"/>
      <c r="L144" s="857"/>
      <c r="M144" s="857"/>
      <c r="N144" s="857"/>
      <c r="O144" s="871">
        <f t="shared" si="26"/>
        <v>122.96153846153845</v>
      </c>
      <c r="P144" s="830">
        <f t="shared" si="27"/>
        <v>106.92307692307692</v>
      </c>
      <c r="Q144" s="830">
        <f t="shared" si="28"/>
        <v>16.03846153846154</v>
      </c>
      <c r="R144" s="873">
        <f>NC_DKDD!G631</f>
        <v>0.02</v>
      </c>
      <c r="S144" s="859"/>
      <c r="T144" s="859"/>
      <c r="U144" s="859"/>
      <c r="V144" s="859"/>
      <c r="W144" s="859"/>
      <c r="X144" s="859"/>
      <c r="Y144" s="859"/>
      <c r="Z144" s="859"/>
      <c r="AA144" s="859"/>
      <c r="AB144" s="859"/>
      <c r="AC144" s="859"/>
      <c r="AD144" s="859"/>
      <c r="AE144" s="859"/>
      <c r="AF144" s="859"/>
      <c r="AG144" s="859"/>
      <c r="AH144" s="859"/>
      <c r="AI144" s="859"/>
      <c r="AJ144" s="859"/>
      <c r="AK144" s="859"/>
      <c r="AL144" s="859"/>
      <c r="AM144" s="859"/>
    </row>
    <row r="145" spans="1:39" s="860" customFormat="1" ht="48.75" customHeight="1">
      <c r="A145" s="798">
        <v>10</v>
      </c>
      <c r="B145" s="799" t="s">
        <v>581</v>
      </c>
      <c r="C145" s="798" t="s">
        <v>532</v>
      </c>
      <c r="D145" s="792" t="s">
        <v>722</v>
      </c>
      <c r="E145" s="856" t="e">
        <f>NC_DKDD!H632</f>
        <v>#VALUE!</v>
      </c>
      <c r="F145" s="856"/>
      <c r="G145" s="795"/>
      <c r="H145" s="856"/>
      <c r="I145" s="856"/>
      <c r="J145" s="856"/>
      <c r="K145" s="856"/>
      <c r="L145" s="857"/>
      <c r="M145" s="857"/>
      <c r="N145" s="857"/>
      <c r="O145" s="871">
        <f t="shared" si="26"/>
        <v>122.96153846153845</v>
      </c>
      <c r="P145" s="830">
        <f t="shared" si="27"/>
        <v>106.92307692307692</v>
      </c>
      <c r="Q145" s="830">
        <f t="shared" si="28"/>
        <v>16.03846153846154</v>
      </c>
      <c r="R145" s="873">
        <f>NC_DKDD!G632</f>
        <v>0.02</v>
      </c>
      <c r="S145" s="859"/>
      <c r="T145" s="859"/>
      <c r="U145" s="859"/>
      <c r="V145" s="859"/>
      <c r="W145" s="859"/>
      <c r="X145" s="859"/>
      <c r="Y145" s="859"/>
      <c r="Z145" s="859"/>
      <c r="AA145" s="859"/>
      <c r="AB145" s="859"/>
      <c r="AC145" s="859"/>
      <c r="AD145" s="859"/>
      <c r="AE145" s="859"/>
      <c r="AF145" s="859"/>
      <c r="AG145" s="859"/>
      <c r="AH145" s="859"/>
      <c r="AI145" s="859"/>
      <c r="AJ145" s="859"/>
      <c r="AK145" s="859"/>
      <c r="AL145" s="859"/>
      <c r="AM145" s="859"/>
    </row>
    <row r="146" spans="1:39" s="860" customFormat="1" ht="41.25" customHeight="1">
      <c r="A146" s="798" t="s">
        <v>1005</v>
      </c>
      <c r="B146" s="789" t="s">
        <v>582</v>
      </c>
      <c r="C146" s="798"/>
      <c r="D146" s="792"/>
      <c r="E146" s="856"/>
      <c r="F146" s="856"/>
      <c r="G146" s="795"/>
      <c r="H146" s="856"/>
      <c r="I146" s="856"/>
      <c r="J146" s="856"/>
      <c r="K146" s="856"/>
      <c r="L146" s="857"/>
      <c r="M146" s="857"/>
      <c r="N146" s="857"/>
      <c r="O146" s="871"/>
      <c r="P146" s="830"/>
      <c r="Q146" s="830"/>
      <c r="R146" s="874"/>
      <c r="S146" s="859"/>
      <c r="T146" s="859"/>
      <c r="U146" s="859"/>
      <c r="V146" s="859"/>
      <c r="W146" s="859"/>
      <c r="X146" s="859"/>
      <c r="Y146" s="859"/>
      <c r="Z146" s="859"/>
      <c r="AA146" s="859"/>
      <c r="AB146" s="859"/>
      <c r="AC146" s="859"/>
      <c r="AD146" s="859"/>
      <c r="AE146" s="859"/>
      <c r="AF146" s="859"/>
      <c r="AG146" s="859"/>
      <c r="AH146" s="859"/>
      <c r="AI146" s="859"/>
      <c r="AJ146" s="859"/>
      <c r="AK146" s="859"/>
      <c r="AL146" s="859"/>
      <c r="AM146" s="859"/>
    </row>
    <row r="147" spans="1:39" s="860" customFormat="1" ht="32.450000000000003" customHeight="1">
      <c r="A147" s="791" t="s">
        <v>703</v>
      </c>
      <c r="B147" s="787" t="s">
        <v>668</v>
      </c>
      <c r="C147" s="798" t="s">
        <v>532</v>
      </c>
      <c r="D147" s="792" t="s">
        <v>722</v>
      </c>
      <c r="E147" s="875" t="e">
        <f>E150+E152+E153+E155+E159+E161+E163+E164+E166+E168+E170+E171+E172+E175+E176+E177+E178+E179+E180</f>
        <v>#VALUE!</v>
      </c>
      <c r="F147" s="875">
        <f>F150+F152+F153+F155+F159+F161+F163+F164+F166+F168+F170+F171+F172+F175+F176+F177+F178+F179+F180</f>
        <v>0</v>
      </c>
      <c r="G147" s="795"/>
      <c r="H147" s="876">
        <f>'Dcu-DKDD'!J$216/5000</f>
        <v>1.0195120709935896</v>
      </c>
      <c r="I147" s="876">
        <f>'VL-DKDD'!H$223/5000</f>
        <v>5.0401440000000006</v>
      </c>
      <c r="J147" s="876">
        <f>'TB-DKDD'!K$123/5000</f>
        <v>4.825628</v>
      </c>
      <c r="K147" s="876">
        <f>'NL-DKDD'!H$84/5000</f>
        <v>0.32447520000000002</v>
      </c>
      <c r="L147" s="796" t="e">
        <f>SUM(E147:K147)</f>
        <v>#VALUE!</v>
      </c>
      <c r="M147" s="796" t="e">
        <f>L147*'He so chung'!$D$17/100</f>
        <v>#VALUE!</v>
      </c>
      <c r="N147" s="796" t="e">
        <f>L147+M147</f>
        <v>#VALUE!</v>
      </c>
      <c r="O147" s="875">
        <f>O150+O152+O153+O155+O159+O161+O163+O164+O166+O168+O170+O171+O172+O175+O176+O177+O178+O179+O180</f>
        <v>4620.8946153846155</v>
      </c>
      <c r="P147" s="830">
        <f t="shared" si="27"/>
        <v>0</v>
      </c>
      <c r="Q147" s="830">
        <f t="shared" si="28"/>
        <v>0</v>
      </c>
      <c r="R147" s="872"/>
      <c r="S147" s="859"/>
      <c r="T147" s="859"/>
      <c r="U147" s="859"/>
      <c r="V147" s="859"/>
      <c r="W147" s="859"/>
      <c r="X147" s="859"/>
      <c r="Y147" s="859"/>
      <c r="Z147" s="859"/>
      <c r="AA147" s="859"/>
      <c r="AB147" s="859"/>
      <c r="AC147" s="859"/>
      <c r="AD147" s="859"/>
      <c r="AE147" s="859"/>
      <c r="AF147" s="859"/>
      <c r="AG147" s="859"/>
      <c r="AH147" s="859"/>
      <c r="AI147" s="859"/>
      <c r="AJ147" s="859"/>
      <c r="AK147" s="859"/>
      <c r="AL147" s="859"/>
      <c r="AM147" s="859"/>
    </row>
    <row r="148" spans="1:39" s="860" customFormat="1" ht="32.450000000000003" customHeight="1">
      <c r="A148" s="791" t="s">
        <v>1011</v>
      </c>
      <c r="B148" s="787" t="s">
        <v>669</v>
      </c>
      <c r="C148" s="798" t="s">
        <v>532</v>
      </c>
      <c r="D148" s="792" t="s">
        <v>722</v>
      </c>
      <c r="E148" s="875" t="e">
        <f>E151+E152+E153+E155+E158+E162+E163+E164+E166+E168+E170+E171+E172+E175+E176+E177+E178+E179+E180</f>
        <v>#VALUE!</v>
      </c>
      <c r="F148" s="875">
        <f>F151+F152+F153+F155+F158+F162+F163+F164+F166+F168+F170+F171+F172+F175+F176+F177+F178+F179+F180</f>
        <v>0</v>
      </c>
      <c r="G148" s="795"/>
      <c r="H148" s="876">
        <f>H147</f>
        <v>1.0195120709935896</v>
      </c>
      <c r="I148" s="876">
        <f>I147</f>
        <v>5.0401440000000006</v>
      </c>
      <c r="J148" s="876">
        <f>J147</f>
        <v>4.825628</v>
      </c>
      <c r="K148" s="876">
        <f>K147</f>
        <v>0.32447520000000002</v>
      </c>
      <c r="L148" s="796" t="e">
        <f>SUM(E148:K148)</f>
        <v>#VALUE!</v>
      </c>
      <c r="M148" s="796" t="e">
        <f>L148*'He so chung'!$D$17/100</f>
        <v>#VALUE!</v>
      </c>
      <c r="N148" s="796" t="e">
        <f>L148+M148</f>
        <v>#VALUE!</v>
      </c>
      <c r="O148" s="875">
        <f>O151+O152+O153+O155+O158+O162+O163+O164+O166+O168+O170+O171+O172+O175+O176+O177+O178+O179+O180</f>
        <v>4467.1926923076917</v>
      </c>
      <c r="P148" s="830"/>
      <c r="Q148" s="830"/>
      <c r="R148" s="872"/>
      <c r="S148" s="859"/>
      <c r="T148" s="859"/>
      <c r="U148" s="859"/>
      <c r="V148" s="859"/>
      <c r="W148" s="859"/>
      <c r="X148" s="859"/>
      <c r="Y148" s="859"/>
      <c r="Z148" s="859"/>
      <c r="AA148" s="859"/>
      <c r="AB148" s="859"/>
      <c r="AC148" s="859"/>
      <c r="AD148" s="859"/>
      <c r="AE148" s="859"/>
      <c r="AF148" s="859"/>
      <c r="AG148" s="859"/>
      <c r="AH148" s="859"/>
      <c r="AI148" s="859"/>
      <c r="AJ148" s="859"/>
      <c r="AK148" s="859"/>
      <c r="AL148" s="859"/>
      <c r="AM148" s="859"/>
    </row>
    <row r="149" spans="1:39" s="860" customFormat="1" ht="32.450000000000003" customHeight="1">
      <c r="A149" s="798">
        <v>1</v>
      </c>
      <c r="B149" s="799" t="s">
        <v>357</v>
      </c>
      <c r="C149" s="798"/>
      <c r="D149" s="798"/>
      <c r="E149" s="856"/>
      <c r="F149" s="856"/>
      <c r="G149" s="795"/>
      <c r="H149" s="856"/>
      <c r="I149" s="856"/>
      <c r="J149" s="856"/>
      <c r="K149" s="856"/>
      <c r="L149" s="857"/>
      <c r="M149" s="857"/>
      <c r="N149" s="857"/>
      <c r="O149" s="871">
        <f t="shared" si="26"/>
        <v>0</v>
      </c>
      <c r="P149" s="830">
        <f t="shared" si="27"/>
        <v>0</v>
      </c>
      <c r="Q149" s="830">
        <f t="shared" si="28"/>
        <v>0</v>
      </c>
      <c r="R149" s="872"/>
      <c r="S149" s="859"/>
      <c r="T149" s="859"/>
      <c r="U149" s="859"/>
      <c r="V149" s="859"/>
      <c r="W149" s="859"/>
      <c r="X149" s="859"/>
      <c r="Y149" s="859"/>
      <c r="Z149" s="859"/>
      <c r="AA149" s="859"/>
      <c r="AB149" s="859"/>
      <c r="AC149" s="859"/>
      <c r="AD149" s="859"/>
      <c r="AE149" s="859"/>
      <c r="AF149" s="859"/>
      <c r="AG149" s="859"/>
      <c r="AH149" s="859"/>
      <c r="AI149" s="859"/>
      <c r="AJ149" s="859"/>
      <c r="AK149" s="859"/>
      <c r="AL149" s="859"/>
      <c r="AM149" s="859"/>
    </row>
    <row r="150" spans="1:39" s="860" customFormat="1" ht="32.450000000000003" customHeight="1">
      <c r="A150" s="798" t="s">
        <v>733</v>
      </c>
      <c r="B150" s="799" t="s">
        <v>846</v>
      </c>
      <c r="C150" s="798" t="s">
        <v>532</v>
      </c>
      <c r="D150" s="792" t="s">
        <v>722</v>
      </c>
      <c r="E150" s="856" t="e">
        <f>NC_DKDD!H635</f>
        <v>#VALUE!</v>
      </c>
      <c r="F150" s="856"/>
      <c r="G150" s="795"/>
      <c r="H150" s="856"/>
      <c r="I150" s="856"/>
      <c r="J150" s="856"/>
      <c r="K150" s="856"/>
      <c r="L150" s="857"/>
      <c r="M150" s="857"/>
      <c r="N150" s="857"/>
      <c r="O150" s="871">
        <f t="shared" si="26"/>
        <v>153.70192307692309</v>
      </c>
      <c r="P150" s="830">
        <f t="shared" si="27"/>
        <v>133.65384615384616</v>
      </c>
      <c r="Q150" s="830">
        <f t="shared" si="28"/>
        <v>20.048076923076923</v>
      </c>
      <c r="R150" s="873">
        <f>NC_DKDD!G635</f>
        <v>2.5000000000000001E-2</v>
      </c>
      <c r="S150" s="859"/>
      <c r="T150" s="859"/>
      <c r="U150" s="859"/>
      <c r="V150" s="859"/>
      <c r="W150" s="859"/>
      <c r="X150" s="859"/>
      <c r="Y150" s="859"/>
      <c r="Z150" s="859"/>
      <c r="AA150" s="859"/>
      <c r="AB150" s="859"/>
      <c r="AC150" s="859"/>
      <c r="AD150" s="859"/>
      <c r="AE150" s="859"/>
      <c r="AF150" s="859"/>
      <c r="AG150" s="859"/>
      <c r="AH150" s="859"/>
      <c r="AI150" s="859"/>
      <c r="AJ150" s="859"/>
      <c r="AK150" s="859"/>
      <c r="AL150" s="859"/>
      <c r="AM150" s="859"/>
    </row>
    <row r="151" spans="1:39" s="860" customFormat="1" ht="32.450000000000003" customHeight="1">
      <c r="A151" s="798" t="s">
        <v>741</v>
      </c>
      <c r="B151" s="799" t="s">
        <v>849</v>
      </c>
      <c r="C151" s="798" t="s">
        <v>532</v>
      </c>
      <c r="D151" s="792" t="s">
        <v>722</v>
      </c>
      <c r="E151" s="856" t="e">
        <f>NC_DKDD!H636</f>
        <v>#VALUE!</v>
      </c>
      <c r="F151" s="856"/>
      <c r="G151" s="795"/>
      <c r="H151" s="856"/>
      <c r="I151" s="856"/>
      <c r="J151" s="856"/>
      <c r="K151" s="856"/>
      <c r="L151" s="857"/>
      <c r="M151" s="857"/>
      <c r="N151" s="857"/>
      <c r="O151" s="871">
        <f t="shared" si="26"/>
        <v>122.96153846153845</v>
      </c>
      <c r="P151" s="830">
        <f t="shared" si="27"/>
        <v>106.92307692307692</v>
      </c>
      <c r="Q151" s="830">
        <f t="shared" si="28"/>
        <v>16.03846153846154</v>
      </c>
      <c r="R151" s="873">
        <f>NC_DKDD!G636</f>
        <v>0.02</v>
      </c>
      <c r="S151" s="859"/>
      <c r="T151" s="859"/>
      <c r="U151" s="859"/>
      <c r="V151" s="859"/>
      <c r="W151" s="859"/>
      <c r="X151" s="859"/>
      <c r="Y151" s="859"/>
      <c r="Z151" s="859"/>
      <c r="AA151" s="859"/>
      <c r="AB151" s="859"/>
      <c r="AC151" s="859"/>
      <c r="AD151" s="859"/>
      <c r="AE151" s="859"/>
      <c r="AF151" s="859"/>
      <c r="AG151" s="859"/>
      <c r="AH151" s="859"/>
      <c r="AI151" s="859"/>
      <c r="AJ151" s="859"/>
      <c r="AK151" s="859"/>
      <c r="AL151" s="859"/>
      <c r="AM151" s="859"/>
    </row>
    <row r="152" spans="1:39" s="860" customFormat="1" ht="32.450000000000003" customHeight="1">
      <c r="A152" s="798">
        <v>2</v>
      </c>
      <c r="B152" s="799" t="s">
        <v>104</v>
      </c>
      <c r="C152" s="798" t="s">
        <v>532</v>
      </c>
      <c r="D152" s="792" t="s">
        <v>722</v>
      </c>
      <c r="E152" s="856" t="e">
        <f>NC_DKDD!H637</f>
        <v>#VALUE!</v>
      </c>
      <c r="F152" s="856"/>
      <c r="G152" s="795"/>
      <c r="H152" s="856"/>
      <c r="I152" s="856"/>
      <c r="J152" s="856"/>
      <c r="K152" s="856"/>
      <c r="L152" s="857"/>
      <c r="M152" s="857"/>
      <c r="N152" s="857"/>
      <c r="O152" s="871">
        <f t="shared" si="26"/>
        <v>614.80769230769238</v>
      </c>
      <c r="P152" s="830">
        <f t="shared" si="27"/>
        <v>534.61538461538464</v>
      </c>
      <c r="Q152" s="830">
        <f t="shared" si="28"/>
        <v>80.192307692307693</v>
      </c>
      <c r="R152" s="873">
        <f>NC_DKDD!G637</f>
        <v>0.1</v>
      </c>
      <c r="S152" s="859"/>
      <c r="T152" s="859"/>
      <c r="U152" s="859"/>
      <c r="V152" s="859"/>
      <c r="W152" s="859"/>
      <c r="X152" s="859"/>
      <c r="Y152" s="859"/>
      <c r="Z152" s="859"/>
      <c r="AA152" s="859"/>
      <c r="AB152" s="859"/>
      <c r="AC152" s="859"/>
      <c r="AD152" s="859"/>
      <c r="AE152" s="859"/>
      <c r="AF152" s="859"/>
      <c r="AG152" s="859"/>
      <c r="AH152" s="859"/>
      <c r="AI152" s="859"/>
      <c r="AJ152" s="859"/>
      <c r="AK152" s="859"/>
      <c r="AL152" s="859"/>
      <c r="AM152" s="859"/>
    </row>
    <row r="153" spans="1:39" s="860" customFormat="1" ht="32.450000000000003" customHeight="1">
      <c r="A153" s="798">
        <v>3</v>
      </c>
      <c r="B153" s="799" t="s">
        <v>2</v>
      </c>
      <c r="C153" s="798" t="s">
        <v>375</v>
      </c>
      <c r="D153" s="792" t="s">
        <v>722</v>
      </c>
      <c r="E153" s="856" t="e">
        <f>NC_DKDD!H638</f>
        <v>#VALUE!</v>
      </c>
      <c r="F153" s="856"/>
      <c r="G153" s="795"/>
      <c r="H153" s="856"/>
      <c r="I153" s="856"/>
      <c r="J153" s="856"/>
      <c r="K153" s="856"/>
      <c r="L153" s="857"/>
      <c r="M153" s="857"/>
      <c r="N153" s="857"/>
      <c r="O153" s="871">
        <f t="shared" si="26"/>
        <v>36.888461538461534</v>
      </c>
      <c r="P153" s="830">
        <f t="shared" si="27"/>
        <v>32.076923076923073</v>
      </c>
      <c r="Q153" s="830">
        <f t="shared" si="28"/>
        <v>4.8115384615384613</v>
      </c>
      <c r="R153" s="873">
        <f>NC_DKDD!G638</f>
        <v>6.0000000000000001E-3</v>
      </c>
      <c r="S153" s="859"/>
      <c r="T153" s="859"/>
      <c r="U153" s="859"/>
      <c r="V153" s="859"/>
      <c r="W153" s="859"/>
      <c r="X153" s="859"/>
      <c r="Y153" s="859"/>
      <c r="Z153" s="859"/>
      <c r="AA153" s="859"/>
      <c r="AB153" s="859"/>
      <c r="AC153" s="859"/>
      <c r="AD153" s="859"/>
      <c r="AE153" s="859"/>
      <c r="AF153" s="859"/>
      <c r="AG153" s="859"/>
      <c r="AH153" s="859"/>
      <c r="AI153" s="859"/>
      <c r="AJ153" s="859"/>
      <c r="AK153" s="859"/>
      <c r="AL153" s="859"/>
      <c r="AM153" s="859"/>
    </row>
    <row r="154" spans="1:39" s="860" customFormat="1" ht="28.5" customHeight="1">
      <c r="A154" s="798">
        <v>4</v>
      </c>
      <c r="B154" s="799" t="s">
        <v>23</v>
      </c>
      <c r="C154" s="798"/>
      <c r="D154" s="798"/>
      <c r="E154" s="856">
        <f>NC_DKDD!H639</f>
        <v>0</v>
      </c>
      <c r="F154" s="856"/>
      <c r="G154" s="795"/>
      <c r="H154" s="856"/>
      <c r="I154" s="856"/>
      <c r="J154" s="856"/>
      <c r="K154" s="856"/>
      <c r="L154" s="857"/>
      <c r="M154" s="857"/>
      <c r="N154" s="857"/>
      <c r="O154" s="871">
        <f t="shared" si="26"/>
        <v>0</v>
      </c>
      <c r="P154" s="830">
        <f t="shared" si="27"/>
        <v>0</v>
      </c>
      <c r="Q154" s="830">
        <f t="shared" si="28"/>
        <v>0</v>
      </c>
      <c r="R154" s="873">
        <f>NC_DKDD!G639</f>
        <v>0</v>
      </c>
      <c r="S154" s="859"/>
      <c r="T154" s="859"/>
      <c r="U154" s="859"/>
      <c r="V154" s="859"/>
      <c r="W154" s="859"/>
      <c r="X154" s="859"/>
      <c r="Y154" s="859"/>
      <c r="Z154" s="859"/>
      <c r="AA154" s="859"/>
      <c r="AB154" s="859"/>
      <c r="AC154" s="859"/>
      <c r="AD154" s="859"/>
      <c r="AE154" s="859"/>
      <c r="AF154" s="859"/>
      <c r="AG154" s="859"/>
      <c r="AH154" s="859"/>
      <c r="AI154" s="859"/>
      <c r="AJ154" s="859"/>
      <c r="AK154" s="859"/>
      <c r="AL154" s="859"/>
      <c r="AM154" s="859"/>
    </row>
    <row r="155" spans="1:39" s="860" customFormat="1" ht="28.5" customHeight="1">
      <c r="A155" s="798" t="s">
        <v>124</v>
      </c>
      <c r="B155" s="799" t="s">
        <v>587</v>
      </c>
      <c r="C155" s="798" t="s">
        <v>532</v>
      </c>
      <c r="D155" s="792" t="s">
        <v>722</v>
      </c>
      <c r="E155" s="856" t="e">
        <f>NC_DKDD!H640</f>
        <v>#VALUE!</v>
      </c>
      <c r="F155" s="856"/>
      <c r="G155" s="795"/>
      <c r="H155" s="856"/>
      <c r="I155" s="856"/>
      <c r="J155" s="856"/>
      <c r="K155" s="856"/>
      <c r="L155" s="857"/>
      <c r="M155" s="857"/>
      <c r="N155" s="857"/>
      <c r="O155" s="871">
        <f t="shared" si="26"/>
        <v>153.70192307692309</v>
      </c>
      <c r="P155" s="830">
        <f t="shared" si="27"/>
        <v>133.65384615384616</v>
      </c>
      <c r="Q155" s="830">
        <f t="shared" si="28"/>
        <v>20.048076923076923</v>
      </c>
      <c r="R155" s="873">
        <f>NC_DKDD!G640</f>
        <v>2.5000000000000001E-2</v>
      </c>
      <c r="S155" s="859"/>
      <c r="T155" s="859"/>
      <c r="U155" s="859"/>
      <c r="V155" s="859"/>
      <c r="W155" s="859"/>
      <c r="X155" s="859"/>
      <c r="Y155" s="859"/>
      <c r="Z155" s="859"/>
      <c r="AA155" s="859"/>
      <c r="AB155" s="859"/>
      <c r="AC155" s="859"/>
      <c r="AD155" s="859"/>
      <c r="AE155" s="859"/>
      <c r="AF155" s="859"/>
      <c r="AG155" s="859"/>
      <c r="AH155" s="859"/>
      <c r="AI155" s="859"/>
      <c r="AJ155" s="859"/>
      <c r="AK155" s="859"/>
      <c r="AL155" s="859"/>
      <c r="AM155" s="859"/>
    </row>
    <row r="156" spans="1:39" s="860" customFormat="1" ht="32.450000000000003" customHeight="1">
      <c r="A156" s="798" t="s">
        <v>125</v>
      </c>
      <c r="B156" s="799" t="s">
        <v>588</v>
      </c>
      <c r="C156" s="798" t="s">
        <v>532</v>
      </c>
      <c r="D156" s="792" t="s">
        <v>722</v>
      </c>
      <c r="E156" s="856" t="e">
        <f>NC_DKDD!H641</f>
        <v>#VALUE!</v>
      </c>
      <c r="F156" s="856"/>
      <c r="G156" s="795"/>
      <c r="H156" s="856"/>
      <c r="I156" s="856"/>
      <c r="J156" s="856"/>
      <c r="K156" s="856"/>
      <c r="L156" s="857"/>
      <c r="M156" s="857"/>
      <c r="N156" s="857"/>
      <c r="O156" s="871">
        <f t="shared" si="26"/>
        <v>307.40384615384619</v>
      </c>
      <c r="P156" s="830">
        <f t="shared" si="27"/>
        <v>267.30769230769232</v>
      </c>
      <c r="Q156" s="830">
        <f t="shared" si="28"/>
        <v>40.096153846153847</v>
      </c>
      <c r="R156" s="873">
        <f>NC_DKDD!G641</f>
        <v>0.05</v>
      </c>
      <c r="S156" s="859"/>
      <c r="T156" s="859"/>
      <c r="U156" s="859"/>
      <c r="V156" s="859"/>
      <c r="W156" s="859"/>
      <c r="X156" s="859"/>
      <c r="Y156" s="859"/>
      <c r="Z156" s="859"/>
      <c r="AA156" s="859"/>
      <c r="AB156" s="859"/>
      <c r="AC156" s="859"/>
      <c r="AD156" s="859"/>
      <c r="AE156" s="859"/>
      <c r="AF156" s="859"/>
      <c r="AG156" s="859"/>
      <c r="AH156" s="859"/>
      <c r="AI156" s="859"/>
      <c r="AJ156" s="859"/>
      <c r="AK156" s="859"/>
      <c r="AL156" s="859"/>
      <c r="AM156" s="859"/>
    </row>
    <row r="157" spans="1:39" s="860" customFormat="1" ht="35.25" customHeight="1">
      <c r="A157" s="798">
        <v>5</v>
      </c>
      <c r="B157" s="799" t="s">
        <v>105</v>
      </c>
      <c r="C157" s="798"/>
      <c r="D157" s="798"/>
      <c r="E157" s="856">
        <f>NC_DKDD!H642</f>
        <v>0</v>
      </c>
      <c r="F157" s="856"/>
      <c r="G157" s="795"/>
      <c r="H157" s="856"/>
      <c r="I157" s="856"/>
      <c r="J157" s="856"/>
      <c r="K157" s="856"/>
      <c r="L157" s="857"/>
      <c r="M157" s="857"/>
      <c r="N157" s="857"/>
      <c r="O157" s="871">
        <f t="shared" si="26"/>
        <v>0</v>
      </c>
      <c r="P157" s="830">
        <f t="shared" si="27"/>
        <v>0</v>
      </c>
      <c r="Q157" s="830">
        <f t="shared" si="28"/>
        <v>0</v>
      </c>
      <c r="R157" s="873">
        <f>NC_DKDD!G642</f>
        <v>0</v>
      </c>
      <c r="S157" s="859"/>
      <c r="T157" s="859"/>
      <c r="U157" s="859"/>
      <c r="V157" s="859"/>
      <c r="W157" s="859"/>
      <c r="X157" s="859"/>
      <c r="Y157" s="859"/>
      <c r="Z157" s="859"/>
      <c r="AA157" s="859"/>
      <c r="AB157" s="859"/>
      <c r="AC157" s="859"/>
      <c r="AD157" s="859"/>
      <c r="AE157" s="859"/>
      <c r="AF157" s="859"/>
      <c r="AG157" s="859"/>
      <c r="AH157" s="859"/>
      <c r="AI157" s="859"/>
      <c r="AJ157" s="859"/>
      <c r="AK157" s="859"/>
      <c r="AL157" s="859"/>
      <c r="AM157" s="859"/>
    </row>
    <row r="158" spans="1:39" s="860" customFormat="1" ht="32.450000000000003" customHeight="1">
      <c r="A158" s="798" t="s">
        <v>461</v>
      </c>
      <c r="B158" s="799" t="s">
        <v>590</v>
      </c>
      <c r="C158" s="798" t="s">
        <v>532</v>
      </c>
      <c r="D158" s="792" t="s">
        <v>722</v>
      </c>
      <c r="E158" s="856" t="e">
        <f>NC_DKDD!H643</f>
        <v>#VALUE!</v>
      </c>
      <c r="F158" s="856"/>
      <c r="G158" s="795"/>
      <c r="H158" s="856"/>
      <c r="I158" s="856"/>
      <c r="J158" s="856"/>
      <c r="K158" s="856"/>
      <c r="L158" s="857"/>
      <c r="M158" s="857"/>
      <c r="N158" s="857"/>
      <c r="O158" s="871">
        <f t="shared" si="26"/>
        <v>184.44230769230768</v>
      </c>
      <c r="P158" s="830">
        <f t="shared" si="27"/>
        <v>160.38461538461536</v>
      </c>
      <c r="Q158" s="830">
        <f t="shared" si="28"/>
        <v>24.057692307692307</v>
      </c>
      <c r="R158" s="873">
        <f>NC_DKDD!G643</f>
        <v>0.03</v>
      </c>
      <c r="S158" s="859"/>
      <c r="T158" s="859"/>
      <c r="U158" s="859"/>
      <c r="V158" s="859"/>
      <c r="W158" s="859"/>
      <c r="X158" s="859"/>
      <c r="Y158" s="859"/>
      <c r="Z158" s="859"/>
      <c r="AA158" s="859"/>
      <c r="AB158" s="859"/>
      <c r="AC158" s="859"/>
      <c r="AD158" s="859"/>
      <c r="AE158" s="859"/>
      <c r="AF158" s="859"/>
      <c r="AG158" s="859"/>
      <c r="AH158" s="859"/>
      <c r="AI158" s="859"/>
      <c r="AJ158" s="859"/>
      <c r="AK158" s="859"/>
      <c r="AL158" s="859"/>
      <c r="AM158" s="859"/>
    </row>
    <row r="159" spans="1:39" s="860" customFormat="1" ht="32.450000000000003" customHeight="1">
      <c r="A159" s="798" t="s">
        <v>462</v>
      </c>
      <c r="B159" s="799" t="s">
        <v>591</v>
      </c>
      <c r="C159" s="798" t="s">
        <v>532</v>
      </c>
      <c r="D159" s="792" t="s">
        <v>722</v>
      </c>
      <c r="E159" s="856" t="e">
        <f>NC_DKDD!H644</f>
        <v>#VALUE!</v>
      </c>
      <c r="F159" s="856"/>
      <c r="G159" s="795"/>
      <c r="H159" s="856"/>
      <c r="I159" s="856"/>
      <c r="J159" s="856"/>
      <c r="K159" s="856"/>
      <c r="L159" s="857"/>
      <c r="M159" s="857"/>
      <c r="N159" s="857"/>
      <c r="O159" s="871">
        <f t="shared" si="26"/>
        <v>245.92307692307691</v>
      </c>
      <c r="P159" s="830">
        <f t="shared" si="27"/>
        <v>213.84615384615384</v>
      </c>
      <c r="Q159" s="830">
        <f t="shared" si="28"/>
        <v>32.07692307692308</v>
      </c>
      <c r="R159" s="873">
        <f>NC_DKDD!G644</f>
        <v>0.04</v>
      </c>
      <c r="S159" s="859"/>
      <c r="T159" s="859"/>
      <c r="U159" s="859"/>
      <c r="V159" s="859"/>
      <c r="W159" s="859"/>
      <c r="X159" s="859"/>
      <c r="Y159" s="859"/>
      <c r="Z159" s="859"/>
      <c r="AA159" s="859"/>
      <c r="AB159" s="859"/>
      <c r="AC159" s="859"/>
      <c r="AD159" s="859"/>
      <c r="AE159" s="859"/>
      <c r="AF159" s="859"/>
      <c r="AG159" s="859"/>
      <c r="AH159" s="859"/>
      <c r="AI159" s="859"/>
      <c r="AJ159" s="859"/>
      <c r="AK159" s="859"/>
      <c r="AL159" s="859"/>
      <c r="AM159" s="859"/>
    </row>
    <row r="160" spans="1:39" s="860" customFormat="1" ht="28.5">
      <c r="A160" s="798">
        <v>6</v>
      </c>
      <c r="B160" s="799" t="s">
        <v>106</v>
      </c>
      <c r="C160" s="798"/>
      <c r="D160" s="798"/>
      <c r="E160" s="856">
        <f>NC_DKDD!H645</f>
        <v>0</v>
      </c>
      <c r="F160" s="856"/>
      <c r="G160" s="795"/>
      <c r="H160" s="856"/>
      <c r="I160" s="856"/>
      <c r="J160" s="856"/>
      <c r="K160" s="856"/>
      <c r="L160" s="857"/>
      <c r="M160" s="857"/>
      <c r="N160" s="857"/>
      <c r="O160" s="871">
        <f t="shared" si="26"/>
        <v>0</v>
      </c>
      <c r="P160" s="830">
        <f t="shared" si="27"/>
        <v>0</v>
      </c>
      <c r="Q160" s="830">
        <f t="shared" si="28"/>
        <v>0</v>
      </c>
      <c r="R160" s="873">
        <f>NC_DKDD!G645</f>
        <v>0</v>
      </c>
      <c r="S160" s="859"/>
      <c r="T160" s="859"/>
      <c r="U160" s="859"/>
      <c r="V160" s="859"/>
      <c r="W160" s="859"/>
      <c r="X160" s="859"/>
      <c r="Y160" s="859"/>
      <c r="Z160" s="859"/>
      <c r="AA160" s="859"/>
      <c r="AB160" s="859"/>
      <c r="AC160" s="859"/>
      <c r="AD160" s="859"/>
      <c r="AE160" s="859"/>
      <c r="AF160" s="859"/>
      <c r="AG160" s="859"/>
      <c r="AH160" s="859"/>
      <c r="AI160" s="859"/>
      <c r="AJ160" s="859"/>
      <c r="AK160" s="859"/>
      <c r="AL160" s="859"/>
      <c r="AM160" s="859"/>
    </row>
    <row r="161" spans="1:39" s="860" customFormat="1" ht="32.450000000000003" customHeight="1">
      <c r="A161" s="798" t="s">
        <v>661</v>
      </c>
      <c r="B161" s="799" t="s">
        <v>3</v>
      </c>
      <c r="C161" s="798" t="s">
        <v>532</v>
      </c>
      <c r="D161" s="792" t="s">
        <v>722</v>
      </c>
      <c r="E161" s="856" t="e">
        <f>NC_DKDD!H646</f>
        <v>#VALUE!</v>
      </c>
      <c r="F161" s="856"/>
      <c r="G161" s="795"/>
      <c r="H161" s="856"/>
      <c r="I161" s="856"/>
      <c r="J161" s="856"/>
      <c r="K161" s="856"/>
      <c r="L161" s="857"/>
      <c r="M161" s="857"/>
      <c r="N161" s="857"/>
      <c r="O161" s="871">
        <f t="shared" si="26"/>
        <v>245.92307692307691</v>
      </c>
      <c r="P161" s="830">
        <f t="shared" si="27"/>
        <v>213.84615384615384</v>
      </c>
      <c r="Q161" s="830">
        <f t="shared" si="28"/>
        <v>32.07692307692308</v>
      </c>
      <c r="R161" s="873">
        <f>NC_DKDD!G646</f>
        <v>0.04</v>
      </c>
      <c r="S161" s="859"/>
      <c r="T161" s="859"/>
      <c r="U161" s="859"/>
      <c r="V161" s="859"/>
      <c r="W161" s="859"/>
      <c r="X161" s="859"/>
      <c r="Y161" s="859"/>
      <c r="Z161" s="859"/>
      <c r="AA161" s="859"/>
      <c r="AB161" s="859"/>
      <c r="AC161" s="859"/>
      <c r="AD161" s="859"/>
      <c r="AE161" s="859"/>
      <c r="AF161" s="859"/>
      <c r="AG161" s="859"/>
      <c r="AH161" s="859"/>
      <c r="AI161" s="859"/>
      <c r="AJ161" s="859"/>
      <c r="AK161" s="859"/>
      <c r="AL161" s="859"/>
      <c r="AM161" s="859"/>
    </row>
    <row r="162" spans="1:39" s="860" customFormat="1" ht="32.450000000000003" customHeight="1">
      <c r="A162" s="798" t="s">
        <v>662</v>
      </c>
      <c r="B162" s="799" t="s">
        <v>594</v>
      </c>
      <c r="C162" s="798" t="s">
        <v>532</v>
      </c>
      <c r="D162" s="792" t="s">
        <v>722</v>
      </c>
      <c r="E162" s="856" t="e">
        <f>NC_DKDD!H647</f>
        <v>#VALUE!</v>
      </c>
      <c r="F162" s="856"/>
      <c r="G162" s="795"/>
      <c r="H162" s="856"/>
      <c r="I162" s="856"/>
      <c r="J162" s="856"/>
      <c r="K162" s="856"/>
      <c r="L162" s="857"/>
      <c r="M162" s="857"/>
      <c r="N162" s="857"/>
      <c r="O162" s="871">
        <f t="shared" si="26"/>
        <v>184.44230769230768</v>
      </c>
      <c r="P162" s="830">
        <f t="shared" si="27"/>
        <v>160.38461538461536</v>
      </c>
      <c r="Q162" s="830">
        <f t="shared" si="28"/>
        <v>24.057692307692307</v>
      </c>
      <c r="R162" s="873">
        <f>NC_DKDD!G647</f>
        <v>0.03</v>
      </c>
      <c r="S162" s="859"/>
      <c r="T162" s="859"/>
      <c r="U162" s="859"/>
      <c r="V162" s="859"/>
      <c r="W162" s="859"/>
      <c r="X162" s="859"/>
      <c r="Y162" s="859"/>
      <c r="Z162" s="859"/>
      <c r="AA162" s="859"/>
      <c r="AB162" s="859"/>
      <c r="AC162" s="859"/>
      <c r="AD162" s="859"/>
      <c r="AE162" s="859"/>
      <c r="AF162" s="859"/>
      <c r="AG162" s="859"/>
      <c r="AH162" s="859"/>
      <c r="AI162" s="859"/>
      <c r="AJ162" s="859"/>
      <c r="AK162" s="859"/>
      <c r="AL162" s="859"/>
      <c r="AM162" s="859"/>
    </row>
    <row r="163" spans="1:39" s="860" customFormat="1" ht="32.450000000000003" customHeight="1">
      <c r="A163" s="798">
        <v>7</v>
      </c>
      <c r="B163" s="799" t="s">
        <v>78</v>
      </c>
      <c r="C163" s="798" t="s">
        <v>375</v>
      </c>
      <c r="D163" s="792" t="s">
        <v>722</v>
      </c>
      <c r="E163" s="856" t="e">
        <f>NC_DKDD!H648</f>
        <v>#VALUE!</v>
      </c>
      <c r="F163" s="856"/>
      <c r="G163" s="795"/>
      <c r="H163" s="856"/>
      <c r="I163" s="856"/>
      <c r="J163" s="856"/>
      <c r="K163" s="856"/>
      <c r="L163" s="857"/>
      <c r="M163" s="857"/>
      <c r="N163" s="857"/>
      <c r="O163" s="871">
        <f t="shared" si="26"/>
        <v>202.88653846153844</v>
      </c>
      <c r="P163" s="830">
        <f t="shared" si="27"/>
        <v>176.42307692307691</v>
      </c>
      <c r="Q163" s="830">
        <f t="shared" si="28"/>
        <v>26.463461538461541</v>
      </c>
      <c r="R163" s="873">
        <f>NC_DKDD!G648</f>
        <v>3.3000000000000002E-2</v>
      </c>
      <c r="S163" s="859"/>
      <c r="T163" s="859"/>
      <c r="U163" s="859"/>
      <c r="V163" s="859"/>
      <c r="W163" s="859"/>
      <c r="X163" s="859"/>
      <c r="Y163" s="859"/>
      <c r="Z163" s="859"/>
      <c r="AA163" s="859"/>
      <c r="AB163" s="859"/>
      <c r="AC163" s="859"/>
      <c r="AD163" s="859"/>
      <c r="AE163" s="859"/>
      <c r="AF163" s="859"/>
      <c r="AG163" s="859"/>
      <c r="AH163" s="859"/>
      <c r="AI163" s="859"/>
      <c r="AJ163" s="859"/>
      <c r="AK163" s="859"/>
      <c r="AL163" s="859"/>
      <c r="AM163" s="859"/>
    </row>
    <row r="164" spans="1:39" s="860" customFormat="1" ht="32.450000000000003" customHeight="1">
      <c r="A164" s="798">
        <v>8</v>
      </c>
      <c r="B164" s="799" t="s">
        <v>260</v>
      </c>
      <c r="C164" s="798" t="s">
        <v>532</v>
      </c>
      <c r="D164" s="792" t="s">
        <v>722</v>
      </c>
      <c r="E164" s="856" t="e">
        <f>NC_DKDD!H649</f>
        <v>#VALUE!</v>
      </c>
      <c r="F164" s="856"/>
      <c r="G164" s="795"/>
      <c r="H164" s="856"/>
      <c r="I164" s="856"/>
      <c r="J164" s="856"/>
      <c r="K164" s="856"/>
      <c r="L164" s="857"/>
      <c r="M164" s="857"/>
      <c r="N164" s="857"/>
      <c r="O164" s="871">
        <f t="shared" si="26"/>
        <v>1229.6153846153848</v>
      </c>
      <c r="P164" s="830">
        <f t="shared" si="27"/>
        <v>1069.2307692307693</v>
      </c>
      <c r="Q164" s="830">
        <f t="shared" si="28"/>
        <v>160.38461538461539</v>
      </c>
      <c r="R164" s="873">
        <f>NC_DKDD!G649</f>
        <v>0.2</v>
      </c>
      <c r="S164" s="859"/>
      <c r="T164" s="859"/>
      <c r="U164" s="859"/>
      <c r="V164" s="859"/>
      <c r="W164" s="859"/>
      <c r="X164" s="859"/>
      <c r="Y164" s="859"/>
      <c r="Z164" s="859"/>
      <c r="AA164" s="859"/>
      <c r="AB164" s="859"/>
      <c r="AC164" s="859"/>
      <c r="AD164" s="859"/>
      <c r="AE164" s="859"/>
      <c r="AF164" s="859"/>
      <c r="AG164" s="859"/>
      <c r="AH164" s="859"/>
      <c r="AI164" s="859"/>
      <c r="AJ164" s="859"/>
      <c r="AK164" s="859"/>
      <c r="AL164" s="859"/>
      <c r="AM164" s="859"/>
    </row>
    <row r="165" spans="1:39" s="860" customFormat="1" ht="32.450000000000003" customHeight="1">
      <c r="A165" s="798">
        <v>9</v>
      </c>
      <c r="B165" s="799" t="s">
        <v>80</v>
      </c>
      <c r="C165" s="798"/>
      <c r="D165" s="798"/>
      <c r="E165" s="856">
        <f>NC_DKDD!H650</f>
        <v>0</v>
      </c>
      <c r="F165" s="856"/>
      <c r="G165" s="795"/>
      <c r="H165" s="856"/>
      <c r="I165" s="856"/>
      <c r="J165" s="856"/>
      <c r="K165" s="856"/>
      <c r="L165" s="857"/>
      <c r="M165" s="857"/>
      <c r="N165" s="857"/>
      <c r="O165" s="871">
        <f t="shared" si="26"/>
        <v>0</v>
      </c>
      <c r="P165" s="830">
        <f t="shared" si="27"/>
        <v>0</v>
      </c>
      <c r="Q165" s="830">
        <f t="shared" si="28"/>
        <v>0</v>
      </c>
      <c r="R165" s="873">
        <f>NC_DKDD!G650</f>
        <v>0</v>
      </c>
      <c r="S165" s="859"/>
      <c r="T165" s="859"/>
      <c r="U165" s="859"/>
      <c r="V165" s="859"/>
      <c r="W165" s="859"/>
      <c r="X165" s="859"/>
      <c r="Y165" s="859"/>
      <c r="Z165" s="859"/>
      <c r="AA165" s="859"/>
      <c r="AB165" s="859"/>
      <c r="AC165" s="859"/>
      <c r="AD165" s="859"/>
      <c r="AE165" s="859"/>
      <c r="AF165" s="859"/>
      <c r="AG165" s="859"/>
      <c r="AH165" s="859"/>
      <c r="AI165" s="859"/>
      <c r="AJ165" s="859"/>
      <c r="AK165" s="859"/>
      <c r="AL165" s="859"/>
      <c r="AM165" s="859"/>
    </row>
    <row r="166" spans="1:39" s="860" customFormat="1" ht="32.450000000000003" customHeight="1">
      <c r="A166" s="798" t="s">
        <v>663</v>
      </c>
      <c r="B166" s="799" t="s">
        <v>82</v>
      </c>
      <c r="C166" s="798" t="s">
        <v>559</v>
      </c>
      <c r="D166" s="792" t="s">
        <v>722</v>
      </c>
      <c r="E166" s="856" t="e">
        <f>NC_DKDD!H651</f>
        <v>#VALUE!</v>
      </c>
      <c r="F166" s="856"/>
      <c r="G166" s="795"/>
      <c r="H166" s="856"/>
      <c r="I166" s="856"/>
      <c r="J166" s="856"/>
      <c r="K166" s="856"/>
      <c r="L166" s="857"/>
      <c r="M166" s="857"/>
      <c r="N166" s="857"/>
      <c r="O166" s="871">
        <f t="shared" si="26"/>
        <v>307.40384615384619</v>
      </c>
      <c r="P166" s="830">
        <f t="shared" si="27"/>
        <v>267.30769230769232</v>
      </c>
      <c r="Q166" s="830">
        <f t="shared" si="28"/>
        <v>40.096153846153847</v>
      </c>
      <c r="R166" s="873">
        <f>NC_DKDD!G651</f>
        <v>0.05</v>
      </c>
      <c r="S166" s="859"/>
      <c r="T166" s="859"/>
      <c r="U166" s="859"/>
      <c r="V166" s="859"/>
      <c r="W166" s="859"/>
      <c r="X166" s="859"/>
      <c r="Y166" s="859"/>
      <c r="Z166" s="859"/>
      <c r="AA166" s="859"/>
      <c r="AB166" s="859"/>
      <c r="AC166" s="859"/>
      <c r="AD166" s="859"/>
      <c r="AE166" s="859"/>
      <c r="AF166" s="859"/>
      <c r="AG166" s="859"/>
      <c r="AH166" s="859"/>
      <c r="AI166" s="859"/>
      <c r="AJ166" s="859"/>
      <c r="AK166" s="859"/>
      <c r="AL166" s="859"/>
      <c r="AM166" s="859"/>
    </row>
    <row r="167" spans="1:39" s="860" customFormat="1" ht="32.450000000000003" customHeight="1">
      <c r="A167" s="798" t="s">
        <v>664</v>
      </c>
      <c r="B167" s="799" t="s">
        <v>84</v>
      </c>
      <c r="C167" s="798" t="s">
        <v>559</v>
      </c>
      <c r="D167" s="792" t="s">
        <v>722</v>
      </c>
      <c r="E167" s="856" t="e">
        <f>NC_DKDD!H652</f>
        <v>#VALUE!</v>
      </c>
      <c r="F167" s="856"/>
      <c r="G167" s="795"/>
      <c r="H167" s="856"/>
      <c r="I167" s="856"/>
      <c r="J167" s="856"/>
      <c r="K167" s="856"/>
      <c r="L167" s="857"/>
      <c r="M167" s="857"/>
      <c r="N167" s="857"/>
      <c r="O167" s="871">
        <f t="shared" si="26"/>
        <v>614.80769230769238</v>
      </c>
      <c r="P167" s="830">
        <f t="shared" si="27"/>
        <v>534.61538461538464</v>
      </c>
      <c r="Q167" s="830">
        <f t="shared" si="28"/>
        <v>80.192307692307693</v>
      </c>
      <c r="R167" s="873">
        <f>NC_DKDD!G652</f>
        <v>0.1</v>
      </c>
      <c r="S167" s="859"/>
      <c r="T167" s="859"/>
      <c r="U167" s="859"/>
      <c r="V167" s="859"/>
      <c r="W167" s="859"/>
      <c r="X167" s="859"/>
      <c r="Y167" s="859"/>
      <c r="Z167" s="859"/>
      <c r="AA167" s="859"/>
      <c r="AB167" s="859"/>
      <c r="AC167" s="859"/>
      <c r="AD167" s="859"/>
      <c r="AE167" s="859"/>
      <c r="AF167" s="859"/>
      <c r="AG167" s="859"/>
      <c r="AH167" s="859"/>
      <c r="AI167" s="859"/>
      <c r="AJ167" s="859"/>
      <c r="AK167" s="859"/>
      <c r="AL167" s="859"/>
      <c r="AM167" s="859"/>
    </row>
    <row r="168" spans="1:39" s="860" customFormat="1" ht="32.450000000000003" customHeight="1">
      <c r="A168" s="798">
        <v>10</v>
      </c>
      <c r="B168" s="799" t="s">
        <v>85</v>
      </c>
      <c r="C168" s="798" t="s">
        <v>532</v>
      </c>
      <c r="D168" s="792" t="s">
        <v>722</v>
      </c>
      <c r="E168" s="856" t="e">
        <f>NC_DKDD!H653</f>
        <v>#VALUE!</v>
      </c>
      <c r="F168" s="856"/>
      <c r="G168" s="795"/>
      <c r="H168" s="856"/>
      <c r="I168" s="856"/>
      <c r="J168" s="856"/>
      <c r="K168" s="856"/>
      <c r="L168" s="857"/>
      <c r="M168" s="857"/>
      <c r="N168" s="857"/>
      <c r="O168" s="871">
        <f t="shared" si="26"/>
        <v>245.92307692307691</v>
      </c>
      <c r="P168" s="830">
        <f t="shared" si="27"/>
        <v>213.84615384615384</v>
      </c>
      <c r="Q168" s="830">
        <f t="shared" si="28"/>
        <v>32.07692307692308</v>
      </c>
      <c r="R168" s="873">
        <f>NC_DKDD!G653</f>
        <v>0.04</v>
      </c>
      <c r="S168" s="859"/>
      <c r="T168" s="859"/>
      <c r="U168" s="859"/>
      <c r="V168" s="859"/>
      <c r="W168" s="859"/>
      <c r="X168" s="859"/>
      <c r="Y168" s="859"/>
      <c r="Z168" s="859"/>
      <c r="AA168" s="859"/>
      <c r="AB168" s="859"/>
      <c r="AC168" s="859"/>
      <c r="AD168" s="859"/>
      <c r="AE168" s="859"/>
      <c r="AF168" s="859"/>
      <c r="AG168" s="859"/>
      <c r="AH168" s="859"/>
      <c r="AI168" s="859"/>
      <c r="AJ168" s="859"/>
      <c r="AK168" s="859"/>
      <c r="AL168" s="859"/>
      <c r="AM168" s="859"/>
    </row>
    <row r="169" spans="1:39" s="860" customFormat="1" ht="32.450000000000003" customHeight="1">
      <c r="A169" s="798">
        <v>11</v>
      </c>
      <c r="B169" s="799" t="s">
        <v>107</v>
      </c>
      <c r="C169" s="798"/>
      <c r="D169" s="798"/>
      <c r="E169" s="856">
        <f>NC_DKDD!H654</f>
        <v>0</v>
      </c>
      <c r="F169" s="856"/>
      <c r="G169" s="795"/>
      <c r="H169" s="856"/>
      <c r="I169" s="856"/>
      <c r="J169" s="856"/>
      <c r="K169" s="856"/>
      <c r="L169" s="857"/>
      <c r="M169" s="857"/>
      <c r="N169" s="857"/>
      <c r="O169" s="871">
        <f t="shared" si="26"/>
        <v>0</v>
      </c>
      <c r="P169" s="830">
        <f t="shared" si="27"/>
        <v>0</v>
      </c>
      <c r="Q169" s="830">
        <f t="shared" si="28"/>
        <v>0</v>
      </c>
      <c r="R169" s="873">
        <f>NC_DKDD!G654</f>
        <v>0</v>
      </c>
      <c r="S169" s="859"/>
      <c r="T169" s="859"/>
      <c r="U169" s="859"/>
      <c r="V169" s="859"/>
      <c r="W169" s="859"/>
      <c r="X169" s="859"/>
      <c r="Y169" s="859"/>
      <c r="Z169" s="859"/>
      <c r="AA169" s="859"/>
      <c r="AB169" s="859"/>
      <c r="AC169" s="859"/>
      <c r="AD169" s="859"/>
      <c r="AE169" s="859"/>
      <c r="AF169" s="859"/>
      <c r="AG169" s="859"/>
      <c r="AH169" s="859"/>
      <c r="AI169" s="859"/>
      <c r="AJ169" s="859"/>
      <c r="AK169" s="859"/>
      <c r="AL169" s="859"/>
      <c r="AM169" s="859"/>
    </row>
    <row r="170" spans="1:39" s="860" customFormat="1" ht="57">
      <c r="A170" s="798" t="s">
        <v>719</v>
      </c>
      <c r="B170" s="799" t="s">
        <v>108</v>
      </c>
      <c r="C170" s="798" t="s">
        <v>532</v>
      </c>
      <c r="D170" s="792" t="s">
        <v>722</v>
      </c>
      <c r="E170" s="856" t="e">
        <f>NC_DKDD!H655</f>
        <v>#VALUE!</v>
      </c>
      <c r="F170" s="856"/>
      <c r="G170" s="795"/>
      <c r="H170" s="856"/>
      <c r="I170" s="856"/>
      <c r="J170" s="856"/>
      <c r="K170" s="856"/>
      <c r="L170" s="857"/>
      <c r="M170" s="857"/>
      <c r="N170" s="857"/>
      <c r="O170" s="871">
        <f t="shared" si="26"/>
        <v>307.40384615384619</v>
      </c>
      <c r="P170" s="830">
        <f t="shared" si="27"/>
        <v>267.30769230769232</v>
      </c>
      <c r="Q170" s="830">
        <f t="shared" si="28"/>
        <v>40.096153846153847</v>
      </c>
      <c r="R170" s="873">
        <f>NC_DKDD!G655</f>
        <v>0.05</v>
      </c>
      <c r="S170" s="859"/>
      <c r="T170" s="859"/>
      <c r="U170" s="859"/>
      <c r="V170" s="859"/>
      <c r="W170" s="859"/>
      <c r="X170" s="859"/>
      <c r="Y170" s="859"/>
      <c r="Z170" s="859"/>
      <c r="AA170" s="859"/>
      <c r="AB170" s="859"/>
      <c r="AC170" s="859"/>
      <c r="AD170" s="859"/>
      <c r="AE170" s="859"/>
      <c r="AF170" s="859"/>
      <c r="AG170" s="859"/>
      <c r="AH170" s="859"/>
      <c r="AI170" s="859"/>
      <c r="AJ170" s="859"/>
      <c r="AK170" s="859"/>
      <c r="AL170" s="859"/>
      <c r="AM170" s="859"/>
    </row>
    <row r="171" spans="1:39" s="860" customFormat="1" ht="28.5">
      <c r="A171" s="798" t="s">
        <v>720</v>
      </c>
      <c r="B171" s="799" t="s">
        <v>109</v>
      </c>
      <c r="C171" s="798" t="s">
        <v>532</v>
      </c>
      <c r="D171" s="792" t="s">
        <v>722</v>
      </c>
      <c r="E171" s="856" t="e">
        <f>NC_DKDD!H656</f>
        <v>#VALUE!</v>
      </c>
      <c r="F171" s="856"/>
      <c r="G171" s="795"/>
      <c r="H171" s="856"/>
      <c r="I171" s="856"/>
      <c r="J171" s="856"/>
      <c r="K171" s="856"/>
      <c r="L171" s="857"/>
      <c r="M171" s="857"/>
      <c r="N171" s="857"/>
      <c r="O171" s="871">
        <f t="shared" si="26"/>
        <v>307.40384615384619</v>
      </c>
      <c r="P171" s="830">
        <f t="shared" si="27"/>
        <v>267.30769230769232</v>
      </c>
      <c r="Q171" s="830">
        <f t="shared" si="28"/>
        <v>40.096153846153847</v>
      </c>
      <c r="R171" s="873">
        <f>NC_DKDD!G656</f>
        <v>0.05</v>
      </c>
      <c r="S171" s="859"/>
      <c r="T171" s="859"/>
      <c r="U171" s="859"/>
      <c r="V171" s="859"/>
      <c r="W171" s="859"/>
      <c r="X171" s="859"/>
      <c r="Y171" s="859"/>
      <c r="Z171" s="859"/>
      <c r="AA171" s="859"/>
      <c r="AB171" s="859"/>
      <c r="AC171" s="859"/>
      <c r="AD171" s="859"/>
      <c r="AE171" s="859"/>
      <c r="AF171" s="859"/>
      <c r="AG171" s="859"/>
      <c r="AH171" s="859"/>
      <c r="AI171" s="859"/>
      <c r="AJ171" s="859"/>
      <c r="AK171" s="859"/>
      <c r="AL171" s="859"/>
      <c r="AM171" s="859"/>
    </row>
    <row r="172" spans="1:39" s="860" customFormat="1" ht="32.450000000000003" customHeight="1">
      <c r="A172" s="798">
        <v>12</v>
      </c>
      <c r="B172" s="799" t="s">
        <v>87</v>
      </c>
      <c r="C172" s="798" t="s">
        <v>375</v>
      </c>
      <c r="D172" s="792" t="s">
        <v>722</v>
      </c>
      <c r="E172" s="856" t="e">
        <f>NC_DKDD!H657</f>
        <v>#VALUE!</v>
      </c>
      <c r="F172" s="856"/>
      <c r="G172" s="795"/>
      <c r="H172" s="856"/>
      <c r="I172" s="856"/>
      <c r="J172" s="856"/>
      <c r="K172" s="856"/>
      <c r="L172" s="857"/>
      <c r="M172" s="857"/>
      <c r="N172" s="857"/>
      <c r="O172" s="871">
        <f t="shared" si="26"/>
        <v>202.88653846153844</v>
      </c>
      <c r="P172" s="830">
        <f t="shared" si="27"/>
        <v>176.42307692307691</v>
      </c>
      <c r="Q172" s="830">
        <f t="shared" si="28"/>
        <v>26.463461538461541</v>
      </c>
      <c r="R172" s="873">
        <f>NC_DKDD!G657</f>
        <v>3.3000000000000002E-2</v>
      </c>
      <c r="S172" s="859"/>
      <c r="T172" s="859"/>
      <c r="U172" s="859"/>
      <c r="V172" s="859"/>
      <c r="W172" s="859"/>
      <c r="X172" s="859"/>
      <c r="Y172" s="859"/>
      <c r="Z172" s="859"/>
      <c r="AA172" s="859"/>
      <c r="AB172" s="859"/>
      <c r="AC172" s="859"/>
      <c r="AD172" s="859"/>
      <c r="AE172" s="859"/>
      <c r="AF172" s="859"/>
      <c r="AG172" s="859"/>
      <c r="AH172" s="859"/>
      <c r="AI172" s="859"/>
      <c r="AJ172" s="859"/>
      <c r="AK172" s="859"/>
      <c r="AL172" s="859"/>
      <c r="AM172" s="859"/>
    </row>
    <row r="173" spans="1:39" s="860" customFormat="1" ht="32.450000000000003" customHeight="1">
      <c r="A173" s="798">
        <v>13</v>
      </c>
      <c r="B173" s="799" t="s">
        <v>88</v>
      </c>
      <c r="C173" s="798"/>
      <c r="D173" s="798"/>
      <c r="E173" s="856">
        <f>NC_DKDD!H658</f>
        <v>0</v>
      </c>
      <c r="F173" s="856"/>
      <c r="G173" s="795"/>
      <c r="H173" s="856"/>
      <c r="I173" s="856"/>
      <c r="J173" s="856"/>
      <c r="K173" s="856"/>
      <c r="L173" s="857"/>
      <c r="M173" s="857"/>
      <c r="N173" s="857"/>
      <c r="O173" s="871">
        <f t="shared" si="26"/>
        <v>0</v>
      </c>
      <c r="P173" s="830">
        <f t="shared" si="27"/>
        <v>0</v>
      </c>
      <c r="Q173" s="830">
        <f t="shared" si="28"/>
        <v>0</v>
      </c>
      <c r="R173" s="873">
        <f>NC_DKDD!G658</f>
        <v>0</v>
      </c>
      <c r="S173" s="859"/>
      <c r="T173" s="859"/>
      <c r="U173" s="859"/>
      <c r="V173" s="859"/>
      <c r="W173" s="859"/>
      <c r="X173" s="859"/>
      <c r="Y173" s="859"/>
      <c r="Z173" s="859"/>
      <c r="AA173" s="859"/>
      <c r="AB173" s="859"/>
      <c r="AC173" s="859"/>
      <c r="AD173" s="859"/>
      <c r="AE173" s="859"/>
      <c r="AF173" s="859"/>
      <c r="AG173" s="859"/>
      <c r="AH173" s="859"/>
      <c r="AI173" s="859"/>
      <c r="AJ173" s="859"/>
      <c r="AK173" s="859"/>
      <c r="AL173" s="859"/>
      <c r="AM173" s="859"/>
    </row>
    <row r="174" spans="1:39" s="860" customFormat="1" ht="32.450000000000003" customHeight="1">
      <c r="A174" s="798" t="s">
        <v>110</v>
      </c>
      <c r="B174" s="799" t="s">
        <v>775</v>
      </c>
      <c r="C174" s="798"/>
      <c r="D174" s="798"/>
      <c r="E174" s="856">
        <f>NC_DKDD!H659</f>
        <v>0</v>
      </c>
      <c r="F174" s="856"/>
      <c r="G174" s="795"/>
      <c r="H174" s="856"/>
      <c r="I174" s="856"/>
      <c r="J174" s="856"/>
      <c r="K174" s="856"/>
      <c r="L174" s="857"/>
      <c r="M174" s="857"/>
      <c r="N174" s="857"/>
      <c r="O174" s="871">
        <f t="shared" si="26"/>
        <v>0</v>
      </c>
      <c r="P174" s="830">
        <f t="shared" si="27"/>
        <v>0</v>
      </c>
      <c r="Q174" s="830">
        <f t="shared" si="28"/>
        <v>0</v>
      </c>
      <c r="R174" s="873">
        <f>NC_DKDD!G659</f>
        <v>0</v>
      </c>
      <c r="S174" s="859"/>
      <c r="T174" s="859"/>
      <c r="U174" s="859"/>
      <c r="V174" s="859"/>
      <c r="W174" s="859"/>
      <c r="X174" s="859"/>
      <c r="Y174" s="859"/>
      <c r="Z174" s="859"/>
      <c r="AA174" s="859"/>
      <c r="AB174" s="859"/>
      <c r="AC174" s="859"/>
      <c r="AD174" s="859"/>
      <c r="AE174" s="859"/>
      <c r="AF174" s="859"/>
      <c r="AG174" s="859"/>
      <c r="AH174" s="859"/>
      <c r="AI174" s="859"/>
      <c r="AJ174" s="859"/>
      <c r="AK174" s="859"/>
      <c r="AL174" s="859"/>
      <c r="AM174" s="859"/>
    </row>
    <row r="175" spans="1:39" s="860" customFormat="1" ht="32.450000000000003" customHeight="1">
      <c r="A175" s="798" t="s">
        <v>111</v>
      </c>
      <c r="B175" s="799" t="s">
        <v>777</v>
      </c>
      <c r="C175" s="798" t="s">
        <v>377</v>
      </c>
      <c r="D175" s="792" t="s">
        <v>722</v>
      </c>
      <c r="E175" s="856" t="e">
        <f>NC_DKDD!H660</f>
        <v>#VALUE!</v>
      </c>
      <c r="F175" s="856"/>
      <c r="G175" s="795"/>
      <c r="H175" s="856"/>
      <c r="I175" s="856"/>
      <c r="J175" s="856"/>
      <c r="K175" s="856"/>
      <c r="L175" s="857"/>
      <c r="M175" s="857"/>
      <c r="N175" s="857"/>
      <c r="O175" s="871">
        <f t="shared" si="26"/>
        <v>98.369230769230768</v>
      </c>
      <c r="P175" s="830">
        <f t="shared" si="27"/>
        <v>85.538461538461533</v>
      </c>
      <c r="Q175" s="830">
        <f t="shared" si="28"/>
        <v>12.830769230769231</v>
      </c>
      <c r="R175" s="873">
        <f>NC_DKDD!G660</f>
        <v>1.6E-2</v>
      </c>
      <c r="S175" s="859"/>
      <c r="T175" s="859"/>
      <c r="U175" s="859"/>
      <c r="V175" s="859"/>
      <c r="W175" s="859"/>
      <c r="X175" s="859"/>
      <c r="Y175" s="859"/>
      <c r="Z175" s="859"/>
      <c r="AA175" s="859"/>
      <c r="AB175" s="859"/>
      <c r="AC175" s="859"/>
      <c r="AD175" s="859"/>
      <c r="AE175" s="859"/>
      <c r="AF175" s="859"/>
      <c r="AG175" s="859"/>
      <c r="AH175" s="859"/>
      <c r="AI175" s="859"/>
      <c r="AJ175" s="859"/>
      <c r="AK175" s="859"/>
      <c r="AL175" s="859"/>
      <c r="AM175" s="859"/>
    </row>
    <row r="176" spans="1:39" s="860" customFormat="1" ht="32.450000000000003" customHeight="1">
      <c r="A176" s="798" t="s">
        <v>112</v>
      </c>
      <c r="B176" s="799" t="s">
        <v>781</v>
      </c>
      <c r="C176" s="798" t="s">
        <v>377</v>
      </c>
      <c r="D176" s="792" t="s">
        <v>722</v>
      </c>
      <c r="E176" s="856" t="e">
        <f>NC_DKDD!H661</f>
        <v>#VALUE!</v>
      </c>
      <c r="F176" s="856"/>
      <c r="G176" s="795"/>
      <c r="H176" s="856"/>
      <c r="I176" s="856"/>
      <c r="J176" s="856"/>
      <c r="K176" s="856"/>
      <c r="L176" s="857"/>
      <c r="M176" s="857"/>
      <c r="N176" s="857"/>
      <c r="O176" s="871">
        <f t="shared" si="26"/>
        <v>49.184615384615384</v>
      </c>
      <c r="P176" s="830">
        <f t="shared" si="27"/>
        <v>42.769230769230766</v>
      </c>
      <c r="Q176" s="830">
        <f t="shared" si="28"/>
        <v>6.4153846153846157</v>
      </c>
      <c r="R176" s="873">
        <f>NC_DKDD!G661</f>
        <v>8.0000000000000002E-3</v>
      </c>
      <c r="S176" s="859"/>
      <c r="T176" s="859"/>
      <c r="U176" s="859"/>
      <c r="V176" s="859"/>
      <c r="W176" s="859"/>
      <c r="X176" s="859"/>
      <c r="Y176" s="859"/>
      <c r="Z176" s="859"/>
      <c r="AA176" s="859"/>
      <c r="AB176" s="859"/>
      <c r="AC176" s="859"/>
      <c r="AD176" s="859"/>
      <c r="AE176" s="859"/>
      <c r="AF176" s="859"/>
      <c r="AG176" s="859"/>
      <c r="AH176" s="859"/>
      <c r="AI176" s="859"/>
      <c r="AJ176" s="859"/>
      <c r="AK176" s="859"/>
      <c r="AL176" s="859"/>
      <c r="AM176" s="859"/>
    </row>
    <row r="177" spans="1:39" s="860" customFormat="1" ht="32.450000000000003" customHeight="1">
      <c r="A177" s="798" t="s">
        <v>113</v>
      </c>
      <c r="B177" s="799" t="s">
        <v>861</v>
      </c>
      <c r="C177" s="798" t="s">
        <v>377</v>
      </c>
      <c r="D177" s="792" t="s">
        <v>722</v>
      </c>
      <c r="E177" s="856" t="e">
        <f>NC_DKDD!H662</f>
        <v>#VALUE!</v>
      </c>
      <c r="F177" s="856"/>
      <c r="G177" s="795"/>
      <c r="H177" s="856"/>
      <c r="I177" s="856"/>
      <c r="J177" s="856"/>
      <c r="K177" s="856"/>
      <c r="L177" s="857"/>
      <c r="M177" s="857"/>
      <c r="N177" s="857"/>
      <c r="O177" s="871">
        <f t="shared" si="26"/>
        <v>24.592307692307692</v>
      </c>
      <c r="P177" s="830">
        <f t="shared" si="27"/>
        <v>21.384615384615383</v>
      </c>
      <c r="Q177" s="830">
        <f t="shared" si="28"/>
        <v>3.2076923076923078</v>
      </c>
      <c r="R177" s="873">
        <f>NC_DKDD!G662</f>
        <v>4.0000000000000001E-3</v>
      </c>
      <c r="S177" s="859"/>
      <c r="T177" s="859"/>
      <c r="U177" s="859"/>
      <c r="V177" s="859"/>
      <c r="W177" s="859"/>
      <c r="X177" s="859"/>
      <c r="Y177" s="859"/>
      <c r="Z177" s="859"/>
      <c r="AA177" s="859"/>
      <c r="AB177" s="859"/>
      <c r="AC177" s="859"/>
      <c r="AD177" s="859"/>
      <c r="AE177" s="859"/>
      <c r="AF177" s="859"/>
      <c r="AG177" s="859"/>
      <c r="AH177" s="859"/>
      <c r="AI177" s="859"/>
      <c r="AJ177" s="859"/>
      <c r="AK177" s="859"/>
      <c r="AL177" s="859"/>
      <c r="AM177" s="859"/>
    </row>
    <row r="178" spans="1:39" s="860" customFormat="1" ht="32.450000000000003" customHeight="1">
      <c r="A178" s="798" t="s">
        <v>114</v>
      </c>
      <c r="B178" s="799" t="s">
        <v>863</v>
      </c>
      <c r="C178" s="798" t="s">
        <v>375</v>
      </c>
      <c r="D178" s="792" t="s">
        <v>722</v>
      </c>
      <c r="E178" s="856" t="e">
        <f>NC_DKDD!H663</f>
        <v>#VALUE!</v>
      </c>
      <c r="F178" s="856"/>
      <c r="G178" s="795"/>
      <c r="H178" s="856"/>
      <c r="I178" s="856"/>
      <c r="J178" s="856"/>
      <c r="K178" s="856"/>
      <c r="L178" s="857"/>
      <c r="M178" s="857"/>
      <c r="N178" s="857"/>
      <c r="O178" s="871">
        <f t="shared" si="26"/>
        <v>61.480769230769226</v>
      </c>
      <c r="P178" s="830">
        <f t="shared" si="27"/>
        <v>53.46153846153846</v>
      </c>
      <c r="Q178" s="830">
        <f t="shared" si="28"/>
        <v>8.0192307692307701</v>
      </c>
      <c r="R178" s="873">
        <f>NC_DKDD!G663</f>
        <v>0.01</v>
      </c>
      <c r="S178" s="859"/>
      <c r="T178" s="859"/>
      <c r="U178" s="859"/>
      <c r="V178" s="859"/>
      <c r="W178" s="859"/>
      <c r="X178" s="859"/>
      <c r="Y178" s="859"/>
      <c r="Z178" s="859"/>
      <c r="AA178" s="859"/>
      <c r="AB178" s="859"/>
      <c r="AC178" s="859"/>
      <c r="AD178" s="859"/>
      <c r="AE178" s="859"/>
      <c r="AF178" s="859"/>
      <c r="AG178" s="859"/>
      <c r="AH178" s="859"/>
      <c r="AI178" s="859"/>
      <c r="AJ178" s="859"/>
      <c r="AK178" s="859"/>
      <c r="AL178" s="859"/>
      <c r="AM178" s="859"/>
    </row>
    <row r="179" spans="1:39" s="860" customFormat="1" ht="32.450000000000003" customHeight="1">
      <c r="A179" s="798">
        <v>14</v>
      </c>
      <c r="B179" s="799" t="s">
        <v>524</v>
      </c>
      <c r="C179" s="798" t="s">
        <v>532</v>
      </c>
      <c r="D179" s="792" t="s">
        <v>722</v>
      </c>
      <c r="E179" s="856" t="e">
        <f>NC_DKDD!H664</f>
        <v>#VALUE!</v>
      </c>
      <c r="F179" s="856"/>
      <c r="G179" s="795"/>
      <c r="H179" s="856"/>
      <c r="I179" s="856"/>
      <c r="J179" s="856"/>
      <c r="K179" s="856"/>
      <c r="L179" s="857"/>
      <c r="M179" s="857"/>
      <c r="N179" s="857"/>
      <c r="O179" s="871">
        <f t="shared" si="26"/>
        <v>122.96153846153845</v>
      </c>
      <c r="P179" s="830">
        <f t="shared" si="27"/>
        <v>106.92307692307692</v>
      </c>
      <c r="Q179" s="830">
        <f t="shared" si="28"/>
        <v>16.03846153846154</v>
      </c>
      <c r="R179" s="873">
        <f>NC_DKDD!G664</f>
        <v>0.02</v>
      </c>
      <c r="S179" s="859"/>
      <c r="T179" s="859"/>
      <c r="U179" s="859"/>
      <c r="V179" s="859"/>
      <c r="W179" s="859"/>
      <c r="X179" s="859"/>
      <c r="Y179" s="859"/>
      <c r="Z179" s="859"/>
      <c r="AA179" s="859"/>
      <c r="AB179" s="859"/>
      <c r="AC179" s="859"/>
      <c r="AD179" s="859"/>
      <c r="AE179" s="859"/>
      <c r="AF179" s="859"/>
      <c r="AG179" s="859"/>
      <c r="AH179" s="859"/>
      <c r="AI179" s="859"/>
      <c r="AJ179" s="859"/>
      <c r="AK179" s="859"/>
      <c r="AL179" s="859"/>
      <c r="AM179" s="859"/>
    </row>
    <row r="180" spans="1:39" s="860" customFormat="1" ht="32.450000000000003" customHeight="1">
      <c r="A180" s="798">
        <v>15</v>
      </c>
      <c r="B180" s="799" t="s">
        <v>525</v>
      </c>
      <c r="C180" s="798" t="s">
        <v>532</v>
      </c>
      <c r="D180" s="792" t="s">
        <v>722</v>
      </c>
      <c r="E180" s="856" t="e">
        <f>NC_DKDD!H665/5000</f>
        <v>#VALUE!</v>
      </c>
      <c r="F180" s="856"/>
      <c r="G180" s="795"/>
      <c r="H180" s="856"/>
      <c r="I180" s="856"/>
      <c r="J180" s="856"/>
      <c r="K180" s="856"/>
      <c r="L180" s="857"/>
      <c r="M180" s="857"/>
      <c r="N180" s="857"/>
      <c r="O180" s="871">
        <f t="shared" si="26"/>
        <v>9.8369230769230764</v>
      </c>
      <c r="P180" s="830">
        <f t="shared" si="27"/>
        <v>8.5538461538461537</v>
      </c>
      <c r="Q180" s="830">
        <f t="shared" si="28"/>
        <v>1.283076923076923</v>
      </c>
      <c r="R180" s="873">
        <f>NC_DKDD!G665/5000</f>
        <v>1.6000000000000001E-3</v>
      </c>
      <c r="S180" s="859"/>
      <c r="T180" s="859"/>
      <c r="U180" s="859"/>
      <c r="V180" s="859"/>
      <c r="W180" s="859"/>
      <c r="X180" s="859"/>
      <c r="Y180" s="859"/>
      <c r="Z180" s="859"/>
      <c r="AA180" s="859"/>
      <c r="AB180" s="859"/>
      <c r="AC180" s="859"/>
      <c r="AD180" s="859"/>
      <c r="AE180" s="859"/>
      <c r="AF180" s="859"/>
      <c r="AG180" s="859"/>
      <c r="AH180" s="859"/>
      <c r="AI180" s="859"/>
      <c r="AJ180" s="859"/>
      <c r="AK180" s="859"/>
      <c r="AL180" s="859"/>
      <c r="AM180" s="859"/>
    </row>
    <row r="181" spans="1:39" s="860" customFormat="1" ht="32.450000000000003" customHeight="1">
      <c r="A181" s="791" t="s">
        <v>755</v>
      </c>
      <c r="B181" s="787" t="s">
        <v>359</v>
      </c>
      <c r="C181" s="798"/>
      <c r="D181" s="798"/>
      <c r="E181" s="875" t="e">
        <f>SUM(E183:E188)</f>
        <v>#VALUE!</v>
      </c>
      <c r="F181" s="856"/>
      <c r="G181" s="795"/>
      <c r="H181" s="862">
        <f>'Dcu-DKDD'!L216/5000</f>
        <v>0.15431081907051281</v>
      </c>
      <c r="I181" s="862">
        <f>'VL-DKDD'!K223/5000</f>
        <v>5.5441584000000006</v>
      </c>
      <c r="J181" s="862">
        <f>'TB-DKDD'!M123/5000</f>
        <v>0.30831600000000003</v>
      </c>
      <c r="K181" s="862">
        <f>'NL-DKDD'!J84/5000</f>
        <v>4.9106400000000001E-2</v>
      </c>
      <c r="L181" s="796" t="e">
        <f>SUM(E181:K181)</f>
        <v>#VALUE!</v>
      </c>
      <c r="M181" s="796" t="e">
        <f>L181*'He so chung'!$D$17/100</f>
        <v>#VALUE!</v>
      </c>
      <c r="N181" s="796" t="e">
        <f>L181+M181</f>
        <v>#VALUE!</v>
      </c>
      <c r="O181" s="877">
        <f>SUM(O183:O188)</f>
        <v>596.36346153846148</v>
      </c>
      <c r="P181" s="830">
        <f t="shared" si="27"/>
        <v>0</v>
      </c>
      <c r="Q181" s="830">
        <f t="shared" si="28"/>
        <v>0</v>
      </c>
      <c r="R181" s="872"/>
      <c r="S181" s="859"/>
      <c r="T181" s="859"/>
      <c r="U181" s="859"/>
      <c r="V181" s="859"/>
      <c r="W181" s="859"/>
      <c r="X181" s="859"/>
      <c r="Y181" s="859"/>
      <c r="Z181" s="859"/>
      <c r="AA181" s="859"/>
      <c r="AB181" s="859"/>
      <c r="AC181" s="859"/>
      <c r="AD181" s="859"/>
      <c r="AE181" s="859"/>
      <c r="AF181" s="859"/>
      <c r="AG181" s="859"/>
      <c r="AH181" s="859"/>
      <c r="AI181" s="859"/>
      <c r="AJ181" s="859"/>
      <c r="AK181" s="859"/>
      <c r="AL181" s="859"/>
      <c r="AM181" s="859"/>
    </row>
    <row r="182" spans="1:39" s="860" customFormat="1" ht="32.450000000000003" customHeight="1">
      <c r="A182" s="798">
        <v>1</v>
      </c>
      <c r="B182" s="799" t="s">
        <v>530</v>
      </c>
      <c r="C182" s="798"/>
      <c r="D182" s="798"/>
      <c r="E182" s="856"/>
      <c r="F182" s="856"/>
      <c r="G182" s="795"/>
      <c r="H182" s="856"/>
      <c r="I182" s="856"/>
      <c r="J182" s="856"/>
      <c r="K182" s="856"/>
      <c r="L182" s="857"/>
      <c r="M182" s="857"/>
      <c r="N182" s="857"/>
      <c r="O182" s="871">
        <f t="shared" si="26"/>
        <v>0</v>
      </c>
      <c r="P182" s="830">
        <f t="shared" si="27"/>
        <v>0</v>
      </c>
      <c r="Q182" s="830">
        <f t="shared" si="28"/>
        <v>0</v>
      </c>
      <c r="R182" s="872"/>
      <c r="S182" s="859"/>
      <c r="T182" s="859"/>
      <c r="U182" s="859"/>
      <c r="V182" s="859"/>
      <c r="W182" s="859"/>
      <c r="X182" s="859"/>
      <c r="Y182" s="859"/>
      <c r="Z182" s="859"/>
      <c r="AA182" s="859"/>
      <c r="AB182" s="859"/>
      <c r="AC182" s="859"/>
      <c r="AD182" s="859"/>
      <c r="AE182" s="859"/>
      <c r="AF182" s="859"/>
      <c r="AG182" s="859"/>
      <c r="AH182" s="859"/>
      <c r="AI182" s="859"/>
      <c r="AJ182" s="859"/>
      <c r="AK182" s="859"/>
      <c r="AL182" s="859"/>
      <c r="AM182" s="859"/>
    </row>
    <row r="183" spans="1:39" s="860" customFormat="1" ht="32.450000000000003" customHeight="1">
      <c r="A183" s="798" t="s">
        <v>733</v>
      </c>
      <c r="B183" s="799" t="s">
        <v>340</v>
      </c>
      <c r="C183" s="798" t="s">
        <v>532</v>
      </c>
      <c r="D183" s="792" t="s">
        <v>722</v>
      </c>
      <c r="E183" s="856" t="e">
        <f>NC_DKDD!H668/5000</f>
        <v>#VALUE!</v>
      </c>
      <c r="F183" s="856"/>
      <c r="G183" s="795"/>
      <c r="H183" s="856"/>
      <c r="I183" s="856"/>
      <c r="J183" s="856"/>
      <c r="K183" s="856"/>
      <c r="L183" s="857"/>
      <c r="M183" s="857"/>
      <c r="N183" s="857"/>
      <c r="O183" s="871">
        <f t="shared" si="26"/>
        <v>368.88461538461536</v>
      </c>
      <c r="P183" s="830">
        <f t="shared" si="27"/>
        <v>320.76923076923072</v>
      </c>
      <c r="Q183" s="830">
        <f t="shared" si="28"/>
        <v>48.115384615384613</v>
      </c>
      <c r="R183" s="873">
        <f>NC_DKDD!G668/5000</f>
        <v>0.06</v>
      </c>
      <c r="S183" s="859"/>
      <c r="T183" s="859"/>
      <c r="U183" s="859"/>
      <c r="V183" s="859"/>
      <c r="W183" s="859"/>
      <c r="X183" s="859"/>
      <c r="Y183" s="859"/>
      <c r="Z183" s="859"/>
      <c r="AA183" s="859"/>
      <c r="AB183" s="859"/>
      <c r="AC183" s="859"/>
      <c r="AD183" s="859"/>
      <c r="AE183" s="859"/>
      <c r="AF183" s="859"/>
      <c r="AG183" s="859"/>
      <c r="AH183" s="859"/>
      <c r="AI183" s="859"/>
      <c r="AJ183" s="859"/>
      <c r="AK183" s="859"/>
      <c r="AL183" s="859"/>
      <c r="AM183" s="859"/>
    </row>
    <row r="184" spans="1:39" s="860" customFormat="1" ht="32.450000000000003" customHeight="1">
      <c r="A184" s="798" t="s">
        <v>741</v>
      </c>
      <c r="B184" s="799" t="s">
        <v>343</v>
      </c>
      <c r="C184" s="798" t="s">
        <v>375</v>
      </c>
      <c r="D184" s="792" t="s">
        <v>722</v>
      </c>
      <c r="E184" s="856" t="e">
        <f>NC_DKDD!H669</f>
        <v>#VALUE!</v>
      </c>
      <c r="F184" s="856"/>
      <c r="G184" s="795"/>
      <c r="H184" s="856"/>
      <c r="I184" s="856"/>
      <c r="J184" s="856"/>
      <c r="K184" s="856"/>
      <c r="L184" s="857"/>
      <c r="M184" s="857"/>
      <c r="N184" s="857"/>
      <c r="O184" s="871">
        <f t="shared" si="26"/>
        <v>61.480769230769226</v>
      </c>
      <c r="P184" s="830">
        <f t="shared" si="27"/>
        <v>53.46153846153846</v>
      </c>
      <c r="Q184" s="830">
        <f t="shared" si="28"/>
        <v>8.0192307692307701</v>
      </c>
      <c r="R184" s="873">
        <f>NC_DKDD!G669</f>
        <v>0.01</v>
      </c>
      <c r="S184" s="859"/>
      <c r="T184" s="859"/>
      <c r="U184" s="859"/>
      <c r="V184" s="859"/>
      <c r="W184" s="859"/>
      <c r="X184" s="859"/>
      <c r="Y184" s="859"/>
      <c r="Z184" s="859"/>
      <c r="AA184" s="859"/>
      <c r="AB184" s="859"/>
      <c r="AC184" s="859"/>
      <c r="AD184" s="859"/>
      <c r="AE184" s="859"/>
      <c r="AF184" s="859"/>
      <c r="AG184" s="859"/>
      <c r="AH184" s="859"/>
      <c r="AI184" s="859"/>
      <c r="AJ184" s="859"/>
      <c r="AK184" s="859"/>
      <c r="AL184" s="859"/>
      <c r="AM184" s="859"/>
    </row>
    <row r="185" spans="1:39" s="860" customFormat="1" ht="32.450000000000003" customHeight="1">
      <c r="A185" s="798">
        <v>2</v>
      </c>
      <c r="B185" s="799" t="s">
        <v>528</v>
      </c>
      <c r="C185" s="798"/>
      <c r="D185" s="798"/>
      <c r="E185" s="856">
        <f>NC_DKDD!H670</f>
        <v>0</v>
      </c>
      <c r="F185" s="856"/>
      <c r="G185" s="795"/>
      <c r="H185" s="856"/>
      <c r="I185" s="856"/>
      <c r="J185" s="856"/>
      <c r="K185" s="856"/>
      <c r="L185" s="857"/>
      <c r="M185" s="857"/>
      <c r="N185" s="857"/>
      <c r="O185" s="871">
        <f t="shared" si="26"/>
        <v>0</v>
      </c>
      <c r="P185" s="830">
        <f t="shared" si="27"/>
        <v>0</v>
      </c>
      <c r="Q185" s="830">
        <f t="shared" si="28"/>
        <v>0</v>
      </c>
      <c r="R185" s="873">
        <f>NC_DKDD!G670</f>
        <v>0</v>
      </c>
      <c r="S185" s="859"/>
      <c r="T185" s="859"/>
      <c r="U185" s="859"/>
      <c r="V185" s="859"/>
      <c r="W185" s="859"/>
      <c r="X185" s="859"/>
      <c r="Y185" s="859"/>
      <c r="Z185" s="859"/>
      <c r="AA185" s="859"/>
      <c r="AB185" s="859"/>
      <c r="AC185" s="859"/>
      <c r="AD185" s="859"/>
      <c r="AE185" s="859"/>
      <c r="AF185" s="859"/>
      <c r="AG185" s="859"/>
      <c r="AH185" s="859"/>
      <c r="AI185" s="859"/>
      <c r="AJ185" s="859"/>
      <c r="AK185" s="859"/>
      <c r="AL185" s="859"/>
      <c r="AM185" s="859"/>
    </row>
    <row r="186" spans="1:39" s="860" customFormat="1" ht="32.450000000000003" customHeight="1">
      <c r="A186" s="798" t="s">
        <v>742</v>
      </c>
      <c r="B186" s="799" t="s">
        <v>345</v>
      </c>
      <c r="C186" s="798" t="s">
        <v>495</v>
      </c>
      <c r="D186" s="792" t="s">
        <v>722</v>
      </c>
      <c r="E186" s="856" t="e">
        <f>NC_DKDD!H671</f>
        <v>#VALUE!</v>
      </c>
      <c r="F186" s="856"/>
      <c r="G186" s="795"/>
      <c r="H186" s="856"/>
      <c r="I186" s="856"/>
      <c r="J186" s="856"/>
      <c r="K186" s="856"/>
      <c r="L186" s="857"/>
      <c r="M186" s="857"/>
      <c r="N186" s="857"/>
      <c r="O186" s="871">
        <f t="shared" si="26"/>
        <v>153.70192307692309</v>
      </c>
      <c r="P186" s="830">
        <f t="shared" si="27"/>
        <v>133.65384615384616</v>
      </c>
      <c r="Q186" s="830">
        <f t="shared" si="28"/>
        <v>20.048076923076923</v>
      </c>
      <c r="R186" s="873">
        <f>NC_DKDD!G671</f>
        <v>2.5000000000000001E-2</v>
      </c>
      <c r="S186" s="859"/>
      <c r="T186" s="859"/>
      <c r="U186" s="859"/>
      <c r="V186" s="859"/>
      <c r="W186" s="859"/>
      <c r="X186" s="859"/>
      <c r="Y186" s="859"/>
      <c r="Z186" s="859"/>
      <c r="AA186" s="859"/>
      <c r="AB186" s="859"/>
      <c r="AC186" s="859"/>
      <c r="AD186" s="859"/>
      <c r="AE186" s="859"/>
      <c r="AF186" s="859"/>
      <c r="AG186" s="859"/>
      <c r="AH186" s="859"/>
      <c r="AI186" s="859"/>
      <c r="AJ186" s="859"/>
      <c r="AK186" s="859"/>
      <c r="AL186" s="859"/>
      <c r="AM186" s="859"/>
    </row>
    <row r="187" spans="1:39" s="860" customFormat="1" ht="32.450000000000003" customHeight="1">
      <c r="A187" s="798" t="s">
        <v>743</v>
      </c>
      <c r="B187" s="799" t="s">
        <v>117</v>
      </c>
      <c r="C187" s="798" t="s">
        <v>532</v>
      </c>
      <c r="D187" s="792" t="s">
        <v>722</v>
      </c>
      <c r="E187" s="856" t="e">
        <f>NC_DKDD!H672/5000</f>
        <v>#VALUE!</v>
      </c>
      <c r="F187" s="856"/>
      <c r="G187" s="795"/>
      <c r="H187" s="856"/>
      <c r="I187" s="856"/>
      <c r="J187" s="856"/>
      <c r="K187" s="856"/>
      <c r="L187" s="857"/>
      <c r="M187" s="857"/>
      <c r="N187" s="857"/>
      <c r="O187" s="871">
        <f t="shared" si="26"/>
        <v>2.4592307692307691</v>
      </c>
      <c r="P187" s="830">
        <f t="shared" si="27"/>
        <v>2.1384615384615384</v>
      </c>
      <c r="Q187" s="830">
        <f t="shared" si="28"/>
        <v>0.32076923076923075</v>
      </c>
      <c r="R187" s="873">
        <f>NC_DKDD!G672/5000</f>
        <v>4.0000000000000002E-4</v>
      </c>
      <c r="S187" s="859"/>
      <c r="T187" s="859"/>
      <c r="U187" s="859"/>
      <c r="V187" s="859"/>
      <c r="W187" s="859"/>
      <c r="X187" s="859"/>
      <c r="Y187" s="859"/>
      <c r="Z187" s="859"/>
      <c r="AA187" s="859"/>
      <c r="AB187" s="859"/>
      <c r="AC187" s="859"/>
      <c r="AD187" s="859"/>
      <c r="AE187" s="859"/>
      <c r="AF187" s="859"/>
      <c r="AG187" s="859"/>
      <c r="AH187" s="859"/>
      <c r="AI187" s="859"/>
      <c r="AJ187" s="859"/>
      <c r="AK187" s="859"/>
      <c r="AL187" s="859"/>
      <c r="AM187" s="859"/>
    </row>
    <row r="188" spans="1:39" s="860" customFormat="1" ht="32.450000000000003" customHeight="1">
      <c r="A188" s="878">
        <v>3</v>
      </c>
      <c r="B188" s="879" t="s">
        <v>529</v>
      </c>
      <c r="C188" s="878" t="s">
        <v>532</v>
      </c>
      <c r="D188" s="880" t="s">
        <v>722</v>
      </c>
      <c r="E188" s="881" t="e">
        <f>NC_DKDD!H673/5000</f>
        <v>#VALUE!</v>
      </c>
      <c r="F188" s="881"/>
      <c r="G188" s="882"/>
      <c r="H188" s="881"/>
      <c r="I188" s="881"/>
      <c r="J188" s="881"/>
      <c r="K188" s="881"/>
      <c r="L188" s="883"/>
      <c r="M188" s="883"/>
      <c r="N188" s="883"/>
      <c r="O188" s="884">
        <f t="shared" si="26"/>
        <v>9.8369230769230764</v>
      </c>
      <c r="P188" s="830">
        <f t="shared" si="27"/>
        <v>8.5538461538461537</v>
      </c>
      <c r="Q188" s="830">
        <f t="shared" si="28"/>
        <v>1.283076923076923</v>
      </c>
      <c r="R188" s="873">
        <f>NC_DKDD!G673/5000</f>
        <v>1.6000000000000001E-3</v>
      </c>
      <c r="S188" s="859"/>
      <c r="T188" s="859"/>
      <c r="U188" s="859"/>
      <c r="V188" s="859"/>
      <c r="W188" s="859"/>
      <c r="X188" s="859"/>
      <c r="Y188" s="859"/>
      <c r="Z188" s="859"/>
      <c r="AA188" s="859"/>
      <c r="AB188" s="859"/>
      <c r="AC188" s="859"/>
      <c r="AD188" s="859"/>
      <c r="AE188" s="859"/>
      <c r="AF188" s="859"/>
      <c r="AG188" s="859"/>
      <c r="AH188" s="859"/>
      <c r="AI188" s="859"/>
      <c r="AJ188" s="859"/>
      <c r="AK188" s="859"/>
      <c r="AL188" s="859"/>
      <c r="AM188" s="859"/>
    </row>
    <row r="189" spans="1:39" ht="27.6" customHeight="1">
      <c r="A189" s="437"/>
      <c r="B189" s="445"/>
      <c r="C189" s="439"/>
      <c r="D189" s="885"/>
      <c r="E189" s="803"/>
      <c r="F189" s="803"/>
      <c r="G189" s="804"/>
      <c r="H189" s="803"/>
      <c r="I189" s="803"/>
      <c r="J189" s="805"/>
      <c r="K189" s="805"/>
      <c r="L189" s="805"/>
      <c r="M189" s="805"/>
      <c r="N189" s="805"/>
      <c r="O189" s="442"/>
      <c r="P189" s="420"/>
      <c r="Q189" s="420"/>
      <c r="R189" s="806"/>
    </row>
    <row r="190" spans="1:39" ht="21" customHeight="1">
      <c r="A190" s="437"/>
      <c r="B190" s="802" t="s">
        <v>533</v>
      </c>
      <c r="C190" s="439"/>
      <c r="D190" s="437"/>
      <c r="E190" s="803"/>
      <c r="F190" s="803"/>
      <c r="G190" s="804"/>
      <c r="H190" s="803"/>
      <c r="I190" s="803"/>
      <c r="J190" s="805"/>
      <c r="K190" s="805"/>
      <c r="L190" s="805"/>
      <c r="M190" s="419"/>
      <c r="N190" s="419"/>
      <c r="O190" s="442"/>
      <c r="P190" s="420"/>
      <c r="Q190" s="420"/>
      <c r="R190" s="806"/>
    </row>
    <row r="191" spans="1:39" ht="33" customHeight="1">
      <c r="A191" s="455"/>
      <c r="B191" s="1073" t="s">
        <v>854</v>
      </c>
      <c r="C191" s="1073"/>
      <c r="D191" s="1073"/>
      <c r="E191" s="1073"/>
      <c r="F191" s="1073"/>
      <c r="G191" s="1073"/>
      <c r="H191" s="1073"/>
      <c r="I191" s="1073"/>
      <c r="J191" s="1073"/>
      <c r="K191" s="1073"/>
      <c r="L191" s="1073"/>
      <c r="M191" s="1073"/>
      <c r="N191" s="1073"/>
      <c r="O191" s="1073"/>
      <c r="P191" s="420"/>
      <c r="Q191" s="420"/>
      <c r="R191" s="806"/>
    </row>
    <row r="192" spans="1:39" ht="37.15" customHeight="1">
      <c r="A192" s="455"/>
      <c r="B192" s="1072" t="s">
        <v>744</v>
      </c>
      <c r="C192" s="1072"/>
      <c r="D192" s="1072"/>
      <c r="E192" s="1072"/>
      <c r="F192" s="1072"/>
      <c r="G192" s="1072"/>
      <c r="H192" s="1072"/>
      <c r="I192" s="1072"/>
      <c r="J192" s="1072"/>
      <c r="K192" s="1072"/>
      <c r="L192" s="1072"/>
      <c r="M192" s="1072"/>
      <c r="N192" s="1072"/>
      <c r="O192" s="1072"/>
      <c r="P192" s="420"/>
      <c r="Q192" s="420"/>
      <c r="R192" s="806"/>
    </row>
    <row r="193" spans="1:39" ht="37.15" customHeight="1">
      <c r="A193" s="455"/>
      <c r="B193" s="1072" t="s">
        <v>392</v>
      </c>
      <c r="C193" s="1072"/>
      <c r="D193" s="1072"/>
      <c r="E193" s="1072"/>
      <c r="F193" s="1072"/>
      <c r="G193" s="1072"/>
      <c r="H193" s="1072"/>
      <c r="I193" s="1072"/>
      <c r="J193" s="1072"/>
      <c r="K193" s="1072"/>
      <c r="L193" s="1072"/>
      <c r="M193" s="1072"/>
      <c r="N193" s="1072"/>
      <c r="O193" s="1072"/>
      <c r="P193" s="420"/>
      <c r="Q193" s="420"/>
      <c r="R193" s="806"/>
    </row>
    <row r="194" spans="1:39" ht="37.9" customHeight="1">
      <c r="A194" s="455"/>
      <c r="B194" s="1072" t="s">
        <v>1007</v>
      </c>
      <c r="C194" s="1072"/>
      <c r="D194" s="1072"/>
      <c r="E194" s="1072"/>
      <c r="F194" s="1072"/>
      <c r="G194" s="1072"/>
      <c r="H194" s="1072"/>
      <c r="I194" s="1072"/>
      <c r="J194" s="1072"/>
      <c r="K194" s="1072"/>
      <c r="L194" s="1072"/>
      <c r="M194" s="1072"/>
      <c r="N194" s="1072"/>
      <c r="O194" s="1072"/>
      <c r="P194" s="420"/>
      <c r="Q194" s="420"/>
      <c r="R194" s="806"/>
    </row>
    <row r="195" spans="1:39" ht="54" customHeight="1">
      <c r="A195" s="455"/>
      <c r="B195" s="1072" t="s">
        <v>811</v>
      </c>
      <c r="C195" s="1072"/>
      <c r="D195" s="1072"/>
      <c r="E195" s="1072"/>
      <c r="F195" s="1072"/>
      <c r="G195" s="1072"/>
      <c r="H195" s="1072"/>
      <c r="I195" s="1072"/>
      <c r="J195" s="1072"/>
      <c r="K195" s="1072"/>
      <c r="L195" s="1072"/>
      <c r="M195" s="1072"/>
      <c r="N195" s="1072"/>
      <c r="O195" s="1072"/>
      <c r="P195" s="420"/>
      <c r="Q195" s="420"/>
      <c r="R195" s="806"/>
    </row>
    <row r="196" spans="1:39" ht="36.75" customHeight="1">
      <c r="A196" s="455"/>
      <c r="B196" s="1072" t="s">
        <v>812</v>
      </c>
      <c r="C196" s="1072"/>
      <c r="D196" s="1072"/>
      <c r="E196" s="1072"/>
      <c r="F196" s="1072"/>
      <c r="G196" s="1072"/>
      <c r="H196" s="1072"/>
      <c r="I196" s="1072"/>
      <c r="J196" s="1072"/>
      <c r="K196" s="1072"/>
      <c r="L196" s="1072"/>
      <c r="M196" s="1072"/>
      <c r="N196" s="1072"/>
      <c r="O196" s="1072"/>
      <c r="P196" s="420"/>
      <c r="Q196" s="420"/>
      <c r="R196" s="806"/>
    </row>
    <row r="197" spans="1:39" ht="53.45" customHeight="1">
      <c r="A197" s="455"/>
      <c r="B197" s="1072" t="s">
        <v>393</v>
      </c>
      <c r="C197" s="1072"/>
      <c r="D197" s="1072"/>
      <c r="E197" s="1072"/>
      <c r="F197" s="1072"/>
      <c r="G197" s="1072"/>
      <c r="H197" s="1072"/>
      <c r="I197" s="1072"/>
      <c r="J197" s="1072"/>
      <c r="K197" s="1072"/>
      <c r="L197" s="1072"/>
      <c r="M197" s="1072"/>
      <c r="N197" s="1072"/>
      <c r="O197" s="1072"/>
      <c r="P197" s="420"/>
      <c r="Q197" s="420"/>
      <c r="R197" s="806"/>
    </row>
    <row r="198" spans="1:39" ht="26.25" customHeight="1">
      <c r="A198" s="455"/>
      <c r="B198" s="864"/>
      <c r="C198" s="886"/>
      <c r="D198" s="886"/>
      <c r="E198" s="886"/>
      <c r="F198" s="886"/>
      <c r="G198" s="886"/>
      <c r="H198" s="886"/>
      <c r="I198" s="886"/>
      <c r="J198" s="886"/>
      <c r="K198" s="886"/>
      <c r="L198" s="886"/>
      <c r="M198" s="886"/>
      <c r="N198" s="886"/>
      <c r="O198" s="886"/>
      <c r="P198" s="420"/>
      <c r="Q198" s="420"/>
      <c r="R198" s="806"/>
    </row>
    <row r="199" spans="1:39" ht="28.15" customHeight="1">
      <c r="A199" s="1070" t="s">
        <v>130</v>
      </c>
      <c r="B199" s="1070"/>
      <c r="C199" s="1070"/>
      <c r="D199" s="1070"/>
      <c r="E199" s="1070"/>
      <c r="F199" s="1070"/>
      <c r="G199" s="1070"/>
      <c r="H199" s="1070"/>
      <c r="I199" s="1070"/>
      <c r="J199" s="1070"/>
      <c r="K199" s="1070"/>
      <c r="L199" s="1070"/>
      <c r="M199" s="1070"/>
      <c r="N199" s="1070"/>
      <c r="O199" s="1070"/>
      <c r="R199" s="806"/>
    </row>
    <row r="200" spans="1:39" s="421" customFormat="1" ht="19.5" customHeight="1">
      <c r="A200" s="414"/>
      <c r="B200" s="415"/>
      <c r="C200" s="776"/>
      <c r="D200" s="777" t="s">
        <v>430</v>
      </c>
      <c r="E200" s="419"/>
      <c r="F200" s="778"/>
      <c r="G200" s="779"/>
      <c r="H200" s="778"/>
      <c r="I200" s="780"/>
      <c r="J200" s="778"/>
      <c r="K200" s="778"/>
      <c r="L200" s="781" t="s">
        <v>262</v>
      </c>
      <c r="M200" s="778"/>
      <c r="N200" s="780"/>
      <c r="O200" s="419"/>
      <c r="P200" s="420"/>
      <c r="Q200" s="420"/>
      <c r="R200" s="820"/>
      <c r="S200" s="420"/>
      <c r="T200" s="420"/>
      <c r="U200" s="420"/>
      <c r="V200" s="420"/>
      <c r="W200" s="420"/>
      <c r="X200" s="420"/>
      <c r="Y200" s="420"/>
      <c r="Z200" s="420"/>
      <c r="AA200" s="420"/>
      <c r="AB200" s="420"/>
      <c r="AC200" s="420"/>
      <c r="AD200" s="420"/>
      <c r="AE200" s="420"/>
      <c r="AF200" s="420"/>
      <c r="AG200" s="420"/>
      <c r="AH200" s="420"/>
      <c r="AI200" s="420"/>
      <c r="AJ200" s="420"/>
      <c r="AK200" s="420"/>
      <c r="AL200" s="420"/>
      <c r="AM200" s="420"/>
    </row>
    <row r="201" spans="1:39" s="421" customFormat="1" ht="7.5" customHeight="1">
      <c r="A201" s="414"/>
      <c r="B201" s="415"/>
      <c r="C201" s="776"/>
      <c r="D201" s="821"/>
      <c r="E201" s="419"/>
      <c r="F201" s="419"/>
      <c r="G201" s="822"/>
      <c r="H201" s="419"/>
      <c r="I201" s="419"/>
      <c r="J201" s="419"/>
      <c r="K201" s="419"/>
      <c r="L201" s="419"/>
      <c r="M201" s="419"/>
      <c r="N201" s="419"/>
      <c r="O201" s="419"/>
      <c r="P201" s="420"/>
      <c r="Q201" s="420"/>
      <c r="R201" s="820"/>
      <c r="S201" s="420"/>
      <c r="T201" s="420"/>
      <c r="U201" s="420"/>
      <c r="V201" s="420"/>
      <c r="W201" s="420"/>
      <c r="X201" s="420"/>
      <c r="Y201" s="420"/>
      <c r="Z201" s="420"/>
      <c r="AA201" s="420"/>
      <c r="AB201" s="420"/>
      <c r="AC201" s="420"/>
      <c r="AD201" s="420"/>
      <c r="AE201" s="420"/>
      <c r="AF201" s="420"/>
      <c r="AG201" s="420"/>
      <c r="AH201" s="420"/>
      <c r="AI201" s="420"/>
      <c r="AJ201" s="420"/>
      <c r="AK201" s="420"/>
      <c r="AL201" s="420"/>
      <c r="AM201" s="420"/>
    </row>
    <row r="202" spans="1:39" s="890" customFormat="1" ht="25.15" customHeight="1">
      <c r="A202" s="1068" t="s">
        <v>718</v>
      </c>
      <c r="B202" s="1068" t="s">
        <v>198</v>
      </c>
      <c r="C202" s="1071" t="s">
        <v>263</v>
      </c>
      <c r="D202" s="1071" t="s">
        <v>264</v>
      </c>
      <c r="E202" s="1071" t="s">
        <v>683</v>
      </c>
      <c r="F202" s="1071"/>
      <c r="G202" s="1071"/>
      <c r="H202" s="1071"/>
      <c r="I202" s="1071"/>
      <c r="J202" s="1071"/>
      <c r="K202" s="1071"/>
      <c r="L202" s="1071"/>
      <c r="M202" s="1071" t="s">
        <v>435</v>
      </c>
      <c r="N202" s="1071" t="s">
        <v>684</v>
      </c>
      <c r="O202" s="1071" t="s">
        <v>685</v>
      </c>
      <c r="P202" s="887"/>
      <c r="Q202" s="887"/>
      <c r="R202" s="888"/>
      <c r="S202" s="889"/>
      <c r="T202" s="889"/>
      <c r="U202" s="889"/>
      <c r="V202" s="889"/>
      <c r="W202" s="889"/>
      <c r="X202" s="889"/>
      <c r="Y202" s="889"/>
      <c r="Z202" s="889"/>
      <c r="AA202" s="889"/>
      <c r="AB202" s="889"/>
      <c r="AC202" s="889"/>
      <c r="AD202" s="889"/>
      <c r="AE202" s="889"/>
      <c r="AF202" s="889"/>
      <c r="AG202" s="889"/>
      <c r="AH202" s="889"/>
      <c r="AI202" s="889"/>
      <c r="AJ202" s="889"/>
      <c r="AK202" s="889"/>
      <c r="AL202" s="889"/>
      <c r="AM202" s="889"/>
    </row>
    <row r="203" spans="1:39" s="890" customFormat="1" ht="36" customHeight="1">
      <c r="A203" s="1068"/>
      <c r="B203" s="1068"/>
      <c r="C203" s="1071"/>
      <c r="D203" s="1071"/>
      <c r="E203" s="783" t="s">
        <v>686</v>
      </c>
      <c r="F203" s="783" t="s">
        <v>687</v>
      </c>
      <c r="G203" s="784" t="s">
        <v>285</v>
      </c>
      <c r="H203" s="783" t="s">
        <v>499</v>
      </c>
      <c r="I203" s="783" t="s">
        <v>688</v>
      </c>
      <c r="J203" s="783" t="s">
        <v>531</v>
      </c>
      <c r="K203" s="783" t="s">
        <v>689</v>
      </c>
      <c r="L203" s="783" t="s">
        <v>690</v>
      </c>
      <c r="M203" s="1071"/>
      <c r="N203" s="1071"/>
      <c r="O203" s="1071"/>
      <c r="P203" s="887"/>
      <c r="Q203" s="887"/>
      <c r="R203" s="888"/>
      <c r="S203" s="889"/>
      <c r="T203" s="889"/>
      <c r="U203" s="889"/>
      <c r="V203" s="889"/>
      <c r="W203" s="889"/>
      <c r="X203" s="889"/>
      <c r="Y203" s="889"/>
      <c r="Z203" s="889"/>
      <c r="AA203" s="889"/>
      <c r="AB203" s="889"/>
      <c r="AC203" s="889"/>
      <c r="AD203" s="889"/>
      <c r="AE203" s="889"/>
      <c r="AF203" s="889"/>
      <c r="AG203" s="889"/>
      <c r="AH203" s="889"/>
      <c r="AI203" s="889"/>
      <c r="AJ203" s="889"/>
      <c r="AK203" s="889"/>
      <c r="AL203" s="889"/>
      <c r="AM203" s="889"/>
    </row>
    <row r="204" spans="1:39" s="890" customFormat="1" ht="36" customHeight="1">
      <c r="A204" s="785"/>
      <c r="B204" s="839" t="s">
        <v>129</v>
      </c>
      <c r="C204" s="783"/>
      <c r="D204" s="783"/>
      <c r="E204" s="783"/>
      <c r="F204" s="783"/>
      <c r="G204" s="784"/>
      <c r="H204" s="783"/>
      <c r="I204" s="783"/>
      <c r="J204" s="783"/>
      <c r="K204" s="783"/>
      <c r="L204" s="783"/>
      <c r="M204" s="783"/>
      <c r="N204" s="783"/>
      <c r="O204" s="783"/>
      <c r="P204" s="887"/>
      <c r="Q204" s="887"/>
      <c r="R204" s="888"/>
      <c r="S204" s="889"/>
      <c r="T204" s="889"/>
      <c r="U204" s="889"/>
      <c r="V204" s="889"/>
      <c r="W204" s="889"/>
      <c r="X204" s="889"/>
      <c r="Y204" s="889"/>
      <c r="Z204" s="889"/>
      <c r="AA204" s="889"/>
      <c r="AB204" s="889"/>
      <c r="AC204" s="889"/>
      <c r="AD204" s="889"/>
      <c r="AE204" s="889"/>
      <c r="AF204" s="889"/>
      <c r="AG204" s="889"/>
      <c r="AH204" s="889"/>
      <c r="AI204" s="889"/>
      <c r="AJ204" s="889"/>
      <c r="AK204" s="889"/>
      <c r="AL204" s="889"/>
      <c r="AM204" s="889"/>
    </row>
    <row r="205" spans="1:39" s="890" customFormat="1" ht="48" customHeight="1">
      <c r="A205" s="785"/>
      <c r="B205" s="786" t="s">
        <v>668</v>
      </c>
      <c r="C205" s="783" t="s">
        <v>532</v>
      </c>
      <c r="D205" s="785" t="s">
        <v>723</v>
      </c>
      <c r="E205" s="788" t="e">
        <f>E208+E234</f>
        <v>#VALUE!</v>
      </c>
      <c r="F205" s="788">
        <f t="shared" ref="F205:N205" si="29">F208+F234</f>
        <v>0</v>
      </c>
      <c r="G205" s="788">
        <f t="shared" si="29"/>
        <v>0</v>
      </c>
      <c r="H205" s="788">
        <f t="shared" si="29"/>
        <v>8157.2958317307694</v>
      </c>
      <c r="I205" s="788">
        <f t="shared" si="29"/>
        <v>18661.86</v>
      </c>
      <c r="J205" s="788">
        <f t="shared" si="29"/>
        <v>6612.826</v>
      </c>
      <c r="K205" s="788">
        <f t="shared" si="29"/>
        <v>14571.858</v>
      </c>
      <c r="L205" s="788" t="e">
        <f t="shared" si="29"/>
        <v>#VALUE!</v>
      </c>
      <c r="M205" s="788" t="e">
        <f t="shared" si="29"/>
        <v>#VALUE!</v>
      </c>
      <c r="N205" s="788" t="e">
        <f t="shared" si="29"/>
        <v>#VALUE!</v>
      </c>
      <c r="O205" s="788">
        <f>O208+O234</f>
        <v>13206.06923076923</v>
      </c>
      <c r="P205" s="887"/>
      <c r="Q205" s="887"/>
      <c r="R205" s="888"/>
      <c r="S205" s="889"/>
      <c r="T205" s="889"/>
      <c r="U205" s="889"/>
      <c r="V205" s="889"/>
      <c r="W205" s="889"/>
      <c r="X205" s="889"/>
      <c r="Y205" s="889"/>
      <c r="Z205" s="889"/>
      <c r="AA205" s="889"/>
      <c r="AB205" s="889"/>
      <c r="AC205" s="889"/>
      <c r="AD205" s="889"/>
      <c r="AE205" s="889"/>
      <c r="AF205" s="889"/>
      <c r="AG205" s="889"/>
      <c r="AH205" s="889"/>
      <c r="AI205" s="889"/>
      <c r="AJ205" s="889"/>
      <c r="AK205" s="889"/>
      <c r="AL205" s="889"/>
      <c r="AM205" s="889"/>
    </row>
    <row r="206" spans="1:39" s="890" customFormat="1" ht="27.75" customHeight="1">
      <c r="A206" s="785"/>
      <c r="B206" s="789" t="s">
        <v>669</v>
      </c>
      <c r="C206" s="783" t="s">
        <v>532</v>
      </c>
      <c r="D206" s="785" t="s">
        <v>723</v>
      </c>
      <c r="E206" s="788" t="e">
        <f>E209+E234</f>
        <v>#VALUE!</v>
      </c>
      <c r="F206" s="788">
        <f t="shared" ref="F206:N206" si="30">F209+F234</f>
        <v>0</v>
      </c>
      <c r="G206" s="788">
        <f t="shared" si="30"/>
        <v>0</v>
      </c>
      <c r="H206" s="788">
        <f t="shared" si="30"/>
        <v>8157.2958317307694</v>
      </c>
      <c r="I206" s="788">
        <f t="shared" si="30"/>
        <v>18661.86</v>
      </c>
      <c r="J206" s="788">
        <f t="shared" si="30"/>
        <v>6612.826</v>
      </c>
      <c r="K206" s="788">
        <f t="shared" si="30"/>
        <v>14571.858</v>
      </c>
      <c r="L206" s="788" t="e">
        <f t="shared" si="30"/>
        <v>#VALUE!</v>
      </c>
      <c r="M206" s="788" t="e">
        <f t="shared" si="30"/>
        <v>#VALUE!</v>
      </c>
      <c r="N206" s="788" t="e">
        <f t="shared" si="30"/>
        <v>#VALUE!</v>
      </c>
      <c r="O206" s="788">
        <f>O209+O234</f>
        <v>12898.665384615384</v>
      </c>
      <c r="P206" s="891">
        <f>'He so chung'!D$22</f>
        <v>5346.1538461538457</v>
      </c>
      <c r="Q206" s="891">
        <f>'He so chung'!D$23</f>
        <v>801.92307692307691</v>
      </c>
      <c r="R206" s="892"/>
      <c r="S206" s="889"/>
      <c r="T206" s="889"/>
      <c r="U206" s="889"/>
      <c r="V206" s="889"/>
      <c r="W206" s="889"/>
      <c r="X206" s="889"/>
      <c r="Y206" s="889"/>
      <c r="Z206" s="889"/>
      <c r="AA206" s="889"/>
      <c r="AB206" s="889"/>
      <c r="AC206" s="889"/>
      <c r="AD206" s="889"/>
      <c r="AE206" s="889"/>
      <c r="AF206" s="889"/>
      <c r="AG206" s="889"/>
      <c r="AH206" s="889"/>
      <c r="AI206" s="889"/>
      <c r="AJ206" s="889"/>
      <c r="AK206" s="889"/>
      <c r="AL206" s="889"/>
      <c r="AM206" s="889"/>
    </row>
    <row r="207" spans="1:39" s="890" customFormat="1" ht="24.75" customHeight="1">
      <c r="A207" s="785" t="s">
        <v>1000</v>
      </c>
      <c r="B207" s="789" t="s">
        <v>582</v>
      </c>
      <c r="C207" s="783" t="s">
        <v>532</v>
      </c>
      <c r="D207" s="785" t="s">
        <v>723</v>
      </c>
      <c r="E207" s="783"/>
      <c r="F207" s="783"/>
      <c r="G207" s="784"/>
      <c r="H207" s="783"/>
      <c r="I207" s="783"/>
      <c r="J207" s="783"/>
      <c r="K207" s="783"/>
      <c r="L207" s="783"/>
      <c r="M207" s="783"/>
      <c r="N207" s="783"/>
      <c r="O207" s="783"/>
      <c r="P207" s="891"/>
      <c r="Q207" s="891"/>
      <c r="R207" s="892"/>
      <c r="S207" s="889"/>
      <c r="T207" s="889"/>
      <c r="U207" s="889"/>
      <c r="V207" s="889"/>
      <c r="W207" s="889"/>
      <c r="X207" s="889"/>
      <c r="Y207" s="889"/>
      <c r="Z207" s="889"/>
      <c r="AA207" s="889"/>
      <c r="AB207" s="889"/>
      <c r="AC207" s="889"/>
      <c r="AD207" s="889"/>
      <c r="AE207" s="889"/>
      <c r="AF207" s="889"/>
      <c r="AG207" s="889"/>
      <c r="AH207" s="889"/>
      <c r="AI207" s="889"/>
      <c r="AJ207" s="889"/>
      <c r="AK207" s="889"/>
      <c r="AL207" s="889"/>
      <c r="AM207" s="889"/>
    </row>
    <row r="208" spans="1:39" s="894" customFormat="1" ht="25.5" customHeight="1">
      <c r="A208" s="791" t="s">
        <v>1008</v>
      </c>
      <c r="B208" s="787" t="s">
        <v>668</v>
      </c>
      <c r="C208" s="783" t="s">
        <v>532</v>
      </c>
      <c r="D208" s="792" t="s">
        <v>723</v>
      </c>
      <c r="E208" s="808" t="e">
        <f>E211+E213+E214+E215+E216+E218+E220+E222+E224+E225+E228+E229+E230+E231+E232+E233</f>
        <v>#VALUE!</v>
      </c>
      <c r="F208" s="809">
        <f>F211+F213+F214+F215+F216+F218+F220+F222+F224+F225+F228+F229+F230+F231+F232+F233</f>
        <v>0</v>
      </c>
      <c r="G208" s="795"/>
      <c r="H208" s="788">
        <f>'Dcu-DKDD'!$J$251</f>
        <v>8086.2125480769228</v>
      </c>
      <c r="I208" s="788">
        <f>'VL-DKDD'!$H$253</f>
        <v>17985.240000000002</v>
      </c>
      <c r="J208" s="788">
        <f>'TB-DKDD'!$K$142</f>
        <v>6612.826</v>
      </c>
      <c r="K208" s="788">
        <f>'NL-DKDD'!$H$96</f>
        <v>14571.858</v>
      </c>
      <c r="L208" s="810" t="e">
        <f>SUM(E208:K208)</f>
        <v>#VALUE!</v>
      </c>
      <c r="M208" s="810" t="e">
        <f>L208*'He so chung'!$D$17/100</f>
        <v>#VALUE!</v>
      </c>
      <c r="N208" s="810" t="e">
        <f>L208+M208</f>
        <v>#VALUE!</v>
      </c>
      <c r="O208" s="808">
        <f>O211+O213+O214+O215+O216+O218+O220+O222+O224+O225+O228+O229+O230+O231+O232+O233</f>
        <v>13083.107692307691</v>
      </c>
      <c r="P208" s="887"/>
      <c r="Q208" s="887"/>
      <c r="R208" s="801"/>
      <c r="S208" s="893"/>
      <c r="T208" s="893"/>
      <c r="U208" s="893"/>
      <c r="V208" s="893"/>
      <c r="W208" s="893"/>
      <c r="X208" s="893"/>
      <c r="Y208" s="893"/>
      <c r="Z208" s="893"/>
      <c r="AA208" s="893"/>
      <c r="AB208" s="893"/>
      <c r="AC208" s="893"/>
      <c r="AD208" s="893"/>
      <c r="AE208" s="893"/>
      <c r="AF208" s="893"/>
      <c r="AG208" s="893"/>
      <c r="AH208" s="893"/>
      <c r="AI208" s="893"/>
      <c r="AJ208" s="893"/>
      <c r="AK208" s="893"/>
      <c r="AL208" s="893"/>
      <c r="AM208" s="893"/>
    </row>
    <row r="209" spans="1:39" s="894" customFormat="1" ht="25.5" customHeight="1">
      <c r="A209" s="791" t="s">
        <v>1009</v>
      </c>
      <c r="B209" s="787" t="s">
        <v>669</v>
      </c>
      <c r="C209" s="783" t="s">
        <v>532</v>
      </c>
      <c r="D209" s="792" t="s">
        <v>723</v>
      </c>
      <c r="E209" s="808" t="e">
        <f>E212+E213+E214+E215+E216+E218+E220+E222+E224+E225+E228+E229+E230+E231+E232+E233</f>
        <v>#VALUE!</v>
      </c>
      <c r="F209" s="809">
        <f>F212+F213+F214+F215+F216+F218+F220+F222+F224+F225+F228+F229+F230+F231+F232+F233</f>
        <v>0</v>
      </c>
      <c r="G209" s="795"/>
      <c r="H209" s="788">
        <f>'Dcu-DKDD'!$J$251</f>
        <v>8086.2125480769228</v>
      </c>
      <c r="I209" s="788">
        <f>'VL-DKDD'!$H$253</f>
        <v>17985.240000000002</v>
      </c>
      <c r="J209" s="788">
        <f>'TB-DKDD'!$K$142</f>
        <v>6612.826</v>
      </c>
      <c r="K209" s="788">
        <f>'NL-DKDD'!$H$96</f>
        <v>14571.858</v>
      </c>
      <c r="L209" s="810" t="e">
        <f>SUM(E209:K209)</f>
        <v>#VALUE!</v>
      </c>
      <c r="M209" s="810" t="e">
        <f>L209*'He so chung'!$D$17/100</f>
        <v>#VALUE!</v>
      </c>
      <c r="N209" s="810" t="e">
        <f>L209+M209</f>
        <v>#VALUE!</v>
      </c>
      <c r="O209" s="808">
        <f>O212+O213+O214+O215+O216+O218+O220+O222+O224+O225+O228+O229+O230+O231+O232+O233</f>
        <v>12775.703846153845</v>
      </c>
      <c r="P209" s="887"/>
      <c r="Q209" s="887"/>
      <c r="R209" s="801"/>
      <c r="S209" s="893"/>
      <c r="T209" s="893"/>
      <c r="U209" s="893"/>
      <c r="V209" s="893"/>
      <c r="W209" s="893"/>
      <c r="X209" s="893"/>
      <c r="Y209" s="893"/>
      <c r="Z209" s="893"/>
      <c r="AA209" s="893"/>
      <c r="AB209" s="893"/>
      <c r="AC209" s="893"/>
      <c r="AD209" s="893"/>
      <c r="AE209" s="893"/>
      <c r="AF209" s="893"/>
      <c r="AG209" s="893"/>
      <c r="AH209" s="893"/>
      <c r="AI209" s="893"/>
      <c r="AJ209" s="893"/>
      <c r="AK209" s="893"/>
      <c r="AL209" s="893"/>
      <c r="AM209" s="893"/>
    </row>
    <row r="210" spans="1:39" s="894" customFormat="1" ht="25.5" customHeight="1">
      <c r="A210" s="798">
        <v>1</v>
      </c>
      <c r="B210" s="799" t="s">
        <v>360</v>
      </c>
      <c r="C210" s="798"/>
      <c r="D210" s="811"/>
      <c r="E210" s="809"/>
      <c r="F210" s="809"/>
      <c r="G210" s="795"/>
      <c r="H210" s="809"/>
      <c r="I210" s="809"/>
      <c r="J210" s="809"/>
      <c r="K210" s="809"/>
      <c r="L210" s="809"/>
      <c r="M210" s="809"/>
      <c r="N210" s="809"/>
      <c r="O210" s="809">
        <f>P210+Q210</f>
        <v>0</v>
      </c>
      <c r="P210" s="887"/>
      <c r="Q210" s="887"/>
      <c r="R210" s="801"/>
      <c r="S210" s="893"/>
      <c r="T210" s="893"/>
      <c r="U210" s="893"/>
      <c r="V210" s="893"/>
      <c r="W210" s="893"/>
      <c r="X210" s="893"/>
      <c r="Y210" s="893"/>
      <c r="Z210" s="893"/>
      <c r="AA210" s="893"/>
      <c r="AB210" s="893"/>
      <c r="AC210" s="893"/>
      <c r="AD210" s="893"/>
      <c r="AE210" s="893"/>
      <c r="AF210" s="893"/>
      <c r="AG210" s="893"/>
      <c r="AH210" s="893"/>
      <c r="AI210" s="893"/>
      <c r="AJ210" s="893"/>
      <c r="AK210" s="893"/>
      <c r="AL210" s="893"/>
      <c r="AM210" s="893"/>
    </row>
    <row r="211" spans="1:39" s="894" customFormat="1" ht="25.5" customHeight="1">
      <c r="A211" s="798" t="s">
        <v>733</v>
      </c>
      <c r="B211" s="799" t="s">
        <v>846</v>
      </c>
      <c r="C211" s="798" t="s">
        <v>532</v>
      </c>
      <c r="D211" s="792" t="s">
        <v>723</v>
      </c>
      <c r="E211" s="809" t="e">
        <f>NC_DKDD!H680</f>
        <v>#VALUE!</v>
      </c>
      <c r="F211" s="809"/>
      <c r="G211" s="795"/>
      <c r="H211" s="809"/>
      <c r="I211" s="809"/>
      <c r="J211" s="809"/>
      <c r="K211" s="809"/>
      <c r="L211" s="809"/>
      <c r="M211" s="809"/>
      <c r="N211" s="809"/>
      <c r="O211" s="809">
        <f>P211+Q211</f>
        <v>922.21153846153834</v>
      </c>
      <c r="P211" s="887">
        <f>R211*P$206</f>
        <v>801.92307692307679</v>
      </c>
      <c r="Q211" s="887">
        <f t="shared" ref="Q211:Q235" si="31">R211*Q$206</f>
        <v>120.28846153846153</v>
      </c>
      <c r="R211" s="801">
        <f>NC_DKDD!G680</f>
        <v>0.15</v>
      </c>
      <c r="S211" s="893"/>
      <c r="T211" s="893"/>
      <c r="U211" s="893"/>
      <c r="V211" s="893"/>
      <c r="W211" s="893"/>
      <c r="X211" s="893"/>
      <c r="Y211" s="893"/>
      <c r="Z211" s="893"/>
      <c r="AA211" s="893"/>
      <c r="AB211" s="893"/>
      <c r="AC211" s="893"/>
      <c r="AD211" s="893"/>
      <c r="AE211" s="893"/>
      <c r="AF211" s="893"/>
      <c r="AG211" s="893"/>
      <c r="AH211" s="893"/>
      <c r="AI211" s="893"/>
      <c r="AJ211" s="893"/>
      <c r="AK211" s="893"/>
      <c r="AL211" s="893"/>
      <c r="AM211" s="893"/>
    </row>
    <row r="212" spans="1:39" s="894" customFormat="1" ht="25.5" customHeight="1">
      <c r="A212" s="798" t="s">
        <v>741</v>
      </c>
      <c r="B212" s="799" t="s">
        <v>849</v>
      </c>
      <c r="C212" s="798" t="s">
        <v>532</v>
      </c>
      <c r="D212" s="792" t="s">
        <v>723</v>
      </c>
      <c r="E212" s="809" t="e">
        <f>NC_DKDD!H681</f>
        <v>#VALUE!</v>
      </c>
      <c r="F212" s="809"/>
      <c r="G212" s="795"/>
      <c r="H212" s="809"/>
      <c r="I212" s="809"/>
      <c r="J212" s="809"/>
      <c r="K212" s="809"/>
      <c r="L212" s="809"/>
      <c r="M212" s="809"/>
      <c r="N212" s="809"/>
      <c r="O212" s="809">
        <f>P212+Q212</f>
        <v>614.80769230769238</v>
      </c>
      <c r="P212" s="887">
        <f>R212*P$206</f>
        <v>534.61538461538464</v>
      </c>
      <c r="Q212" s="887">
        <f t="shared" si="31"/>
        <v>80.192307692307693</v>
      </c>
      <c r="R212" s="801">
        <f>NC_DKDD!G681</f>
        <v>0.1</v>
      </c>
      <c r="S212" s="893"/>
      <c r="T212" s="893"/>
      <c r="U212" s="893"/>
      <c r="V212" s="893"/>
      <c r="W212" s="893"/>
      <c r="X212" s="893"/>
      <c r="Y212" s="893"/>
      <c r="Z212" s="893"/>
      <c r="AA212" s="893"/>
      <c r="AB212" s="893"/>
      <c r="AC212" s="893"/>
      <c r="AD212" s="893"/>
      <c r="AE212" s="893"/>
      <c r="AF212" s="893"/>
      <c r="AG212" s="893"/>
      <c r="AH212" s="893"/>
      <c r="AI212" s="893"/>
      <c r="AJ212" s="893"/>
      <c r="AK212" s="893"/>
      <c r="AL212" s="893"/>
      <c r="AM212" s="893"/>
    </row>
    <row r="213" spans="1:39" s="894" customFormat="1" ht="28.5">
      <c r="A213" s="798">
        <v>2</v>
      </c>
      <c r="B213" s="799" t="s">
        <v>797</v>
      </c>
      <c r="C213" s="798" t="s">
        <v>532</v>
      </c>
      <c r="D213" s="792" t="s">
        <v>723</v>
      </c>
      <c r="E213" s="809" t="e">
        <f>NC_DKDD!H682</f>
        <v>#VALUE!</v>
      </c>
      <c r="F213" s="809"/>
      <c r="G213" s="795"/>
      <c r="H213" s="809"/>
      <c r="I213" s="809"/>
      <c r="J213" s="809"/>
      <c r="K213" s="809"/>
      <c r="L213" s="809"/>
      <c r="M213" s="809"/>
      <c r="N213" s="809"/>
      <c r="O213" s="809">
        <f>P213+Q213</f>
        <v>1229.6153846153848</v>
      </c>
      <c r="P213" s="887">
        <f>R213*P$206</f>
        <v>1069.2307692307693</v>
      </c>
      <c r="Q213" s="887">
        <f t="shared" si="31"/>
        <v>160.38461538461539</v>
      </c>
      <c r="R213" s="801">
        <f>NC_DKDD!G682</f>
        <v>0.2</v>
      </c>
      <c r="S213" s="893"/>
      <c r="T213" s="893"/>
      <c r="U213" s="893"/>
      <c r="V213" s="893"/>
      <c r="W213" s="893"/>
      <c r="X213" s="893"/>
      <c r="Y213" s="893"/>
      <c r="Z213" s="893"/>
      <c r="AA213" s="893"/>
      <c r="AB213" s="893"/>
      <c r="AC213" s="893"/>
      <c r="AD213" s="893"/>
      <c r="AE213" s="893"/>
      <c r="AF213" s="893"/>
      <c r="AG213" s="893"/>
      <c r="AH213" s="893"/>
      <c r="AI213" s="893"/>
      <c r="AJ213" s="893"/>
      <c r="AK213" s="893"/>
      <c r="AL213" s="893"/>
      <c r="AM213" s="893"/>
    </row>
    <row r="214" spans="1:39" s="894" customFormat="1" ht="36" customHeight="1">
      <c r="A214" s="798">
        <v>3</v>
      </c>
      <c r="B214" s="799" t="s">
        <v>851</v>
      </c>
      <c r="C214" s="798" t="s">
        <v>375</v>
      </c>
      <c r="D214" s="792" t="s">
        <v>723</v>
      </c>
      <c r="E214" s="809" t="e">
        <f>NC_DKDD!H683</f>
        <v>#VALUE!</v>
      </c>
      <c r="F214" s="809"/>
      <c r="G214" s="795"/>
      <c r="H214" s="809"/>
      <c r="I214" s="809"/>
      <c r="J214" s="809"/>
      <c r="K214" s="809"/>
      <c r="L214" s="809"/>
      <c r="M214" s="809"/>
      <c r="N214" s="809"/>
      <c r="O214" s="809">
        <f>P214+Q214</f>
        <v>657.84423076923065</v>
      </c>
      <c r="P214" s="887">
        <f>R214*P$206</f>
        <v>572.03846153846143</v>
      </c>
      <c r="Q214" s="887">
        <f t="shared" si="31"/>
        <v>85.805769230769229</v>
      </c>
      <c r="R214" s="801">
        <f>NC_DKDD!G683</f>
        <v>0.107</v>
      </c>
      <c r="S214" s="893"/>
      <c r="T214" s="893"/>
      <c r="U214" s="893"/>
      <c r="V214" s="893"/>
      <c r="W214" s="893"/>
      <c r="X214" s="893"/>
      <c r="Y214" s="893"/>
      <c r="Z214" s="893"/>
      <c r="AA214" s="893"/>
      <c r="AB214" s="893"/>
      <c r="AC214" s="893"/>
      <c r="AD214" s="893"/>
      <c r="AE214" s="893"/>
      <c r="AF214" s="893"/>
      <c r="AG214" s="893"/>
      <c r="AH214" s="893"/>
      <c r="AI214" s="893"/>
      <c r="AJ214" s="893"/>
      <c r="AK214" s="893"/>
      <c r="AL214" s="893"/>
      <c r="AM214" s="893"/>
    </row>
    <row r="215" spans="1:39" s="894" customFormat="1" ht="28.5">
      <c r="A215" s="798">
        <v>4</v>
      </c>
      <c r="B215" s="799" t="s">
        <v>361</v>
      </c>
      <c r="C215" s="798" t="s">
        <v>532</v>
      </c>
      <c r="D215" s="792" t="s">
        <v>723</v>
      </c>
      <c r="E215" s="809" t="e">
        <f>NC_DKDD!H684</f>
        <v>#VALUE!</v>
      </c>
      <c r="F215" s="809"/>
      <c r="G215" s="795"/>
      <c r="H215" s="809"/>
      <c r="I215" s="809"/>
      <c r="J215" s="809"/>
      <c r="K215" s="809"/>
      <c r="L215" s="809"/>
      <c r="M215" s="809"/>
      <c r="N215" s="809"/>
      <c r="O215" s="809">
        <f t="shared" ref="O215:O235" si="32">P215+Q215</f>
        <v>3074.0384615384614</v>
      </c>
      <c r="P215" s="887">
        <f t="shared" ref="P215:P235" si="33">R215*P$206</f>
        <v>2673.0769230769229</v>
      </c>
      <c r="Q215" s="887">
        <f t="shared" si="31"/>
        <v>400.96153846153845</v>
      </c>
      <c r="R215" s="801">
        <f>NC_DKDD!G684</f>
        <v>0.5</v>
      </c>
      <c r="S215" s="893"/>
      <c r="T215" s="893"/>
      <c r="U215" s="893"/>
      <c r="V215" s="893"/>
      <c r="W215" s="893"/>
      <c r="X215" s="893"/>
      <c r="Y215" s="893"/>
      <c r="Z215" s="893"/>
      <c r="AA215" s="893"/>
      <c r="AB215" s="893"/>
      <c r="AC215" s="893"/>
      <c r="AD215" s="893"/>
      <c r="AE215" s="893"/>
      <c r="AF215" s="893"/>
      <c r="AG215" s="893"/>
      <c r="AH215" s="893"/>
      <c r="AI215" s="893"/>
      <c r="AJ215" s="893"/>
      <c r="AK215" s="893"/>
      <c r="AL215" s="893"/>
      <c r="AM215" s="893"/>
    </row>
    <row r="216" spans="1:39" s="894" customFormat="1" ht="34.5" customHeight="1">
      <c r="A216" s="798">
        <v>5</v>
      </c>
      <c r="B216" s="799" t="s">
        <v>2</v>
      </c>
      <c r="C216" s="798" t="s">
        <v>375</v>
      </c>
      <c r="D216" s="792" t="s">
        <v>723</v>
      </c>
      <c r="E216" s="809" t="e">
        <f>NC_DKDD!H685</f>
        <v>#VALUE!</v>
      </c>
      <c r="F216" s="809"/>
      <c r="G216" s="795"/>
      <c r="H216" s="809"/>
      <c r="I216" s="809"/>
      <c r="J216" s="809"/>
      <c r="K216" s="809"/>
      <c r="L216" s="809"/>
      <c r="M216" s="809"/>
      <c r="N216" s="809"/>
      <c r="O216" s="809">
        <f t="shared" si="32"/>
        <v>36.888461538461534</v>
      </c>
      <c r="P216" s="887">
        <f t="shared" si="33"/>
        <v>32.076923076923073</v>
      </c>
      <c r="Q216" s="887">
        <f t="shared" si="31"/>
        <v>4.8115384615384613</v>
      </c>
      <c r="R216" s="801">
        <f>NC_DKDD!G685</f>
        <v>6.0000000000000001E-3</v>
      </c>
      <c r="S216" s="893"/>
      <c r="T216" s="893"/>
      <c r="U216" s="893"/>
      <c r="V216" s="893"/>
      <c r="W216" s="893"/>
      <c r="X216" s="893"/>
      <c r="Y216" s="893"/>
      <c r="Z216" s="893"/>
      <c r="AA216" s="893"/>
      <c r="AB216" s="893"/>
      <c r="AC216" s="893"/>
      <c r="AD216" s="893"/>
      <c r="AE216" s="893"/>
      <c r="AF216" s="893"/>
      <c r="AG216" s="893"/>
      <c r="AH216" s="893"/>
      <c r="AI216" s="893"/>
      <c r="AJ216" s="893"/>
      <c r="AK216" s="893"/>
      <c r="AL216" s="893"/>
      <c r="AM216" s="893"/>
    </row>
    <row r="217" spans="1:39" s="894" customFormat="1" ht="42.75">
      <c r="A217" s="798">
        <v>6</v>
      </c>
      <c r="B217" s="799" t="s">
        <v>802</v>
      </c>
      <c r="C217" s="798"/>
      <c r="D217" s="798"/>
      <c r="E217" s="809">
        <f>NC_DKDD!H686</f>
        <v>0</v>
      </c>
      <c r="F217" s="809"/>
      <c r="G217" s="795"/>
      <c r="H217" s="809"/>
      <c r="I217" s="809"/>
      <c r="J217" s="809"/>
      <c r="K217" s="809"/>
      <c r="L217" s="809"/>
      <c r="M217" s="809"/>
      <c r="N217" s="809"/>
      <c r="O217" s="809">
        <f t="shared" si="32"/>
        <v>0</v>
      </c>
      <c r="P217" s="887">
        <f t="shared" si="33"/>
        <v>0</v>
      </c>
      <c r="Q217" s="887">
        <f t="shared" si="31"/>
        <v>0</v>
      </c>
      <c r="R217" s="801">
        <f>NC_DKDD!G686</f>
        <v>0</v>
      </c>
      <c r="S217" s="893"/>
      <c r="T217" s="893"/>
      <c r="U217" s="893"/>
      <c r="V217" s="893"/>
      <c r="W217" s="893"/>
      <c r="X217" s="893"/>
      <c r="Y217" s="893"/>
      <c r="Z217" s="893"/>
      <c r="AA217" s="893"/>
      <c r="AB217" s="893"/>
      <c r="AC217" s="893"/>
      <c r="AD217" s="893"/>
      <c r="AE217" s="893"/>
      <c r="AF217" s="893"/>
      <c r="AG217" s="893"/>
      <c r="AH217" s="893"/>
      <c r="AI217" s="893"/>
      <c r="AJ217" s="893"/>
      <c r="AK217" s="893"/>
      <c r="AL217" s="893"/>
      <c r="AM217" s="893"/>
    </row>
    <row r="218" spans="1:39" s="894" customFormat="1" ht="25.5" customHeight="1">
      <c r="A218" s="798" t="s">
        <v>661</v>
      </c>
      <c r="B218" s="799" t="s">
        <v>587</v>
      </c>
      <c r="C218" s="798" t="s">
        <v>532</v>
      </c>
      <c r="D218" s="792" t="s">
        <v>723</v>
      </c>
      <c r="E218" s="809" t="e">
        <f>NC_DKDD!H687</f>
        <v>#VALUE!</v>
      </c>
      <c r="F218" s="809"/>
      <c r="G218" s="795"/>
      <c r="H218" s="809"/>
      <c r="I218" s="809"/>
      <c r="J218" s="809"/>
      <c r="K218" s="809"/>
      <c r="L218" s="809"/>
      <c r="M218" s="809"/>
      <c r="N218" s="809"/>
      <c r="O218" s="809">
        <f t="shared" si="32"/>
        <v>307.40384615384619</v>
      </c>
      <c r="P218" s="887">
        <f t="shared" si="33"/>
        <v>267.30769230769232</v>
      </c>
      <c r="Q218" s="887">
        <f t="shared" si="31"/>
        <v>40.096153846153847</v>
      </c>
      <c r="R218" s="801">
        <f>NC_DKDD!G687</f>
        <v>0.05</v>
      </c>
      <c r="S218" s="893"/>
      <c r="T218" s="893"/>
      <c r="U218" s="893"/>
      <c r="V218" s="893"/>
      <c r="W218" s="893"/>
      <c r="X218" s="893"/>
      <c r="Y218" s="893"/>
      <c r="Z218" s="893"/>
      <c r="AA218" s="893"/>
      <c r="AB218" s="893"/>
      <c r="AC218" s="893"/>
      <c r="AD218" s="893"/>
      <c r="AE218" s="893"/>
      <c r="AF218" s="893"/>
      <c r="AG218" s="893"/>
      <c r="AH218" s="893"/>
      <c r="AI218" s="893"/>
      <c r="AJ218" s="893"/>
      <c r="AK218" s="893"/>
      <c r="AL218" s="893"/>
      <c r="AM218" s="893"/>
    </row>
    <row r="219" spans="1:39" s="894" customFormat="1" ht="25.5" customHeight="1">
      <c r="A219" s="798" t="s">
        <v>662</v>
      </c>
      <c r="B219" s="799" t="s">
        <v>588</v>
      </c>
      <c r="C219" s="798" t="s">
        <v>532</v>
      </c>
      <c r="D219" s="792" t="s">
        <v>723</v>
      </c>
      <c r="E219" s="809" t="e">
        <f>NC_DKDD!H688</f>
        <v>#VALUE!</v>
      </c>
      <c r="F219" s="809"/>
      <c r="G219" s="795"/>
      <c r="H219" s="809"/>
      <c r="I219" s="809"/>
      <c r="J219" s="809"/>
      <c r="K219" s="809"/>
      <c r="L219" s="809"/>
      <c r="M219" s="809"/>
      <c r="N219" s="809"/>
      <c r="O219" s="809">
        <f t="shared" si="32"/>
        <v>614.80769230769238</v>
      </c>
      <c r="P219" s="887">
        <f t="shared" si="33"/>
        <v>534.61538461538464</v>
      </c>
      <c r="Q219" s="887">
        <f t="shared" si="31"/>
        <v>80.192307692307693</v>
      </c>
      <c r="R219" s="801">
        <f>NC_DKDD!G688</f>
        <v>0.1</v>
      </c>
      <c r="S219" s="893"/>
      <c r="T219" s="893"/>
      <c r="U219" s="893"/>
      <c r="V219" s="893"/>
      <c r="W219" s="893"/>
      <c r="X219" s="893"/>
      <c r="Y219" s="893"/>
      <c r="Z219" s="893"/>
      <c r="AA219" s="893"/>
      <c r="AB219" s="893"/>
      <c r="AC219" s="893"/>
      <c r="AD219" s="893"/>
      <c r="AE219" s="893"/>
      <c r="AF219" s="893"/>
      <c r="AG219" s="893"/>
      <c r="AH219" s="893"/>
      <c r="AI219" s="893"/>
      <c r="AJ219" s="893"/>
      <c r="AK219" s="893"/>
      <c r="AL219" s="893"/>
      <c r="AM219" s="893"/>
    </row>
    <row r="220" spans="1:39" s="894" customFormat="1" ht="32.25" customHeight="1">
      <c r="A220" s="798">
        <v>7</v>
      </c>
      <c r="B220" s="799" t="s">
        <v>362</v>
      </c>
      <c r="C220" s="798" t="s">
        <v>375</v>
      </c>
      <c r="D220" s="792" t="s">
        <v>723</v>
      </c>
      <c r="E220" s="809" t="e">
        <f>NC_DKDD!H689</f>
        <v>#VALUE!</v>
      </c>
      <c r="F220" s="809"/>
      <c r="G220" s="795"/>
      <c r="H220" s="809"/>
      <c r="I220" s="809"/>
      <c r="J220" s="809"/>
      <c r="K220" s="809"/>
      <c r="L220" s="809"/>
      <c r="M220" s="809"/>
      <c r="N220" s="809"/>
      <c r="O220" s="809">
        <f t="shared" si="32"/>
        <v>657.84423076923065</v>
      </c>
      <c r="P220" s="887">
        <f t="shared" si="33"/>
        <v>572.03846153846143</v>
      </c>
      <c r="Q220" s="887">
        <f t="shared" si="31"/>
        <v>85.805769230769229</v>
      </c>
      <c r="R220" s="801">
        <f>NC_DKDD!G689</f>
        <v>0.107</v>
      </c>
      <c r="S220" s="893"/>
      <c r="T220" s="893"/>
      <c r="U220" s="893"/>
      <c r="V220" s="893"/>
      <c r="W220" s="893"/>
      <c r="X220" s="893"/>
      <c r="Y220" s="893"/>
      <c r="Z220" s="893"/>
      <c r="AA220" s="893"/>
      <c r="AB220" s="893"/>
      <c r="AC220" s="893"/>
      <c r="AD220" s="893"/>
      <c r="AE220" s="893"/>
      <c r="AF220" s="893"/>
      <c r="AG220" s="893"/>
      <c r="AH220" s="893"/>
      <c r="AI220" s="893"/>
      <c r="AJ220" s="893"/>
      <c r="AK220" s="893"/>
      <c r="AL220" s="893"/>
      <c r="AM220" s="893"/>
    </row>
    <row r="221" spans="1:39" s="894" customFormat="1" ht="25.5" customHeight="1">
      <c r="A221" s="798">
        <v>8</v>
      </c>
      <c r="B221" s="799" t="s">
        <v>80</v>
      </c>
      <c r="C221" s="798"/>
      <c r="D221" s="798"/>
      <c r="E221" s="809">
        <f>NC_DKDD!H690</f>
        <v>0</v>
      </c>
      <c r="F221" s="809"/>
      <c r="G221" s="795"/>
      <c r="H221" s="809"/>
      <c r="I221" s="809"/>
      <c r="J221" s="809"/>
      <c r="K221" s="809"/>
      <c r="L221" s="809"/>
      <c r="M221" s="809"/>
      <c r="N221" s="809"/>
      <c r="O221" s="809">
        <f t="shared" si="32"/>
        <v>0</v>
      </c>
      <c r="P221" s="887">
        <f t="shared" si="33"/>
        <v>0</v>
      </c>
      <c r="Q221" s="887">
        <f t="shared" si="31"/>
        <v>0</v>
      </c>
      <c r="R221" s="801">
        <f>NC_DKDD!G690</f>
        <v>0</v>
      </c>
      <c r="S221" s="893"/>
      <c r="T221" s="893"/>
      <c r="U221" s="893"/>
      <c r="V221" s="893"/>
      <c r="W221" s="893"/>
      <c r="X221" s="893"/>
      <c r="Y221" s="893"/>
      <c r="Z221" s="893"/>
      <c r="AA221" s="893"/>
      <c r="AB221" s="893"/>
      <c r="AC221" s="893"/>
      <c r="AD221" s="893"/>
      <c r="AE221" s="893"/>
      <c r="AF221" s="893"/>
      <c r="AG221" s="893"/>
      <c r="AH221" s="893"/>
      <c r="AI221" s="893"/>
      <c r="AJ221" s="893"/>
      <c r="AK221" s="893"/>
      <c r="AL221" s="893"/>
      <c r="AM221" s="893"/>
    </row>
    <row r="222" spans="1:39" s="894" customFormat="1" ht="25.5" customHeight="1">
      <c r="A222" s="798" t="s">
        <v>191</v>
      </c>
      <c r="B222" s="799" t="s">
        <v>82</v>
      </c>
      <c r="C222" s="798" t="s">
        <v>559</v>
      </c>
      <c r="D222" s="792" t="s">
        <v>723</v>
      </c>
      <c r="E222" s="809" t="e">
        <f>NC_DKDD!H691</f>
        <v>#VALUE!</v>
      </c>
      <c r="F222" s="809"/>
      <c r="G222" s="795"/>
      <c r="H222" s="809"/>
      <c r="I222" s="809"/>
      <c r="J222" s="809"/>
      <c r="K222" s="809"/>
      <c r="L222" s="809"/>
      <c r="M222" s="809"/>
      <c r="N222" s="809"/>
      <c r="O222" s="809">
        <f t="shared" si="32"/>
        <v>614.80769230769238</v>
      </c>
      <c r="P222" s="887">
        <f t="shared" si="33"/>
        <v>534.61538461538464</v>
      </c>
      <c r="Q222" s="887">
        <f t="shared" si="31"/>
        <v>80.192307692307693</v>
      </c>
      <c r="R222" s="801">
        <f>NC_DKDD!G691</f>
        <v>0.1</v>
      </c>
      <c r="S222" s="893"/>
      <c r="T222" s="893"/>
      <c r="U222" s="893"/>
      <c r="V222" s="893"/>
      <c r="W222" s="893"/>
      <c r="X222" s="893"/>
      <c r="Y222" s="893"/>
      <c r="Z222" s="893"/>
      <c r="AA222" s="893"/>
      <c r="AB222" s="893"/>
      <c r="AC222" s="893"/>
      <c r="AD222" s="893"/>
      <c r="AE222" s="893"/>
      <c r="AF222" s="893"/>
      <c r="AG222" s="893"/>
      <c r="AH222" s="893"/>
      <c r="AI222" s="893"/>
      <c r="AJ222" s="893"/>
      <c r="AK222" s="893"/>
      <c r="AL222" s="893"/>
      <c r="AM222" s="893"/>
    </row>
    <row r="223" spans="1:39" s="894" customFormat="1" ht="25.5" customHeight="1">
      <c r="A223" s="798" t="s">
        <v>192</v>
      </c>
      <c r="B223" s="799" t="s">
        <v>84</v>
      </c>
      <c r="C223" s="798" t="s">
        <v>559</v>
      </c>
      <c r="D223" s="792" t="s">
        <v>723</v>
      </c>
      <c r="E223" s="809" t="e">
        <f>NC_DKDD!H692</f>
        <v>#VALUE!</v>
      </c>
      <c r="F223" s="809"/>
      <c r="G223" s="795"/>
      <c r="H223" s="809"/>
      <c r="I223" s="809"/>
      <c r="J223" s="809"/>
      <c r="K223" s="809"/>
      <c r="L223" s="809"/>
      <c r="M223" s="809"/>
      <c r="N223" s="809"/>
      <c r="O223" s="809">
        <f t="shared" si="32"/>
        <v>922.21153846153834</v>
      </c>
      <c r="P223" s="887">
        <f t="shared" si="33"/>
        <v>801.92307692307679</v>
      </c>
      <c r="Q223" s="887">
        <f t="shared" si="31"/>
        <v>120.28846153846153</v>
      </c>
      <c r="R223" s="801">
        <f>NC_DKDD!G692</f>
        <v>0.15</v>
      </c>
      <c r="S223" s="893"/>
      <c r="T223" s="893"/>
      <c r="U223" s="893"/>
      <c r="V223" s="893"/>
      <c r="W223" s="893"/>
      <c r="X223" s="893"/>
      <c r="Y223" s="893"/>
      <c r="Z223" s="893"/>
      <c r="AA223" s="893"/>
      <c r="AB223" s="893"/>
      <c r="AC223" s="893"/>
      <c r="AD223" s="893"/>
      <c r="AE223" s="893"/>
      <c r="AF223" s="893"/>
      <c r="AG223" s="893"/>
      <c r="AH223" s="893"/>
      <c r="AI223" s="893"/>
      <c r="AJ223" s="893"/>
      <c r="AK223" s="893"/>
      <c r="AL223" s="893"/>
      <c r="AM223" s="893"/>
    </row>
    <row r="224" spans="1:39" s="894" customFormat="1" ht="42.75">
      <c r="A224" s="798">
        <v>9</v>
      </c>
      <c r="B224" s="799" t="s">
        <v>363</v>
      </c>
      <c r="C224" s="798" t="s">
        <v>532</v>
      </c>
      <c r="D224" s="792" t="s">
        <v>723</v>
      </c>
      <c r="E224" s="809" t="e">
        <f>NC_DKDD!H693</f>
        <v>#VALUE!</v>
      </c>
      <c r="F224" s="809"/>
      <c r="G224" s="795"/>
      <c r="H224" s="809"/>
      <c r="I224" s="809"/>
      <c r="J224" s="809"/>
      <c r="K224" s="809"/>
      <c r="L224" s="809"/>
      <c r="M224" s="809"/>
      <c r="N224" s="809"/>
      <c r="O224" s="809">
        <f t="shared" si="32"/>
        <v>2459.2307692307695</v>
      </c>
      <c r="P224" s="887">
        <f t="shared" si="33"/>
        <v>2138.4615384615386</v>
      </c>
      <c r="Q224" s="887">
        <f t="shared" si="31"/>
        <v>320.76923076923077</v>
      </c>
      <c r="R224" s="801">
        <f>NC_DKDD!G693</f>
        <v>0.4</v>
      </c>
      <c r="S224" s="893"/>
      <c r="T224" s="893"/>
      <c r="U224" s="893"/>
      <c r="V224" s="893"/>
      <c r="W224" s="893"/>
      <c r="X224" s="893"/>
      <c r="Y224" s="893"/>
      <c r="Z224" s="893"/>
      <c r="AA224" s="893"/>
      <c r="AB224" s="893"/>
      <c r="AC224" s="893"/>
      <c r="AD224" s="893"/>
      <c r="AE224" s="893"/>
      <c r="AF224" s="893"/>
      <c r="AG224" s="893"/>
      <c r="AH224" s="893"/>
      <c r="AI224" s="893"/>
      <c r="AJ224" s="893"/>
      <c r="AK224" s="893"/>
      <c r="AL224" s="893"/>
      <c r="AM224" s="893"/>
    </row>
    <row r="225" spans="1:39" s="894" customFormat="1" ht="28.5">
      <c r="A225" s="798">
        <v>10</v>
      </c>
      <c r="B225" s="799" t="s">
        <v>364</v>
      </c>
      <c r="C225" s="798" t="s">
        <v>532</v>
      </c>
      <c r="D225" s="792" t="s">
        <v>723</v>
      </c>
      <c r="E225" s="809" t="e">
        <f>NC_DKDD!H694</f>
        <v>#VALUE!</v>
      </c>
      <c r="F225" s="809"/>
      <c r="G225" s="795"/>
      <c r="H225" s="809"/>
      <c r="I225" s="809"/>
      <c r="J225" s="809"/>
      <c r="K225" s="809"/>
      <c r="L225" s="809"/>
      <c r="M225" s="809"/>
      <c r="N225" s="809"/>
      <c r="O225" s="809">
        <f t="shared" si="32"/>
        <v>2274.7884615384614</v>
      </c>
      <c r="P225" s="887">
        <f t="shared" si="33"/>
        <v>1978.0769230769229</v>
      </c>
      <c r="Q225" s="887">
        <f t="shared" si="31"/>
        <v>296.71153846153845</v>
      </c>
      <c r="R225" s="801">
        <f>NC_DKDD!G694</f>
        <v>0.37</v>
      </c>
      <c r="S225" s="893"/>
      <c r="T225" s="893"/>
      <c r="U225" s="893"/>
      <c r="V225" s="893"/>
      <c r="W225" s="893"/>
      <c r="X225" s="893"/>
      <c r="Y225" s="893"/>
      <c r="Z225" s="893"/>
      <c r="AA225" s="893"/>
      <c r="AB225" s="893"/>
      <c r="AC225" s="893"/>
      <c r="AD225" s="893"/>
      <c r="AE225" s="893"/>
      <c r="AF225" s="893"/>
      <c r="AG225" s="893"/>
      <c r="AH225" s="893"/>
      <c r="AI225" s="893"/>
      <c r="AJ225" s="893"/>
      <c r="AK225" s="893"/>
      <c r="AL225" s="893"/>
      <c r="AM225" s="893"/>
    </row>
    <row r="226" spans="1:39" s="894" customFormat="1" ht="25.5" customHeight="1">
      <c r="A226" s="798">
        <v>11</v>
      </c>
      <c r="B226" s="799" t="s">
        <v>88</v>
      </c>
      <c r="C226" s="798"/>
      <c r="D226" s="798"/>
      <c r="E226" s="809">
        <f>NC_DKDD!H695</f>
        <v>0</v>
      </c>
      <c r="F226" s="809"/>
      <c r="G226" s="795"/>
      <c r="H226" s="809"/>
      <c r="I226" s="809"/>
      <c r="J226" s="809"/>
      <c r="K226" s="809"/>
      <c r="L226" s="809"/>
      <c r="M226" s="809"/>
      <c r="N226" s="809"/>
      <c r="O226" s="809">
        <f t="shared" si="32"/>
        <v>0</v>
      </c>
      <c r="P226" s="887">
        <f t="shared" si="33"/>
        <v>0</v>
      </c>
      <c r="Q226" s="887">
        <f t="shared" si="31"/>
        <v>0</v>
      </c>
      <c r="R226" s="801">
        <f>NC_DKDD!G695</f>
        <v>0</v>
      </c>
      <c r="S226" s="893"/>
      <c r="T226" s="893"/>
      <c r="U226" s="893"/>
      <c r="V226" s="893"/>
      <c r="W226" s="893"/>
      <c r="X226" s="893"/>
      <c r="Y226" s="893"/>
      <c r="Z226" s="893"/>
      <c r="AA226" s="893"/>
      <c r="AB226" s="893"/>
      <c r="AC226" s="893"/>
      <c r="AD226" s="893"/>
      <c r="AE226" s="893"/>
      <c r="AF226" s="893"/>
      <c r="AG226" s="893"/>
      <c r="AH226" s="893"/>
      <c r="AI226" s="893"/>
      <c r="AJ226" s="893"/>
      <c r="AK226" s="893"/>
      <c r="AL226" s="893"/>
      <c r="AM226" s="893"/>
    </row>
    <row r="227" spans="1:39" s="894" customFormat="1" ht="40.5" customHeight="1">
      <c r="A227" s="798" t="s">
        <v>719</v>
      </c>
      <c r="B227" s="799" t="s">
        <v>775</v>
      </c>
      <c r="C227" s="798"/>
      <c r="D227" s="798"/>
      <c r="E227" s="809">
        <f>NC_DKDD!H696</f>
        <v>0</v>
      </c>
      <c r="F227" s="809"/>
      <c r="G227" s="795"/>
      <c r="H227" s="809"/>
      <c r="I227" s="809"/>
      <c r="J227" s="809"/>
      <c r="K227" s="809"/>
      <c r="L227" s="809"/>
      <c r="M227" s="809"/>
      <c r="N227" s="809"/>
      <c r="O227" s="809">
        <f t="shared" si="32"/>
        <v>0</v>
      </c>
      <c r="P227" s="887">
        <f t="shared" si="33"/>
        <v>0</v>
      </c>
      <c r="Q227" s="887">
        <f t="shared" si="31"/>
        <v>0</v>
      </c>
      <c r="R227" s="801">
        <f>NC_DKDD!G696</f>
        <v>0</v>
      </c>
      <c r="S227" s="893"/>
      <c r="T227" s="893"/>
      <c r="U227" s="893"/>
      <c r="V227" s="893"/>
      <c r="W227" s="893"/>
      <c r="X227" s="893"/>
      <c r="Y227" s="893"/>
      <c r="Z227" s="893"/>
      <c r="AA227" s="893"/>
      <c r="AB227" s="893"/>
      <c r="AC227" s="893"/>
      <c r="AD227" s="893"/>
      <c r="AE227" s="893"/>
      <c r="AF227" s="893"/>
      <c r="AG227" s="893"/>
      <c r="AH227" s="893"/>
      <c r="AI227" s="893"/>
      <c r="AJ227" s="893"/>
      <c r="AK227" s="893"/>
      <c r="AL227" s="893"/>
      <c r="AM227" s="893"/>
    </row>
    <row r="228" spans="1:39" s="894" customFormat="1" ht="25.5" customHeight="1">
      <c r="A228" s="798" t="s">
        <v>365</v>
      </c>
      <c r="B228" s="799" t="s">
        <v>777</v>
      </c>
      <c r="C228" s="798" t="s">
        <v>377</v>
      </c>
      <c r="D228" s="792" t="s">
        <v>723</v>
      </c>
      <c r="E228" s="809" t="e">
        <f>NC_DKDD!H697</f>
        <v>#VALUE!</v>
      </c>
      <c r="F228" s="809"/>
      <c r="G228" s="795"/>
      <c r="H228" s="809"/>
      <c r="I228" s="809"/>
      <c r="J228" s="809"/>
      <c r="K228" s="809"/>
      <c r="L228" s="809"/>
      <c r="M228" s="809"/>
      <c r="N228" s="809"/>
      <c r="O228" s="809">
        <f t="shared" si="32"/>
        <v>98.369230769230768</v>
      </c>
      <c r="P228" s="887">
        <f t="shared" si="33"/>
        <v>85.538461538461533</v>
      </c>
      <c r="Q228" s="887">
        <f t="shared" si="31"/>
        <v>12.830769230769231</v>
      </c>
      <c r="R228" s="801">
        <f>NC_DKDD!G697</f>
        <v>1.6E-2</v>
      </c>
      <c r="S228" s="893"/>
      <c r="T228" s="893"/>
      <c r="U228" s="893"/>
      <c r="V228" s="893"/>
      <c r="W228" s="893"/>
      <c r="X228" s="893"/>
      <c r="Y228" s="893"/>
      <c r="Z228" s="893"/>
      <c r="AA228" s="893"/>
      <c r="AB228" s="893"/>
      <c r="AC228" s="893"/>
      <c r="AD228" s="893"/>
      <c r="AE228" s="893"/>
      <c r="AF228" s="893"/>
      <c r="AG228" s="893"/>
      <c r="AH228" s="893"/>
      <c r="AI228" s="893"/>
      <c r="AJ228" s="893"/>
      <c r="AK228" s="893"/>
      <c r="AL228" s="893"/>
      <c r="AM228" s="893"/>
    </row>
    <row r="229" spans="1:39" s="894" customFormat="1" ht="25.5" customHeight="1">
      <c r="A229" s="798" t="s">
        <v>366</v>
      </c>
      <c r="B229" s="799" t="s">
        <v>781</v>
      </c>
      <c r="C229" s="798" t="s">
        <v>377</v>
      </c>
      <c r="D229" s="792" t="s">
        <v>723</v>
      </c>
      <c r="E229" s="809" t="e">
        <f>NC_DKDD!H698</f>
        <v>#VALUE!</v>
      </c>
      <c r="F229" s="809"/>
      <c r="G229" s="795"/>
      <c r="H229" s="809"/>
      <c r="I229" s="809"/>
      <c r="J229" s="809"/>
      <c r="K229" s="809"/>
      <c r="L229" s="809"/>
      <c r="M229" s="809"/>
      <c r="N229" s="809"/>
      <c r="O229" s="809">
        <f t="shared" si="32"/>
        <v>49.184615384615384</v>
      </c>
      <c r="P229" s="887">
        <f t="shared" si="33"/>
        <v>42.769230769230766</v>
      </c>
      <c r="Q229" s="887">
        <f t="shared" si="31"/>
        <v>6.4153846153846157</v>
      </c>
      <c r="R229" s="801">
        <f>NC_DKDD!G698</f>
        <v>8.0000000000000002E-3</v>
      </c>
      <c r="S229" s="893"/>
      <c r="T229" s="893"/>
      <c r="U229" s="893"/>
      <c r="V229" s="893"/>
      <c r="W229" s="893"/>
      <c r="X229" s="893"/>
      <c r="Y229" s="893"/>
      <c r="Z229" s="893"/>
      <c r="AA229" s="893"/>
      <c r="AB229" s="893"/>
      <c r="AC229" s="893"/>
      <c r="AD229" s="893"/>
      <c r="AE229" s="893"/>
      <c r="AF229" s="893"/>
      <c r="AG229" s="893"/>
      <c r="AH229" s="893"/>
      <c r="AI229" s="893"/>
      <c r="AJ229" s="893"/>
      <c r="AK229" s="893"/>
      <c r="AL229" s="893"/>
      <c r="AM229" s="893"/>
    </row>
    <row r="230" spans="1:39" s="894" customFormat="1" ht="28.5">
      <c r="A230" s="798" t="s">
        <v>720</v>
      </c>
      <c r="B230" s="799" t="s">
        <v>861</v>
      </c>
      <c r="C230" s="798" t="s">
        <v>377</v>
      </c>
      <c r="D230" s="792" t="s">
        <v>723</v>
      </c>
      <c r="E230" s="809" t="e">
        <f>NC_DKDD!H699</f>
        <v>#VALUE!</v>
      </c>
      <c r="F230" s="809"/>
      <c r="G230" s="795"/>
      <c r="H230" s="809"/>
      <c r="I230" s="809"/>
      <c r="J230" s="809"/>
      <c r="K230" s="809"/>
      <c r="L230" s="809"/>
      <c r="M230" s="809"/>
      <c r="N230" s="809"/>
      <c r="O230" s="809">
        <f t="shared" si="32"/>
        <v>24.592307692307692</v>
      </c>
      <c r="P230" s="887">
        <f t="shared" si="33"/>
        <v>21.384615384615383</v>
      </c>
      <c r="Q230" s="887">
        <f t="shared" si="31"/>
        <v>3.2076923076923078</v>
      </c>
      <c r="R230" s="801">
        <f>NC_DKDD!G699</f>
        <v>4.0000000000000001E-3</v>
      </c>
      <c r="S230" s="893"/>
      <c r="T230" s="893"/>
      <c r="U230" s="893"/>
      <c r="V230" s="893"/>
      <c r="W230" s="893"/>
      <c r="X230" s="893"/>
      <c r="Y230" s="893"/>
      <c r="Z230" s="893"/>
      <c r="AA230" s="893"/>
      <c r="AB230" s="893"/>
      <c r="AC230" s="893"/>
      <c r="AD230" s="893"/>
      <c r="AE230" s="893"/>
      <c r="AF230" s="893"/>
      <c r="AG230" s="893"/>
      <c r="AH230" s="893"/>
      <c r="AI230" s="893"/>
      <c r="AJ230" s="893"/>
      <c r="AK230" s="893"/>
      <c r="AL230" s="893"/>
      <c r="AM230" s="893"/>
    </row>
    <row r="231" spans="1:39" s="894" customFormat="1" ht="25.5" customHeight="1">
      <c r="A231" s="798" t="s">
        <v>721</v>
      </c>
      <c r="B231" s="799" t="s">
        <v>863</v>
      </c>
      <c r="C231" s="798" t="s">
        <v>375</v>
      </c>
      <c r="D231" s="792" t="s">
        <v>723</v>
      </c>
      <c r="E231" s="809" t="e">
        <f>NC_DKDD!H700</f>
        <v>#VALUE!</v>
      </c>
      <c r="F231" s="809"/>
      <c r="G231" s="795"/>
      <c r="H231" s="809"/>
      <c r="I231" s="809"/>
      <c r="J231" s="809"/>
      <c r="K231" s="809"/>
      <c r="L231" s="809"/>
      <c r="M231" s="809"/>
      <c r="N231" s="809"/>
      <c r="O231" s="809">
        <f t="shared" si="32"/>
        <v>61.480769230769226</v>
      </c>
      <c r="P231" s="887">
        <f t="shared" si="33"/>
        <v>53.46153846153846</v>
      </c>
      <c r="Q231" s="887">
        <f t="shared" si="31"/>
        <v>8.0192307692307701</v>
      </c>
      <c r="R231" s="801">
        <f>NC_DKDD!G700</f>
        <v>0.01</v>
      </c>
      <c r="S231" s="893"/>
      <c r="T231" s="893"/>
      <c r="U231" s="893"/>
      <c r="V231" s="893"/>
      <c r="W231" s="893"/>
      <c r="X231" s="893"/>
      <c r="Y231" s="893"/>
      <c r="Z231" s="893"/>
      <c r="AA231" s="893"/>
      <c r="AB231" s="893"/>
      <c r="AC231" s="893"/>
      <c r="AD231" s="893"/>
      <c r="AE231" s="893"/>
      <c r="AF231" s="893"/>
      <c r="AG231" s="893"/>
      <c r="AH231" s="893"/>
      <c r="AI231" s="893"/>
      <c r="AJ231" s="893"/>
      <c r="AK231" s="893"/>
      <c r="AL231" s="893"/>
      <c r="AM231" s="893"/>
    </row>
    <row r="232" spans="1:39" s="894" customFormat="1" ht="57">
      <c r="A232" s="798">
        <v>12</v>
      </c>
      <c r="B232" s="799" t="s">
        <v>108</v>
      </c>
      <c r="C232" s="798" t="s">
        <v>532</v>
      </c>
      <c r="D232" s="792" t="s">
        <v>723</v>
      </c>
      <c r="E232" s="809" t="e">
        <f>NC_DKDD!H701</f>
        <v>#VALUE!</v>
      </c>
      <c r="F232" s="809"/>
      <c r="G232" s="795"/>
      <c r="H232" s="809"/>
      <c r="I232" s="809"/>
      <c r="J232" s="809"/>
      <c r="K232" s="809"/>
      <c r="L232" s="809"/>
      <c r="M232" s="809"/>
      <c r="N232" s="809"/>
      <c r="O232" s="809">
        <f t="shared" si="32"/>
        <v>307.40384615384619</v>
      </c>
      <c r="P232" s="887">
        <f t="shared" si="33"/>
        <v>267.30769230769232</v>
      </c>
      <c r="Q232" s="887">
        <f t="shared" si="31"/>
        <v>40.096153846153847</v>
      </c>
      <c r="R232" s="801">
        <f>NC_DKDD!G701</f>
        <v>0.05</v>
      </c>
      <c r="S232" s="893"/>
      <c r="T232" s="893"/>
      <c r="U232" s="893"/>
      <c r="V232" s="893"/>
      <c r="W232" s="893"/>
      <c r="X232" s="893"/>
      <c r="Y232" s="893"/>
      <c r="Z232" s="893"/>
      <c r="AA232" s="893"/>
      <c r="AB232" s="893"/>
      <c r="AC232" s="893"/>
      <c r="AD232" s="893"/>
      <c r="AE232" s="893"/>
      <c r="AF232" s="893"/>
      <c r="AG232" s="893"/>
      <c r="AH232" s="893"/>
      <c r="AI232" s="893"/>
      <c r="AJ232" s="893"/>
      <c r="AK232" s="893"/>
      <c r="AL232" s="893"/>
      <c r="AM232" s="893"/>
    </row>
    <row r="233" spans="1:39" s="894" customFormat="1" ht="32.25" customHeight="1">
      <c r="A233" s="798">
        <v>13</v>
      </c>
      <c r="B233" s="799" t="s">
        <v>109</v>
      </c>
      <c r="C233" s="798" t="s">
        <v>532</v>
      </c>
      <c r="D233" s="792" t="s">
        <v>723</v>
      </c>
      <c r="E233" s="809" t="e">
        <f>NC_DKDD!H702</f>
        <v>#VALUE!</v>
      </c>
      <c r="F233" s="809"/>
      <c r="G233" s="795"/>
      <c r="H233" s="809"/>
      <c r="I233" s="809"/>
      <c r="J233" s="809"/>
      <c r="K233" s="809"/>
      <c r="L233" s="809"/>
      <c r="M233" s="809"/>
      <c r="N233" s="809"/>
      <c r="O233" s="809">
        <f t="shared" si="32"/>
        <v>307.40384615384619</v>
      </c>
      <c r="P233" s="887">
        <f t="shared" si="33"/>
        <v>267.30769230769232</v>
      </c>
      <c r="Q233" s="887">
        <f t="shared" si="31"/>
        <v>40.096153846153847</v>
      </c>
      <c r="R233" s="801">
        <f>NC_DKDD!G702</f>
        <v>0.05</v>
      </c>
      <c r="S233" s="893"/>
      <c r="T233" s="893"/>
      <c r="U233" s="893"/>
      <c r="V233" s="893"/>
      <c r="W233" s="893"/>
      <c r="X233" s="893"/>
      <c r="Y233" s="893"/>
      <c r="Z233" s="893"/>
      <c r="AA233" s="893"/>
      <c r="AB233" s="893"/>
      <c r="AC233" s="893"/>
      <c r="AD233" s="893"/>
      <c r="AE233" s="893"/>
      <c r="AF233" s="893"/>
      <c r="AG233" s="893"/>
      <c r="AH233" s="893"/>
      <c r="AI233" s="893"/>
      <c r="AJ233" s="893"/>
      <c r="AK233" s="893"/>
      <c r="AL233" s="893"/>
      <c r="AM233" s="893"/>
    </row>
    <row r="234" spans="1:39" s="894" customFormat="1" ht="25.5" customHeight="1">
      <c r="A234" s="791" t="s">
        <v>1005</v>
      </c>
      <c r="B234" s="787" t="s">
        <v>460</v>
      </c>
      <c r="C234" s="798"/>
      <c r="D234" s="798"/>
      <c r="E234" s="808" t="e">
        <f>E235</f>
        <v>#VALUE!</v>
      </c>
      <c r="F234" s="809"/>
      <c r="G234" s="795"/>
      <c r="H234" s="809">
        <f>'Dcu-DKDD'!$H$251</f>
        <v>71.083283653846138</v>
      </c>
      <c r="I234" s="809">
        <f>'VL-DKDD'!$F$253</f>
        <v>676.62</v>
      </c>
      <c r="J234" s="809"/>
      <c r="K234" s="809"/>
      <c r="L234" s="810" t="e">
        <f>SUM(E234:K234)</f>
        <v>#VALUE!</v>
      </c>
      <c r="M234" s="810" t="e">
        <f>L234*'He so chung'!$D$17/100</f>
        <v>#VALUE!</v>
      </c>
      <c r="N234" s="810" t="e">
        <f>L234+M234</f>
        <v>#VALUE!</v>
      </c>
      <c r="O234" s="808">
        <f>O235</f>
        <v>122.96153846153845</v>
      </c>
      <c r="P234" s="887">
        <f t="shared" si="33"/>
        <v>0</v>
      </c>
      <c r="Q234" s="887">
        <f t="shared" si="31"/>
        <v>0</v>
      </c>
      <c r="R234" s="801">
        <f>NC_DKDD!G703</f>
        <v>0</v>
      </c>
      <c r="S234" s="893"/>
      <c r="T234" s="893"/>
      <c r="U234" s="893"/>
      <c r="V234" s="893"/>
      <c r="W234" s="893"/>
      <c r="X234" s="893"/>
      <c r="Y234" s="893"/>
      <c r="Z234" s="893"/>
      <c r="AA234" s="893"/>
      <c r="AB234" s="893"/>
      <c r="AC234" s="893"/>
      <c r="AD234" s="893"/>
      <c r="AE234" s="893"/>
      <c r="AF234" s="893"/>
      <c r="AG234" s="893"/>
      <c r="AH234" s="893"/>
      <c r="AI234" s="893"/>
      <c r="AJ234" s="893"/>
      <c r="AK234" s="893"/>
      <c r="AL234" s="893"/>
      <c r="AM234" s="893"/>
    </row>
    <row r="235" spans="1:39" s="894" customFormat="1" ht="28.5" customHeight="1">
      <c r="A235" s="798">
        <v>1</v>
      </c>
      <c r="B235" s="799" t="s">
        <v>367</v>
      </c>
      <c r="C235" s="798" t="s">
        <v>532</v>
      </c>
      <c r="D235" s="792" t="s">
        <v>723</v>
      </c>
      <c r="E235" s="809" t="e">
        <f>NC_DKDD!H704</f>
        <v>#VALUE!</v>
      </c>
      <c r="F235" s="809"/>
      <c r="G235" s="795"/>
      <c r="H235" s="809"/>
      <c r="I235" s="809"/>
      <c r="J235" s="809"/>
      <c r="K235" s="809"/>
      <c r="L235" s="809"/>
      <c r="M235" s="809"/>
      <c r="N235" s="809"/>
      <c r="O235" s="809">
        <f t="shared" si="32"/>
        <v>122.96153846153845</v>
      </c>
      <c r="P235" s="887">
        <f t="shared" si="33"/>
        <v>106.92307692307692</v>
      </c>
      <c r="Q235" s="887">
        <f t="shared" si="31"/>
        <v>16.03846153846154</v>
      </c>
      <c r="R235" s="801">
        <f>NC_DKDD!G704</f>
        <v>0.02</v>
      </c>
      <c r="S235" s="893"/>
      <c r="T235" s="893"/>
      <c r="U235" s="893"/>
      <c r="V235" s="893"/>
      <c r="W235" s="893"/>
      <c r="X235" s="893"/>
      <c r="Y235" s="893"/>
      <c r="Z235" s="893"/>
      <c r="AA235" s="893"/>
      <c r="AB235" s="893"/>
      <c r="AC235" s="893"/>
      <c r="AD235" s="893"/>
      <c r="AE235" s="893"/>
      <c r="AF235" s="893"/>
      <c r="AG235" s="893"/>
      <c r="AH235" s="893"/>
      <c r="AI235" s="893"/>
      <c r="AJ235" s="893"/>
      <c r="AK235" s="893"/>
      <c r="AL235" s="893"/>
      <c r="AM235" s="893"/>
    </row>
    <row r="236" spans="1:39" ht="21" customHeight="1">
      <c r="A236" s="895"/>
      <c r="B236" s="896" t="s">
        <v>533</v>
      </c>
      <c r="C236" s="897"/>
      <c r="D236" s="895"/>
      <c r="E236" s="898"/>
      <c r="F236" s="898"/>
      <c r="G236" s="899"/>
      <c r="H236" s="898"/>
      <c r="I236" s="898"/>
      <c r="J236" s="900"/>
      <c r="K236" s="900"/>
      <c r="L236" s="900"/>
      <c r="M236" s="900"/>
      <c r="N236" s="900"/>
      <c r="O236" s="901"/>
      <c r="P236" s="420"/>
      <c r="Q236" s="420"/>
      <c r="R236" s="806"/>
    </row>
    <row r="237" spans="1:39" ht="33" customHeight="1">
      <c r="A237" s="455"/>
      <c r="B237" s="1073" t="s">
        <v>833</v>
      </c>
      <c r="C237" s="1073"/>
      <c r="D237" s="1073"/>
      <c r="E237" s="1073"/>
      <c r="F237" s="1073"/>
      <c r="G237" s="1073"/>
      <c r="H237" s="1073"/>
      <c r="I237" s="1073"/>
      <c r="J237" s="1073"/>
      <c r="K237" s="1073"/>
      <c r="L237" s="1073"/>
      <c r="M237" s="1073"/>
      <c r="N237" s="1073"/>
      <c r="O237" s="1073"/>
      <c r="P237" s="420"/>
      <c r="Q237" s="420" t="s">
        <v>681</v>
      </c>
      <c r="R237" s="806"/>
    </row>
    <row r="238" spans="1:39" ht="40.9" customHeight="1">
      <c r="A238" s="455"/>
      <c r="B238" s="1072" t="s">
        <v>394</v>
      </c>
      <c r="C238" s="1072"/>
      <c r="D238" s="1072"/>
      <c r="E238" s="1072"/>
      <c r="F238" s="1072"/>
      <c r="G238" s="1072"/>
      <c r="H238" s="1072"/>
      <c r="I238" s="1072"/>
      <c r="J238" s="1072"/>
      <c r="K238" s="1072"/>
      <c r="L238" s="1072"/>
      <c r="M238" s="1072"/>
      <c r="N238" s="1072"/>
      <c r="O238" s="1072"/>
      <c r="P238" s="420"/>
      <c r="Q238" s="420"/>
      <c r="R238" s="806"/>
    </row>
    <row r="239" spans="1:39" ht="31.5" customHeight="1">
      <c r="A239" s="455"/>
      <c r="B239" s="1139" t="s">
        <v>395</v>
      </c>
      <c r="C239" s="1139"/>
      <c r="D239" s="1139"/>
      <c r="E239" s="1139"/>
      <c r="F239" s="1139"/>
      <c r="G239" s="1139"/>
      <c r="H239" s="1139"/>
      <c r="I239" s="1139"/>
      <c r="J239" s="1139"/>
      <c r="K239" s="1139"/>
      <c r="L239" s="1139"/>
      <c r="M239" s="1139"/>
      <c r="N239" s="1139"/>
      <c r="O239" s="1139"/>
      <c r="P239" s="420"/>
      <c r="Q239" s="420"/>
      <c r="R239" s="806"/>
    </row>
    <row r="240" spans="1:39" ht="37.5" customHeight="1">
      <c r="A240" s="455"/>
      <c r="B240" s="1072" t="s">
        <v>396</v>
      </c>
      <c r="C240" s="1072"/>
      <c r="D240" s="1072"/>
      <c r="E240" s="1072"/>
      <c r="F240" s="1072"/>
      <c r="G240" s="1072"/>
      <c r="H240" s="1072"/>
      <c r="I240" s="1072"/>
      <c r="J240" s="1072"/>
      <c r="K240" s="1072"/>
      <c r="L240" s="1072"/>
      <c r="M240" s="1072"/>
      <c r="N240" s="1072"/>
      <c r="O240" s="1072"/>
      <c r="P240" s="420"/>
      <c r="Q240" s="420"/>
      <c r="R240" s="806"/>
    </row>
    <row r="241" spans="1:39" ht="27" customHeight="1">
      <c r="A241" s="455"/>
      <c r="B241" s="864"/>
      <c r="C241" s="864"/>
      <c r="D241" s="864"/>
      <c r="E241" s="864"/>
      <c r="F241" s="864"/>
      <c r="G241" s="864"/>
      <c r="H241" s="864"/>
      <c r="I241" s="864"/>
      <c r="J241" s="864"/>
      <c r="K241" s="864"/>
      <c r="L241" s="864"/>
      <c r="M241" s="864"/>
      <c r="N241" s="864"/>
      <c r="O241" s="864"/>
      <c r="P241" s="420"/>
      <c r="Q241" s="420"/>
      <c r="R241" s="806"/>
    </row>
    <row r="242" spans="1:39" ht="34.5" customHeight="1">
      <c r="A242" s="1070" t="s">
        <v>131</v>
      </c>
      <c r="B242" s="1070"/>
      <c r="C242" s="1070"/>
      <c r="D242" s="1070"/>
      <c r="E242" s="1070"/>
      <c r="F242" s="1070"/>
      <c r="G242" s="1070"/>
      <c r="H242" s="1070"/>
      <c r="I242" s="1070"/>
      <c r="J242" s="1070"/>
      <c r="K242" s="1070"/>
      <c r="L242" s="1070"/>
      <c r="M242" s="1070"/>
      <c r="N242" s="1070"/>
      <c r="O242" s="1070"/>
      <c r="R242" s="806"/>
    </row>
    <row r="243" spans="1:39" ht="21" customHeight="1">
      <c r="A243" s="414"/>
      <c r="B243" s="415"/>
      <c r="C243" s="776"/>
      <c r="D243" s="777" t="s">
        <v>430</v>
      </c>
      <c r="E243" s="419"/>
      <c r="F243" s="778"/>
      <c r="G243" s="779"/>
      <c r="H243" s="778"/>
      <c r="I243" s="780"/>
      <c r="J243" s="778"/>
      <c r="K243" s="778"/>
      <c r="L243" s="781" t="s">
        <v>262</v>
      </c>
      <c r="M243" s="778"/>
      <c r="N243" s="780"/>
      <c r="O243" s="419"/>
      <c r="P243" s="420"/>
      <c r="Q243" s="420"/>
      <c r="R243" s="820"/>
    </row>
    <row r="244" spans="1:39" ht="21" customHeight="1">
      <c r="A244" s="414"/>
      <c r="B244" s="415"/>
      <c r="C244" s="776"/>
      <c r="D244" s="821"/>
      <c r="E244" s="419"/>
      <c r="F244" s="419"/>
      <c r="G244" s="822"/>
      <c r="H244" s="419"/>
      <c r="I244" s="419"/>
      <c r="J244" s="419"/>
      <c r="K244" s="419"/>
      <c r="L244" s="419"/>
      <c r="M244" s="419"/>
      <c r="N244" s="419"/>
      <c r="O244" s="419"/>
      <c r="P244" s="420"/>
      <c r="Q244" s="420"/>
      <c r="R244" s="820"/>
    </row>
    <row r="245" spans="1:39" s="817" customFormat="1" ht="36" customHeight="1">
      <c r="A245" s="1068" t="s">
        <v>718</v>
      </c>
      <c r="B245" s="1068" t="s">
        <v>198</v>
      </c>
      <c r="C245" s="1071" t="s">
        <v>263</v>
      </c>
      <c r="D245" s="1071" t="s">
        <v>264</v>
      </c>
      <c r="E245" s="1071" t="s">
        <v>683</v>
      </c>
      <c r="F245" s="1071"/>
      <c r="G245" s="1071"/>
      <c r="H245" s="1071"/>
      <c r="I245" s="1071"/>
      <c r="J245" s="1071"/>
      <c r="K245" s="1071"/>
      <c r="L245" s="1071"/>
      <c r="M245" s="1071" t="s">
        <v>435</v>
      </c>
      <c r="N245" s="1071" t="s">
        <v>684</v>
      </c>
      <c r="O245" s="1071" t="s">
        <v>685</v>
      </c>
      <c r="P245" s="815"/>
      <c r="Q245" s="815"/>
      <c r="R245" s="823"/>
      <c r="S245" s="816"/>
      <c r="T245" s="816"/>
      <c r="U245" s="816"/>
      <c r="V245" s="816"/>
      <c r="W245" s="816"/>
      <c r="X245" s="816"/>
      <c r="Y245" s="816"/>
      <c r="Z245" s="816"/>
      <c r="AA245" s="816"/>
      <c r="AB245" s="816"/>
      <c r="AC245" s="816"/>
      <c r="AD245" s="816"/>
      <c r="AE245" s="816"/>
      <c r="AF245" s="816"/>
      <c r="AG245" s="816"/>
      <c r="AH245" s="816"/>
      <c r="AI245" s="816"/>
      <c r="AJ245" s="816"/>
      <c r="AK245" s="816"/>
      <c r="AL245" s="816"/>
      <c r="AM245" s="816"/>
    </row>
    <row r="246" spans="1:39" s="817" customFormat="1" ht="39.75" customHeight="1">
      <c r="A246" s="1068"/>
      <c r="B246" s="1068"/>
      <c r="C246" s="1071"/>
      <c r="D246" s="1071"/>
      <c r="E246" s="783" t="s">
        <v>686</v>
      </c>
      <c r="F246" s="783" t="s">
        <v>687</v>
      </c>
      <c r="G246" s="784" t="s">
        <v>285</v>
      </c>
      <c r="H246" s="783" t="s">
        <v>499</v>
      </c>
      <c r="I246" s="783" t="s">
        <v>688</v>
      </c>
      <c r="J246" s="783" t="s">
        <v>531</v>
      </c>
      <c r="K246" s="783" t="s">
        <v>689</v>
      </c>
      <c r="L246" s="783" t="s">
        <v>690</v>
      </c>
      <c r="M246" s="1071"/>
      <c r="N246" s="1071"/>
      <c r="O246" s="1071"/>
      <c r="P246" s="815"/>
      <c r="Q246" s="815"/>
      <c r="R246" s="823"/>
      <c r="S246" s="816"/>
      <c r="T246" s="816"/>
      <c r="U246" s="816"/>
      <c r="V246" s="816"/>
      <c r="W246" s="816"/>
      <c r="X246" s="816"/>
      <c r="Y246" s="816"/>
      <c r="Z246" s="816"/>
      <c r="AA246" s="816"/>
      <c r="AB246" s="816"/>
      <c r="AC246" s="816"/>
      <c r="AD246" s="816"/>
      <c r="AE246" s="816"/>
      <c r="AF246" s="816"/>
      <c r="AG246" s="816"/>
      <c r="AH246" s="816"/>
      <c r="AI246" s="816"/>
      <c r="AJ246" s="816"/>
      <c r="AK246" s="816"/>
      <c r="AL246" s="816"/>
      <c r="AM246" s="816"/>
    </row>
    <row r="247" spans="1:39" s="817" customFormat="1" ht="39.75" customHeight="1">
      <c r="A247" s="785"/>
      <c r="B247" s="839" t="s">
        <v>129</v>
      </c>
      <c r="C247" s="783"/>
      <c r="D247" s="783"/>
      <c r="E247" s="783"/>
      <c r="F247" s="783"/>
      <c r="G247" s="784"/>
      <c r="H247" s="783"/>
      <c r="I247" s="783"/>
      <c r="J247" s="783"/>
      <c r="K247" s="783"/>
      <c r="L247" s="783"/>
      <c r="M247" s="783"/>
      <c r="N247" s="783"/>
      <c r="O247" s="783"/>
      <c r="P247" s="815"/>
      <c r="Q247" s="815"/>
      <c r="R247" s="823"/>
      <c r="S247" s="816"/>
      <c r="T247" s="816"/>
      <c r="U247" s="816"/>
      <c r="V247" s="816"/>
      <c r="W247" s="816"/>
      <c r="X247" s="816"/>
      <c r="Y247" s="816"/>
      <c r="Z247" s="816"/>
      <c r="AA247" s="816"/>
      <c r="AB247" s="816"/>
      <c r="AC247" s="816"/>
      <c r="AD247" s="816"/>
      <c r="AE247" s="816"/>
      <c r="AF247" s="816"/>
      <c r="AG247" s="816"/>
      <c r="AH247" s="816"/>
      <c r="AI247" s="816"/>
      <c r="AJ247" s="816"/>
      <c r="AK247" s="816"/>
      <c r="AL247" s="816"/>
      <c r="AM247" s="816"/>
    </row>
    <row r="248" spans="1:39" s="817" customFormat="1" ht="39.75" customHeight="1">
      <c r="A248" s="785"/>
      <c r="B248" s="786" t="s">
        <v>668</v>
      </c>
      <c r="C248" s="783" t="s">
        <v>532</v>
      </c>
      <c r="D248" s="785" t="s">
        <v>723</v>
      </c>
      <c r="E248" s="788" t="e">
        <f>E251+E277</f>
        <v>#VALUE!</v>
      </c>
      <c r="F248" s="788">
        <f t="shared" ref="F248:N248" si="34">F251+F277</f>
        <v>0</v>
      </c>
      <c r="G248" s="788">
        <f t="shared" si="34"/>
        <v>0</v>
      </c>
      <c r="H248" s="788">
        <f t="shared" si="34"/>
        <v>8157.2958317307694</v>
      </c>
      <c r="I248" s="788">
        <f t="shared" si="34"/>
        <v>18661.86</v>
      </c>
      <c r="J248" s="788">
        <f t="shared" si="34"/>
        <v>6612.826</v>
      </c>
      <c r="K248" s="788">
        <f t="shared" si="34"/>
        <v>14571.858</v>
      </c>
      <c r="L248" s="788" t="e">
        <f t="shared" si="34"/>
        <v>#VALUE!</v>
      </c>
      <c r="M248" s="788" t="e">
        <f t="shared" si="34"/>
        <v>#VALUE!</v>
      </c>
      <c r="N248" s="788" t="e">
        <f t="shared" si="34"/>
        <v>#VALUE!</v>
      </c>
      <c r="O248" s="788">
        <f>O251+O277</f>
        <v>11988.749999999998</v>
      </c>
      <c r="P248" s="815"/>
      <c r="Q248" s="815"/>
      <c r="R248" s="823"/>
      <c r="S248" s="816"/>
      <c r="T248" s="816"/>
      <c r="U248" s="816"/>
      <c r="V248" s="816"/>
      <c r="W248" s="816"/>
      <c r="X248" s="816"/>
      <c r="Y248" s="816"/>
      <c r="Z248" s="816"/>
      <c r="AA248" s="816"/>
      <c r="AB248" s="816"/>
      <c r="AC248" s="816"/>
      <c r="AD248" s="816"/>
      <c r="AE248" s="816"/>
      <c r="AF248" s="816"/>
      <c r="AG248" s="816"/>
      <c r="AH248" s="816"/>
      <c r="AI248" s="816"/>
      <c r="AJ248" s="816"/>
      <c r="AK248" s="816"/>
      <c r="AL248" s="816"/>
      <c r="AM248" s="816"/>
    </row>
    <row r="249" spans="1:39" s="817" customFormat="1" ht="25.5" customHeight="1">
      <c r="A249" s="785"/>
      <c r="B249" s="789" t="s">
        <v>669</v>
      </c>
      <c r="C249" s="783" t="s">
        <v>532</v>
      </c>
      <c r="D249" s="785" t="s">
        <v>723</v>
      </c>
      <c r="E249" s="788" t="e">
        <f>E252+E277</f>
        <v>#VALUE!</v>
      </c>
      <c r="F249" s="788">
        <f t="shared" ref="F249:O249" si="35">F252+F277</f>
        <v>0</v>
      </c>
      <c r="G249" s="788">
        <f t="shared" si="35"/>
        <v>0</v>
      </c>
      <c r="H249" s="788">
        <f t="shared" si="35"/>
        <v>8157.2958317307694</v>
      </c>
      <c r="I249" s="788">
        <f t="shared" si="35"/>
        <v>18661.86</v>
      </c>
      <c r="J249" s="788">
        <f t="shared" si="35"/>
        <v>6612.826</v>
      </c>
      <c r="K249" s="788">
        <f t="shared" si="35"/>
        <v>14571.858</v>
      </c>
      <c r="L249" s="788" t="e">
        <f t="shared" si="35"/>
        <v>#VALUE!</v>
      </c>
      <c r="M249" s="788" t="e">
        <f t="shared" si="35"/>
        <v>#VALUE!</v>
      </c>
      <c r="N249" s="788" t="e">
        <f t="shared" si="35"/>
        <v>#VALUE!</v>
      </c>
      <c r="O249" s="788">
        <f t="shared" si="35"/>
        <v>12910.961538461537</v>
      </c>
      <c r="P249" s="818">
        <f>'He so chung'!D$22</f>
        <v>5346.1538461538457</v>
      </c>
      <c r="Q249" s="818">
        <f>'He so chung'!D$23</f>
        <v>801.92307692307691</v>
      </c>
      <c r="R249" s="826"/>
      <c r="S249" s="816"/>
      <c r="T249" s="816"/>
      <c r="U249" s="816"/>
      <c r="V249" s="816"/>
      <c r="W249" s="816"/>
      <c r="X249" s="816"/>
      <c r="Y249" s="816"/>
      <c r="Z249" s="816"/>
      <c r="AA249" s="816"/>
      <c r="AB249" s="816"/>
      <c r="AC249" s="816"/>
      <c r="AD249" s="816"/>
      <c r="AE249" s="816"/>
      <c r="AF249" s="816"/>
      <c r="AG249" s="816"/>
      <c r="AH249" s="816"/>
      <c r="AI249" s="816"/>
      <c r="AJ249" s="816"/>
      <c r="AK249" s="816"/>
      <c r="AL249" s="816"/>
      <c r="AM249" s="816"/>
    </row>
    <row r="250" spans="1:39" s="817" customFormat="1" ht="25.5" customHeight="1">
      <c r="A250" s="785" t="s">
        <v>1000</v>
      </c>
      <c r="B250" s="789" t="s">
        <v>582</v>
      </c>
      <c r="C250" s="783"/>
      <c r="D250" s="783"/>
      <c r="E250" s="783"/>
      <c r="F250" s="783"/>
      <c r="G250" s="784"/>
      <c r="H250" s="783"/>
      <c r="I250" s="783"/>
      <c r="J250" s="783"/>
      <c r="K250" s="783"/>
      <c r="L250" s="783"/>
      <c r="M250" s="783"/>
      <c r="N250" s="783"/>
      <c r="O250" s="783"/>
      <c r="P250" s="818"/>
      <c r="Q250" s="818"/>
      <c r="R250" s="826"/>
      <c r="S250" s="816"/>
      <c r="T250" s="816"/>
      <c r="U250" s="816"/>
      <c r="V250" s="816"/>
      <c r="W250" s="816"/>
      <c r="X250" s="816"/>
      <c r="Y250" s="816"/>
      <c r="Z250" s="816"/>
      <c r="AA250" s="816"/>
      <c r="AB250" s="816"/>
      <c r="AC250" s="816"/>
      <c r="AD250" s="816"/>
      <c r="AE250" s="816"/>
      <c r="AF250" s="816"/>
      <c r="AG250" s="816"/>
      <c r="AH250" s="816"/>
      <c r="AI250" s="816"/>
      <c r="AJ250" s="816"/>
      <c r="AK250" s="816"/>
      <c r="AL250" s="816"/>
      <c r="AM250" s="816"/>
    </row>
    <row r="251" spans="1:39" s="817" customFormat="1" ht="25.5" customHeight="1">
      <c r="A251" s="902" t="s">
        <v>1008</v>
      </c>
      <c r="B251" s="903" t="s">
        <v>668</v>
      </c>
      <c r="C251" s="783" t="s">
        <v>532</v>
      </c>
      <c r="D251" s="800"/>
      <c r="E251" s="793" t="e">
        <f>E254+E256+E257+E258+E259+E263+E265+E267+E268+E271+E272+E273+E274+E275+E276</f>
        <v>#VALUE!</v>
      </c>
      <c r="F251" s="793">
        <f>F254+F256+F257+F258+F259+F263+F265+F267+F268+F271+F272+F273+F274+F275+F276</f>
        <v>0</v>
      </c>
      <c r="G251" s="795"/>
      <c r="H251" s="788">
        <f>'Dcu-DKDD'!$J$251</f>
        <v>8086.2125480769228</v>
      </c>
      <c r="I251" s="788">
        <f>'VL-DKDD'!$H$253</f>
        <v>17985.240000000002</v>
      </c>
      <c r="J251" s="788">
        <f>'TB-DKDD'!$K$142</f>
        <v>6612.826</v>
      </c>
      <c r="K251" s="788">
        <f>'NL-DKDD'!$H$96</f>
        <v>14571.858</v>
      </c>
      <c r="L251" s="796" t="e">
        <f>SUM(E251:K251)</f>
        <v>#VALUE!</v>
      </c>
      <c r="M251" s="796" t="e">
        <f>L251*'He so chung'!$D$17/100</f>
        <v>#VALUE!</v>
      </c>
      <c r="N251" s="796" t="e">
        <f>L251+M251</f>
        <v>#VALUE!</v>
      </c>
      <c r="O251" s="793">
        <f>O254+O256+O257+O258+O259+O263+O265+O267+O268+O271+O272+O273+O274+O275+O276</f>
        <v>11865.788461538459</v>
      </c>
      <c r="P251" s="815"/>
      <c r="Q251" s="815"/>
      <c r="R251" s="801"/>
      <c r="S251" s="816"/>
      <c r="T251" s="816"/>
      <c r="U251" s="816"/>
      <c r="V251" s="816"/>
      <c r="W251" s="816"/>
      <c r="X251" s="816"/>
      <c r="Y251" s="816"/>
      <c r="Z251" s="816"/>
      <c r="AA251" s="816"/>
      <c r="AB251" s="816"/>
      <c r="AC251" s="816"/>
      <c r="AD251" s="816"/>
      <c r="AE251" s="816"/>
      <c r="AF251" s="816"/>
      <c r="AG251" s="816"/>
      <c r="AH251" s="816"/>
      <c r="AI251" s="816"/>
      <c r="AJ251" s="816"/>
      <c r="AK251" s="816"/>
      <c r="AL251" s="816"/>
      <c r="AM251" s="816"/>
    </row>
    <row r="252" spans="1:39" s="817" customFormat="1" ht="25.5" customHeight="1">
      <c r="A252" s="902" t="s">
        <v>1009</v>
      </c>
      <c r="B252" s="903" t="s">
        <v>669</v>
      </c>
      <c r="C252" s="783" t="s">
        <v>532</v>
      </c>
      <c r="D252" s="800"/>
      <c r="E252" s="793" t="e">
        <f>E255+E256+E257+E258+E259+E263+E265+E266+E267+E268+E271+E272+E273+E274+E275+E276</f>
        <v>#VALUE!</v>
      </c>
      <c r="F252" s="793">
        <f>F255+F256+F257+F258+F259+F263+F265+F266+F267+F268+F271+F272+F273+F274+F275+F276</f>
        <v>0</v>
      </c>
      <c r="G252" s="795"/>
      <c r="H252" s="788">
        <f>'Dcu-DKDD'!$J$251</f>
        <v>8086.2125480769228</v>
      </c>
      <c r="I252" s="788">
        <f>'VL-DKDD'!$H$253</f>
        <v>17985.240000000002</v>
      </c>
      <c r="J252" s="788">
        <f>'TB-DKDD'!$K$142</f>
        <v>6612.826</v>
      </c>
      <c r="K252" s="788">
        <f>'NL-DKDD'!$H$96</f>
        <v>14571.858</v>
      </c>
      <c r="L252" s="796" t="e">
        <f>SUM(E252:K252)</f>
        <v>#VALUE!</v>
      </c>
      <c r="M252" s="796" t="e">
        <f>L252*'He so chung'!$D$17/100</f>
        <v>#VALUE!</v>
      </c>
      <c r="N252" s="796" t="e">
        <f>L252+M252</f>
        <v>#VALUE!</v>
      </c>
      <c r="O252" s="793">
        <f>O255+O256+O257+O258+O259+O263+O265+O266+O267+O268+O271+O272+O273+O274+O275+O276</f>
        <v>12787.999999999998</v>
      </c>
      <c r="P252" s="815"/>
      <c r="Q252" s="815"/>
      <c r="R252" s="801"/>
      <c r="S252" s="816"/>
      <c r="T252" s="816"/>
      <c r="U252" s="816"/>
      <c r="V252" s="816"/>
      <c r="W252" s="816"/>
      <c r="X252" s="816"/>
      <c r="Y252" s="816"/>
      <c r="Z252" s="816"/>
      <c r="AA252" s="816"/>
      <c r="AB252" s="816"/>
      <c r="AC252" s="816"/>
      <c r="AD252" s="816"/>
      <c r="AE252" s="816"/>
      <c r="AF252" s="816"/>
      <c r="AG252" s="816"/>
      <c r="AH252" s="816"/>
      <c r="AI252" s="816"/>
      <c r="AJ252" s="816"/>
      <c r="AK252" s="816"/>
      <c r="AL252" s="816"/>
      <c r="AM252" s="816"/>
    </row>
    <row r="253" spans="1:39" s="817" customFormat="1" ht="43.5" customHeight="1">
      <c r="A253" s="904">
        <v>1</v>
      </c>
      <c r="B253" s="905" t="s">
        <v>360</v>
      </c>
      <c r="C253" s="904"/>
      <c r="D253" s="800"/>
      <c r="E253" s="794"/>
      <c r="F253" s="794"/>
      <c r="G253" s="795"/>
      <c r="H253" s="794"/>
      <c r="I253" s="794"/>
      <c r="J253" s="794"/>
      <c r="K253" s="794"/>
      <c r="L253" s="794"/>
      <c r="M253" s="794"/>
      <c r="N253" s="794"/>
      <c r="O253" s="794">
        <f t="shared" ref="O253:O278" si="36">P253+Q253</f>
        <v>0</v>
      </c>
      <c r="P253" s="815"/>
      <c r="Q253" s="815"/>
      <c r="R253" s="801"/>
      <c r="S253" s="816"/>
      <c r="T253" s="816"/>
      <c r="U253" s="816"/>
      <c r="V253" s="816"/>
      <c r="W253" s="816"/>
      <c r="X253" s="816"/>
      <c r="Y253" s="816"/>
      <c r="Z253" s="816"/>
      <c r="AA253" s="816"/>
      <c r="AB253" s="816"/>
      <c r="AC253" s="816"/>
      <c r="AD253" s="816"/>
      <c r="AE253" s="816"/>
      <c r="AF253" s="816"/>
      <c r="AG253" s="816"/>
      <c r="AH253" s="816"/>
      <c r="AI253" s="816"/>
      <c r="AJ253" s="816"/>
      <c r="AK253" s="816"/>
      <c r="AL253" s="816"/>
      <c r="AM253" s="816"/>
    </row>
    <row r="254" spans="1:39" s="817" customFormat="1" ht="25.5" customHeight="1">
      <c r="A254" s="904" t="s">
        <v>733</v>
      </c>
      <c r="B254" s="905" t="s">
        <v>846</v>
      </c>
      <c r="C254" s="904" t="s">
        <v>532</v>
      </c>
      <c r="D254" s="906" t="s">
        <v>723</v>
      </c>
      <c r="E254" s="794" t="e">
        <f>NC_DKDD!H712</f>
        <v>#VALUE!</v>
      </c>
      <c r="F254" s="794"/>
      <c r="G254" s="795"/>
      <c r="H254" s="794"/>
      <c r="I254" s="794"/>
      <c r="J254" s="794"/>
      <c r="K254" s="794"/>
      <c r="L254" s="794"/>
      <c r="M254" s="794"/>
      <c r="N254" s="794"/>
      <c r="O254" s="794">
        <f t="shared" si="36"/>
        <v>922.21153846153834</v>
      </c>
      <c r="P254" s="815">
        <f t="shared" ref="P254:P278" si="37">R254*P$206</f>
        <v>801.92307692307679</v>
      </c>
      <c r="Q254" s="815">
        <f t="shared" ref="Q254:Q278" si="38">R254*Q$206</f>
        <v>120.28846153846153</v>
      </c>
      <c r="R254" s="801">
        <f>NC_DKDD!G712</f>
        <v>0.15</v>
      </c>
      <c r="S254" s="816"/>
      <c r="T254" s="816"/>
      <c r="U254" s="816"/>
      <c r="V254" s="816"/>
      <c r="W254" s="816"/>
      <c r="X254" s="816"/>
      <c r="Y254" s="816"/>
      <c r="Z254" s="816"/>
      <c r="AA254" s="816"/>
      <c r="AB254" s="816"/>
      <c r="AC254" s="816"/>
      <c r="AD254" s="816"/>
      <c r="AE254" s="816"/>
      <c r="AF254" s="816"/>
      <c r="AG254" s="816"/>
      <c r="AH254" s="816"/>
      <c r="AI254" s="816"/>
      <c r="AJ254" s="816"/>
      <c r="AK254" s="816"/>
      <c r="AL254" s="816"/>
      <c r="AM254" s="816"/>
    </row>
    <row r="255" spans="1:39" s="817" customFormat="1" ht="25.5" customHeight="1">
      <c r="A255" s="904" t="s">
        <v>741</v>
      </c>
      <c r="B255" s="905" t="s">
        <v>849</v>
      </c>
      <c r="C255" s="904" t="s">
        <v>532</v>
      </c>
      <c r="D255" s="906" t="s">
        <v>723</v>
      </c>
      <c r="E255" s="794" t="e">
        <f>NC_DKDD!H713</f>
        <v>#VALUE!</v>
      </c>
      <c r="F255" s="794"/>
      <c r="G255" s="795"/>
      <c r="H255" s="794"/>
      <c r="I255" s="794"/>
      <c r="J255" s="794"/>
      <c r="K255" s="794"/>
      <c r="L255" s="794"/>
      <c r="M255" s="794"/>
      <c r="N255" s="794"/>
      <c r="O255" s="794">
        <f t="shared" si="36"/>
        <v>614.80769230769238</v>
      </c>
      <c r="P255" s="815">
        <f t="shared" si="37"/>
        <v>534.61538461538464</v>
      </c>
      <c r="Q255" s="815">
        <f t="shared" si="38"/>
        <v>80.192307692307693</v>
      </c>
      <c r="R255" s="801">
        <f>NC_DKDD!G713</f>
        <v>0.1</v>
      </c>
      <c r="S255" s="816"/>
      <c r="T255" s="816"/>
      <c r="U255" s="816"/>
      <c r="V255" s="816"/>
      <c r="W255" s="816"/>
      <c r="X255" s="816"/>
      <c r="Y255" s="816"/>
      <c r="Z255" s="816"/>
      <c r="AA255" s="816"/>
      <c r="AB255" s="816"/>
      <c r="AC255" s="816"/>
      <c r="AD255" s="816"/>
      <c r="AE255" s="816"/>
      <c r="AF255" s="816"/>
      <c r="AG255" s="816"/>
      <c r="AH255" s="816"/>
      <c r="AI255" s="816"/>
      <c r="AJ255" s="816"/>
      <c r="AK255" s="816"/>
      <c r="AL255" s="816"/>
      <c r="AM255" s="816"/>
    </row>
    <row r="256" spans="1:39" s="817" customFormat="1" ht="29.25" customHeight="1">
      <c r="A256" s="904">
        <v>2</v>
      </c>
      <c r="B256" s="905" t="s">
        <v>797</v>
      </c>
      <c r="C256" s="904" t="s">
        <v>532</v>
      </c>
      <c r="D256" s="906" t="s">
        <v>723</v>
      </c>
      <c r="E256" s="794" t="e">
        <f>NC_DKDD!H714</f>
        <v>#VALUE!</v>
      </c>
      <c r="F256" s="794"/>
      <c r="G256" s="795"/>
      <c r="H256" s="794"/>
      <c r="I256" s="794"/>
      <c r="J256" s="794"/>
      <c r="K256" s="794"/>
      <c r="L256" s="794"/>
      <c r="M256" s="794"/>
      <c r="N256" s="794"/>
      <c r="O256" s="794">
        <f t="shared" si="36"/>
        <v>1229.6153846153848</v>
      </c>
      <c r="P256" s="815">
        <f t="shared" si="37"/>
        <v>1069.2307692307693</v>
      </c>
      <c r="Q256" s="815">
        <f t="shared" si="38"/>
        <v>160.38461538461539</v>
      </c>
      <c r="R256" s="801">
        <f>NC_DKDD!G714</f>
        <v>0.2</v>
      </c>
      <c r="S256" s="816"/>
      <c r="T256" s="816"/>
      <c r="U256" s="816"/>
      <c r="V256" s="816"/>
      <c r="W256" s="816"/>
      <c r="X256" s="816"/>
      <c r="Y256" s="816"/>
      <c r="Z256" s="816"/>
      <c r="AA256" s="816"/>
      <c r="AB256" s="816"/>
      <c r="AC256" s="816"/>
      <c r="AD256" s="816"/>
      <c r="AE256" s="816"/>
      <c r="AF256" s="816"/>
      <c r="AG256" s="816"/>
      <c r="AH256" s="816"/>
      <c r="AI256" s="816"/>
      <c r="AJ256" s="816"/>
      <c r="AK256" s="816"/>
      <c r="AL256" s="816"/>
      <c r="AM256" s="816"/>
    </row>
    <row r="257" spans="1:39" s="817" customFormat="1" ht="33.75" customHeight="1">
      <c r="A257" s="904">
        <v>3</v>
      </c>
      <c r="B257" s="905" t="s">
        <v>851</v>
      </c>
      <c r="C257" s="904" t="s">
        <v>375</v>
      </c>
      <c r="D257" s="906" t="s">
        <v>723</v>
      </c>
      <c r="E257" s="794" t="e">
        <f>NC_DKDD!H715</f>
        <v>#VALUE!</v>
      </c>
      <c r="F257" s="794"/>
      <c r="G257" s="795"/>
      <c r="H257" s="794"/>
      <c r="I257" s="794"/>
      <c r="J257" s="794"/>
      <c r="K257" s="794"/>
      <c r="L257" s="794"/>
      <c r="M257" s="794"/>
      <c r="N257" s="794"/>
      <c r="O257" s="794">
        <f t="shared" si="36"/>
        <v>202.88653846153844</v>
      </c>
      <c r="P257" s="815">
        <f t="shared" si="37"/>
        <v>176.42307692307691</v>
      </c>
      <c r="Q257" s="815">
        <f t="shared" si="38"/>
        <v>26.463461538461541</v>
      </c>
      <c r="R257" s="801">
        <f>NC_DKDD!G715</f>
        <v>3.3000000000000002E-2</v>
      </c>
      <c r="S257" s="816"/>
      <c r="T257" s="816"/>
      <c r="U257" s="816"/>
      <c r="V257" s="816"/>
      <c r="W257" s="816"/>
      <c r="X257" s="816"/>
      <c r="Y257" s="816"/>
      <c r="Z257" s="816"/>
      <c r="AA257" s="816"/>
      <c r="AB257" s="816"/>
      <c r="AC257" s="816"/>
      <c r="AD257" s="816"/>
      <c r="AE257" s="816"/>
      <c r="AF257" s="816"/>
      <c r="AG257" s="816"/>
      <c r="AH257" s="816"/>
      <c r="AI257" s="816"/>
      <c r="AJ257" s="816"/>
      <c r="AK257" s="816"/>
      <c r="AL257" s="816"/>
      <c r="AM257" s="816"/>
    </row>
    <row r="258" spans="1:39" s="817" customFormat="1" ht="28.5">
      <c r="A258" s="904">
        <v>4</v>
      </c>
      <c r="B258" s="905" t="s">
        <v>361</v>
      </c>
      <c r="C258" s="904" t="s">
        <v>532</v>
      </c>
      <c r="D258" s="906" t="s">
        <v>723</v>
      </c>
      <c r="E258" s="794" t="e">
        <f>NC_DKDD!H716</f>
        <v>#VALUE!</v>
      </c>
      <c r="F258" s="794"/>
      <c r="G258" s="795"/>
      <c r="H258" s="794"/>
      <c r="I258" s="794"/>
      <c r="J258" s="794"/>
      <c r="K258" s="794"/>
      <c r="L258" s="794"/>
      <c r="M258" s="794"/>
      <c r="N258" s="794"/>
      <c r="O258" s="794">
        <f t="shared" si="36"/>
        <v>3074.0384615384614</v>
      </c>
      <c r="P258" s="815">
        <f t="shared" si="37"/>
        <v>2673.0769230769229</v>
      </c>
      <c r="Q258" s="815">
        <f t="shared" si="38"/>
        <v>400.96153846153845</v>
      </c>
      <c r="R258" s="801">
        <f>NC_DKDD!G716</f>
        <v>0.5</v>
      </c>
      <c r="S258" s="816"/>
      <c r="T258" s="816"/>
      <c r="U258" s="816"/>
      <c r="V258" s="816"/>
      <c r="W258" s="816"/>
      <c r="X258" s="816"/>
      <c r="Y258" s="816"/>
      <c r="Z258" s="816"/>
      <c r="AA258" s="816"/>
      <c r="AB258" s="816"/>
      <c r="AC258" s="816"/>
      <c r="AD258" s="816"/>
      <c r="AE258" s="816"/>
      <c r="AF258" s="816"/>
      <c r="AG258" s="816"/>
      <c r="AH258" s="816"/>
      <c r="AI258" s="816"/>
      <c r="AJ258" s="816"/>
      <c r="AK258" s="816"/>
      <c r="AL258" s="816"/>
      <c r="AM258" s="816"/>
    </row>
    <row r="259" spans="1:39" s="817" customFormat="1" ht="14.25">
      <c r="A259" s="904">
        <v>5</v>
      </c>
      <c r="B259" s="905" t="s">
        <v>2</v>
      </c>
      <c r="C259" s="904" t="s">
        <v>375</v>
      </c>
      <c r="D259" s="906" t="s">
        <v>723</v>
      </c>
      <c r="E259" s="794" t="e">
        <f>NC_DKDD!H717</f>
        <v>#VALUE!</v>
      </c>
      <c r="F259" s="794"/>
      <c r="G259" s="795"/>
      <c r="H259" s="794"/>
      <c r="I259" s="794"/>
      <c r="J259" s="794"/>
      <c r="K259" s="794"/>
      <c r="L259" s="794"/>
      <c r="M259" s="794"/>
      <c r="N259" s="794"/>
      <c r="O259" s="794">
        <f t="shared" si="36"/>
        <v>36.888461538461534</v>
      </c>
      <c r="P259" s="815">
        <f t="shared" si="37"/>
        <v>32.076923076923073</v>
      </c>
      <c r="Q259" s="815">
        <f t="shared" si="38"/>
        <v>4.8115384615384613</v>
      </c>
      <c r="R259" s="801">
        <f>NC_DKDD!G717</f>
        <v>6.0000000000000001E-3</v>
      </c>
      <c r="S259" s="816"/>
      <c r="T259" s="816"/>
      <c r="U259" s="816"/>
      <c r="V259" s="816"/>
      <c r="W259" s="816"/>
      <c r="X259" s="816"/>
      <c r="Y259" s="816"/>
      <c r="Z259" s="816"/>
      <c r="AA259" s="816"/>
      <c r="AB259" s="816"/>
      <c r="AC259" s="816"/>
      <c r="AD259" s="816"/>
      <c r="AE259" s="816"/>
      <c r="AF259" s="816"/>
      <c r="AG259" s="816"/>
      <c r="AH259" s="816"/>
      <c r="AI259" s="816"/>
      <c r="AJ259" s="816"/>
      <c r="AK259" s="816"/>
      <c r="AL259" s="816"/>
      <c r="AM259" s="816"/>
    </row>
    <row r="260" spans="1:39" s="817" customFormat="1" ht="42.75">
      <c r="A260" s="904">
        <v>6</v>
      </c>
      <c r="B260" s="905" t="s">
        <v>802</v>
      </c>
      <c r="C260" s="904"/>
      <c r="D260" s="904"/>
      <c r="E260" s="794">
        <f>NC_DKDD!H718</f>
        <v>0</v>
      </c>
      <c r="F260" s="794"/>
      <c r="G260" s="795"/>
      <c r="H260" s="794"/>
      <c r="I260" s="794"/>
      <c r="J260" s="794"/>
      <c r="K260" s="794"/>
      <c r="L260" s="794"/>
      <c r="M260" s="794"/>
      <c r="N260" s="794"/>
      <c r="O260" s="794">
        <f t="shared" si="36"/>
        <v>0</v>
      </c>
      <c r="P260" s="815">
        <f t="shared" si="37"/>
        <v>0</v>
      </c>
      <c r="Q260" s="815">
        <f t="shared" si="38"/>
        <v>0</v>
      </c>
      <c r="R260" s="801">
        <f>NC_DKDD!G718</f>
        <v>0</v>
      </c>
      <c r="S260" s="816"/>
      <c r="T260" s="816"/>
      <c r="U260" s="816"/>
      <c r="V260" s="816"/>
      <c r="W260" s="816"/>
      <c r="X260" s="816"/>
      <c r="Y260" s="816"/>
      <c r="Z260" s="816"/>
      <c r="AA260" s="816"/>
      <c r="AB260" s="816"/>
      <c r="AC260" s="816"/>
      <c r="AD260" s="816"/>
      <c r="AE260" s="816"/>
      <c r="AF260" s="816"/>
      <c r="AG260" s="816"/>
      <c r="AH260" s="816"/>
      <c r="AI260" s="816"/>
      <c r="AJ260" s="816"/>
      <c r="AK260" s="816"/>
      <c r="AL260" s="816"/>
      <c r="AM260" s="816"/>
    </row>
    <row r="261" spans="1:39" s="817" customFormat="1" ht="25.5" customHeight="1">
      <c r="A261" s="904" t="s">
        <v>661</v>
      </c>
      <c r="B261" s="905" t="s">
        <v>587</v>
      </c>
      <c r="C261" s="904" t="s">
        <v>532</v>
      </c>
      <c r="D261" s="906" t="s">
        <v>723</v>
      </c>
      <c r="E261" s="794" t="e">
        <f>NC_DKDD!H719</f>
        <v>#VALUE!</v>
      </c>
      <c r="F261" s="794"/>
      <c r="G261" s="795"/>
      <c r="H261" s="794"/>
      <c r="I261" s="794"/>
      <c r="J261" s="794"/>
      <c r="K261" s="794"/>
      <c r="L261" s="794"/>
      <c r="M261" s="794"/>
      <c r="N261" s="794"/>
      <c r="O261" s="794">
        <f t="shared" si="36"/>
        <v>0</v>
      </c>
      <c r="P261" s="815">
        <f t="shared" si="37"/>
        <v>0</v>
      </c>
      <c r="Q261" s="815">
        <f t="shared" si="38"/>
        <v>0</v>
      </c>
      <c r="R261" s="801">
        <f>NC_DKDD!G719</f>
        <v>0</v>
      </c>
      <c r="S261" s="816"/>
      <c r="T261" s="816"/>
      <c r="U261" s="816"/>
      <c r="V261" s="816"/>
      <c r="W261" s="816"/>
      <c r="X261" s="816"/>
      <c r="Y261" s="816"/>
      <c r="Z261" s="816"/>
      <c r="AA261" s="816"/>
      <c r="AB261" s="816"/>
      <c r="AC261" s="816"/>
      <c r="AD261" s="816"/>
      <c r="AE261" s="816"/>
      <c r="AF261" s="816"/>
      <c r="AG261" s="816"/>
      <c r="AH261" s="816"/>
      <c r="AI261" s="816"/>
      <c r="AJ261" s="816"/>
      <c r="AK261" s="816"/>
      <c r="AL261" s="816"/>
      <c r="AM261" s="816"/>
    </row>
    <row r="262" spans="1:39" s="817" customFormat="1" ht="25.5" customHeight="1">
      <c r="A262" s="904" t="s">
        <v>662</v>
      </c>
      <c r="B262" s="905" t="s">
        <v>588</v>
      </c>
      <c r="C262" s="904" t="s">
        <v>532</v>
      </c>
      <c r="D262" s="906" t="s">
        <v>723</v>
      </c>
      <c r="E262" s="794" t="e">
        <f>NC_DKDD!H720</f>
        <v>#VALUE!</v>
      </c>
      <c r="F262" s="794"/>
      <c r="G262" s="795"/>
      <c r="H262" s="794"/>
      <c r="I262" s="794"/>
      <c r="J262" s="794"/>
      <c r="K262" s="794"/>
      <c r="L262" s="794"/>
      <c r="M262" s="794"/>
      <c r="N262" s="794"/>
      <c r="O262" s="794">
        <f t="shared" si="36"/>
        <v>0</v>
      </c>
      <c r="P262" s="815">
        <f t="shared" si="37"/>
        <v>0</v>
      </c>
      <c r="Q262" s="815">
        <f t="shared" si="38"/>
        <v>0</v>
      </c>
      <c r="R262" s="801">
        <f>NC_DKDD!G720</f>
        <v>0</v>
      </c>
      <c r="S262" s="816"/>
      <c r="T262" s="816"/>
      <c r="U262" s="816"/>
      <c r="V262" s="816"/>
      <c r="W262" s="816"/>
      <c r="X262" s="816"/>
      <c r="Y262" s="816"/>
      <c r="Z262" s="816"/>
      <c r="AA262" s="816"/>
      <c r="AB262" s="816"/>
      <c r="AC262" s="816"/>
      <c r="AD262" s="816"/>
      <c r="AE262" s="816"/>
      <c r="AF262" s="816"/>
      <c r="AG262" s="816"/>
      <c r="AH262" s="816"/>
      <c r="AI262" s="816"/>
      <c r="AJ262" s="816"/>
      <c r="AK262" s="816"/>
      <c r="AL262" s="816"/>
      <c r="AM262" s="816"/>
    </row>
    <row r="263" spans="1:39" s="817" customFormat="1" ht="14.25">
      <c r="A263" s="904">
        <v>7</v>
      </c>
      <c r="B263" s="905" t="s">
        <v>362</v>
      </c>
      <c r="C263" s="904" t="s">
        <v>375</v>
      </c>
      <c r="D263" s="906" t="s">
        <v>723</v>
      </c>
      <c r="E263" s="794" t="e">
        <f>NC_DKDD!H721</f>
        <v>#VALUE!</v>
      </c>
      <c r="F263" s="794"/>
      <c r="G263" s="795"/>
      <c r="H263" s="794"/>
      <c r="I263" s="794"/>
      <c r="J263" s="794"/>
      <c r="K263" s="794"/>
      <c r="L263" s="794"/>
      <c r="M263" s="794"/>
      <c r="N263" s="794"/>
      <c r="O263" s="794">
        <f t="shared" si="36"/>
        <v>202.88653846153844</v>
      </c>
      <c r="P263" s="815">
        <f t="shared" si="37"/>
        <v>176.42307692307691</v>
      </c>
      <c r="Q263" s="815">
        <f t="shared" si="38"/>
        <v>26.463461538461541</v>
      </c>
      <c r="R263" s="801">
        <f>NC_DKDD!G721</f>
        <v>3.3000000000000002E-2</v>
      </c>
      <c r="S263" s="816"/>
      <c r="T263" s="816"/>
      <c r="U263" s="816"/>
      <c r="V263" s="816"/>
      <c r="W263" s="816"/>
      <c r="X263" s="816"/>
      <c r="Y263" s="816"/>
      <c r="Z263" s="816"/>
      <c r="AA263" s="816"/>
      <c r="AB263" s="816"/>
      <c r="AC263" s="816"/>
      <c r="AD263" s="816"/>
      <c r="AE263" s="816"/>
      <c r="AF263" s="816"/>
      <c r="AG263" s="816"/>
      <c r="AH263" s="816"/>
      <c r="AI263" s="816"/>
      <c r="AJ263" s="816"/>
      <c r="AK263" s="816"/>
      <c r="AL263" s="816"/>
      <c r="AM263" s="816"/>
    </row>
    <row r="264" spans="1:39" s="817" customFormat="1" ht="25.5" customHeight="1">
      <c r="A264" s="904">
        <v>8</v>
      </c>
      <c r="B264" s="905" t="s">
        <v>80</v>
      </c>
      <c r="C264" s="904"/>
      <c r="D264" s="904"/>
      <c r="E264" s="794">
        <f>NC_DKDD!H722</f>
        <v>0</v>
      </c>
      <c r="F264" s="794"/>
      <c r="G264" s="795"/>
      <c r="H264" s="794"/>
      <c r="I264" s="794"/>
      <c r="J264" s="794"/>
      <c r="K264" s="794"/>
      <c r="L264" s="794"/>
      <c r="M264" s="794"/>
      <c r="N264" s="794"/>
      <c r="O264" s="794">
        <f t="shared" si="36"/>
        <v>0</v>
      </c>
      <c r="P264" s="815">
        <f t="shared" si="37"/>
        <v>0</v>
      </c>
      <c r="Q264" s="815">
        <f t="shared" si="38"/>
        <v>0</v>
      </c>
      <c r="R264" s="801">
        <f>NC_DKDD!G722</f>
        <v>0</v>
      </c>
      <c r="S264" s="816"/>
      <c r="T264" s="816"/>
      <c r="U264" s="816"/>
      <c r="V264" s="816"/>
      <c r="W264" s="816"/>
      <c r="X264" s="816"/>
      <c r="Y264" s="816"/>
      <c r="Z264" s="816"/>
      <c r="AA264" s="816"/>
      <c r="AB264" s="816"/>
      <c r="AC264" s="816"/>
      <c r="AD264" s="816"/>
      <c r="AE264" s="816"/>
      <c r="AF264" s="816"/>
      <c r="AG264" s="816"/>
      <c r="AH264" s="816"/>
      <c r="AI264" s="816"/>
      <c r="AJ264" s="816"/>
      <c r="AK264" s="816"/>
      <c r="AL264" s="816"/>
      <c r="AM264" s="816"/>
    </row>
    <row r="265" spans="1:39" s="817" customFormat="1" ht="25.5" customHeight="1">
      <c r="A265" s="904" t="s">
        <v>191</v>
      </c>
      <c r="B265" s="905" t="s">
        <v>82</v>
      </c>
      <c r="C265" s="904" t="s">
        <v>559</v>
      </c>
      <c r="D265" s="906" t="s">
        <v>723</v>
      </c>
      <c r="E265" s="794" t="e">
        <f>NC_DKDD!H723</f>
        <v>#VALUE!</v>
      </c>
      <c r="F265" s="794"/>
      <c r="G265" s="795"/>
      <c r="H265" s="794"/>
      <c r="I265" s="794"/>
      <c r="J265" s="794"/>
      <c r="K265" s="794"/>
      <c r="L265" s="794"/>
      <c r="M265" s="794"/>
      <c r="N265" s="794"/>
      <c r="O265" s="794">
        <f t="shared" si="36"/>
        <v>614.80769230769238</v>
      </c>
      <c r="P265" s="815">
        <f t="shared" si="37"/>
        <v>534.61538461538464</v>
      </c>
      <c r="Q265" s="815">
        <f t="shared" si="38"/>
        <v>80.192307692307693</v>
      </c>
      <c r="R265" s="801">
        <f>NC_DKDD!G723</f>
        <v>0.1</v>
      </c>
      <c r="S265" s="816"/>
      <c r="T265" s="816"/>
      <c r="U265" s="816"/>
      <c r="V265" s="816"/>
      <c r="W265" s="816"/>
      <c r="X265" s="816"/>
      <c r="Y265" s="816"/>
      <c r="Z265" s="816"/>
      <c r="AA265" s="816"/>
      <c r="AB265" s="816"/>
      <c r="AC265" s="816"/>
      <c r="AD265" s="816"/>
      <c r="AE265" s="816"/>
      <c r="AF265" s="816"/>
      <c r="AG265" s="816"/>
      <c r="AH265" s="816"/>
      <c r="AI265" s="816"/>
      <c r="AJ265" s="816"/>
      <c r="AK265" s="816"/>
      <c r="AL265" s="816"/>
      <c r="AM265" s="816"/>
    </row>
    <row r="266" spans="1:39" s="817" customFormat="1" ht="25.5" customHeight="1">
      <c r="A266" s="904" t="s">
        <v>192</v>
      </c>
      <c r="B266" s="905" t="s">
        <v>84</v>
      </c>
      <c r="C266" s="904" t="s">
        <v>559</v>
      </c>
      <c r="D266" s="906" t="s">
        <v>723</v>
      </c>
      <c r="E266" s="794" t="e">
        <f>NC_DKDD!H724</f>
        <v>#VALUE!</v>
      </c>
      <c r="F266" s="794"/>
      <c r="G266" s="795"/>
      <c r="H266" s="794"/>
      <c r="I266" s="794"/>
      <c r="J266" s="794"/>
      <c r="K266" s="794"/>
      <c r="L266" s="794"/>
      <c r="M266" s="794"/>
      <c r="N266" s="794"/>
      <c r="O266" s="794">
        <f t="shared" si="36"/>
        <v>1229.6153846153848</v>
      </c>
      <c r="P266" s="815">
        <f t="shared" si="37"/>
        <v>1069.2307692307693</v>
      </c>
      <c r="Q266" s="815">
        <f t="shared" si="38"/>
        <v>160.38461538461539</v>
      </c>
      <c r="R266" s="801">
        <f>NC_DKDD!G724</f>
        <v>0.2</v>
      </c>
      <c r="S266" s="816"/>
      <c r="T266" s="816"/>
      <c r="U266" s="816"/>
      <c r="V266" s="816"/>
      <c r="W266" s="816"/>
      <c r="X266" s="816"/>
      <c r="Y266" s="816"/>
      <c r="Z266" s="816"/>
      <c r="AA266" s="816"/>
      <c r="AB266" s="816"/>
      <c r="AC266" s="816"/>
      <c r="AD266" s="816"/>
      <c r="AE266" s="816"/>
      <c r="AF266" s="816"/>
      <c r="AG266" s="816"/>
      <c r="AH266" s="816"/>
      <c r="AI266" s="816"/>
      <c r="AJ266" s="816"/>
      <c r="AK266" s="816"/>
      <c r="AL266" s="816"/>
      <c r="AM266" s="816"/>
    </row>
    <row r="267" spans="1:39" s="817" customFormat="1" ht="42.75">
      <c r="A267" s="904">
        <v>9</v>
      </c>
      <c r="B267" s="905" t="s">
        <v>363</v>
      </c>
      <c r="C267" s="904" t="s">
        <v>532</v>
      </c>
      <c r="D267" s="906" t="s">
        <v>723</v>
      </c>
      <c r="E267" s="794" t="e">
        <f>NC_DKDD!H725</f>
        <v>#VALUE!</v>
      </c>
      <c r="F267" s="794"/>
      <c r="G267" s="795"/>
      <c r="H267" s="794"/>
      <c r="I267" s="794"/>
      <c r="J267" s="794"/>
      <c r="K267" s="794"/>
      <c r="L267" s="794"/>
      <c r="M267" s="794"/>
      <c r="N267" s="794"/>
      <c r="O267" s="794">
        <f t="shared" si="36"/>
        <v>2459.2307692307695</v>
      </c>
      <c r="P267" s="815">
        <f t="shared" si="37"/>
        <v>2138.4615384615386</v>
      </c>
      <c r="Q267" s="815">
        <f t="shared" si="38"/>
        <v>320.76923076923077</v>
      </c>
      <c r="R267" s="801">
        <f>NC_DKDD!G725</f>
        <v>0.4</v>
      </c>
      <c r="S267" s="816"/>
      <c r="T267" s="816"/>
      <c r="U267" s="816"/>
      <c r="V267" s="816"/>
      <c r="W267" s="816"/>
      <c r="X267" s="816"/>
      <c r="Y267" s="816"/>
      <c r="Z267" s="816"/>
      <c r="AA267" s="816"/>
      <c r="AB267" s="816"/>
      <c r="AC267" s="816"/>
      <c r="AD267" s="816"/>
      <c r="AE267" s="816"/>
      <c r="AF267" s="816"/>
      <c r="AG267" s="816"/>
      <c r="AH267" s="816"/>
      <c r="AI267" s="816"/>
      <c r="AJ267" s="816"/>
      <c r="AK267" s="816"/>
      <c r="AL267" s="816"/>
      <c r="AM267" s="816"/>
    </row>
    <row r="268" spans="1:39" s="817" customFormat="1" ht="28.5">
      <c r="A268" s="904">
        <v>10</v>
      </c>
      <c r="B268" s="905" t="s">
        <v>364</v>
      </c>
      <c r="C268" s="904" t="s">
        <v>532</v>
      </c>
      <c r="D268" s="906" t="s">
        <v>723</v>
      </c>
      <c r="E268" s="794" t="e">
        <f>NC_DKDD!H726</f>
        <v>#VALUE!</v>
      </c>
      <c r="F268" s="794"/>
      <c r="G268" s="795"/>
      <c r="H268" s="794"/>
      <c r="I268" s="794"/>
      <c r="J268" s="794"/>
      <c r="K268" s="794"/>
      <c r="L268" s="794"/>
      <c r="M268" s="794"/>
      <c r="N268" s="794"/>
      <c r="O268" s="794">
        <f t="shared" si="36"/>
        <v>2274.7884615384614</v>
      </c>
      <c r="P268" s="815">
        <f t="shared" si="37"/>
        <v>1978.0769230769229</v>
      </c>
      <c r="Q268" s="815">
        <f t="shared" si="38"/>
        <v>296.71153846153845</v>
      </c>
      <c r="R268" s="801">
        <f>NC_DKDD!G726</f>
        <v>0.37</v>
      </c>
      <c r="S268" s="816"/>
      <c r="T268" s="816"/>
      <c r="U268" s="816"/>
      <c r="V268" s="816"/>
      <c r="W268" s="816"/>
      <c r="X268" s="816"/>
      <c r="Y268" s="816"/>
      <c r="Z268" s="816"/>
      <c r="AA268" s="816"/>
      <c r="AB268" s="816"/>
      <c r="AC268" s="816"/>
      <c r="AD268" s="816"/>
      <c r="AE268" s="816"/>
      <c r="AF268" s="816"/>
      <c r="AG268" s="816"/>
      <c r="AH268" s="816"/>
      <c r="AI268" s="816"/>
      <c r="AJ268" s="816"/>
      <c r="AK268" s="816"/>
      <c r="AL268" s="816"/>
      <c r="AM268" s="816"/>
    </row>
    <row r="269" spans="1:39" s="817" customFormat="1" ht="25.5" customHeight="1">
      <c r="A269" s="904">
        <v>11</v>
      </c>
      <c r="B269" s="905" t="s">
        <v>88</v>
      </c>
      <c r="C269" s="904"/>
      <c r="D269" s="904"/>
      <c r="E269" s="794">
        <f>NC_DKDD!H727</f>
        <v>0</v>
      </c>
      <c r="F269" s="794"/>
      <c r="G269" s="795"/>
      <c r="H269" s="794"/>
      <c r="I269" s="794"/>
      <c r="J269" s="794"/>
      <c r="K269" s="794"/>
      <c r="L269" s="794"/>
      <c r="M269" s="794"/>
      <c r="N269" s="794"/>
      <c r="O269" s="794">
        <f t="shared" si="36"/>
        <v>0</v>
      </c>
      <c r="P269" s="815">
        <f t="shared" si="37"/>
        <v>0</v>
      </c>
      <c r="Q269" s="815">
        <f t="shared" si="38"/>
        <v>0</v>
      </c>
      <c r="R269" s="801">
        <f>NC_DKDD!G727</f>
        <v>0</v>
      </c>
      <c r="S269" s="816"/>
      <c r="T269" s="816"/>
      <c r="U269" s="816"/>
      <c r="V269" s="816"/>
      <c r="W269" s="816"/>
      <c r="X269" s="816"/>
      <c r="Y269" s="816"/>
      <c r="Z269" s="816"/>
      <c r="AA269" s="816"/>
      <c r="AB269" s="816"/>
      <c r="AC269" s="816"/>
      <c r="AD269" s="816"/>
      <c r="AE269" s="816"/>
      <c r="AF269" s="816"/>
      <c r="AG269" s="816"/>
      <c r="AH269" s="816"/>
      <c r="AI269" s="816"/>
      <c r="AJ269" s="816"/>
      <c r="AK269" s="816"/>
      <c r="AL269" s="816"/>
      <c r="AM269" s="816"/>
    </row>
    <row r="270" spans="1:39" s="817" customFormat="1" ht="33.75" customHeight="1">
      <c r="A270" s="904" t="s">
        <v>719</v>
      </c>
      <c r="B270" s="905" t="s">
        <v>775</v>
      </c>
      <c r="C270" s="904"/>
      <c r="D270" s="904"/>
      <c r="E270" s="794">
        <f>NC_DKDD!H728</f>
        <v>0</v>
      </c>
      <c r="F270" s="794"/>
      <c r="G270" s="795"/>
      <c r="H270" s="794"/>
      <c r="I270" s="794"/>
      <c r="J270" s="794"/>
      <c r="K270" s="794"/>
      <c r="L270" s="794"/>
      <c r="M270" s="794"/>
      <c r="N270" s="794"/>
      <c r="O270" s="794">
        <f t="shared" si="36"/>
        <v>0</v>
      </c>
      <c r="P270" s="815">
        <f t="shared" si="37"/>
        <v>0</v>
      </c>
      <c r="Q270" s="815">
        <f t="shared" si="38"/>
        <v>0</v>
      </c>
      <c r="R270" s="801">
        <f>NC_DKDD!G728</f>
        <v>0</v>
      </c>
      <c r="S270" s="816"/>
      <c r="T270" s="816"/>
      <c r="U270" s="816"/>
      <c r="V270" s="816"/>
      <c r="W270" s="816"/>
      <c r="X270" s="816"/>
      <c r="Y270" s="816"/>
      <c r="Z270" s="816"/>
      <c r="AA270" s="816"/>
      <c r="AB270" s="816"/>
      <c r="AC270" s="816"/>
      <c r="AD270" s="816"/>
      <c r="AE270" s="816"/>
      <c r="AF270" s="816"/>
      <c r="AG270" s="816"/>
      <c r="AH270" s="816"/>
      <c r="AI270" s="816"/>
      <c r="AJ270" s="816"/>
      <c r="AK270" s="816"/>
      <c r="AL270" s="816"/>
      <c r="AM270" s="816"/>
    </row>
    <row r="271" spans="1:39" s="817" customFormat="1" ht="25.5" customHeight="1">
      <c r="A271" s="904" t="s">
        <v>365</v>
      </c>
      <c r="B271" s="905" t="s">
        <v>777</v>
      </c>
      <c r="C271" s="904" t="s">
        <v>377</v>
      </c>
      <c r="D271" s="906" t="s">
        <v>723</v>
      </c>
      <c r="E271" s="794" t="e">
        <f>NC_DKDD!H729</f>
        <v>#VALUE!</v>
      </c>
      <c r="F271" s="794"/>
      <c r="G271" s="795"/>
      <c r="H271" s="794"/>
      <c r="I271" s="794"/>
      <c r="J271" s="794"/>
      <c r="K271" s="794"/>
      <c r="L271" s="794"/>
      <c r="M271" s="794"/>
      <c r="N271" s="794"/>
      <c r="O271" s="794">
        <f t="shared" si="36"/>
        <v>98.369230769230768</v>
      </c>
      <c r="P271" s="815">
        <f t="shared" si="37"/>
        <v>85.538461538461533</v>
      </c>
      <c r="Q271" s="815">
        <f t="shared" si="38"/>
        <v>12.830769230769231</v>
      </c>
      <c r="R271" s="801">
        <f>NC_DKDD!G729</f>
        <v>1.6E-2</v>
      </c>
      <c r="S271" s="816"/>
      <c r="T271" s="816"/>
      <c r="U271" s="816"/>
      <c r="V271" s="816"/>
      <c r="W271" s="816"/>
      <c r="X271" s="816"/>
      <c r="Y271" s="816"/>
      <c r="Z271" s="816"/>
      <c r="AA271" s="816"/>
      <c r="AB271" s="816"/>
      <c r="AC271" s="816"/>
      <c r="AD271" s="816"/>
      <c r="AE271" s="816"/>
      <c r="AF271" s="816"/>
      <c r="AG271" s="816"/>
      <c r="AH271" s="816"/>
      <c r="AI271" s="816"/>
      <c r="AJ271" s="816"/>
      <c r="AK271" s="816"/>
      <c r="AL271" s="816"/>
      <c r="AM271" s="816"/>
    </row>
    <row r="272" spans="1:39" s="817" customFormat="1" ht="25.5" customHeight="1">
      <c r="A272" s="904" t="s">
        <v>366</v>
      </c>
      <c r="B272" s="905" t="s">
        <v>781</v>
      </c>
      <c r="C272" s="904" t="s">
        <v>377</v>
      </c>
      <c r="D272" s="906" t="s">
        <v>723</v>
      </c>
      <c r="E272" s="794" t="e">
        <f>NC_DKDD!H730</f>
        <v>#VALUE!</v>
      </c>
      <c r="F272" s="794"/>
      <c r="G272" s="795"/>
      <c r="H272" s="794"/>
      <c r="I272" s="794"/>
      <c r="J272" s="794"/>
      <c r="K272" s="794"/>
      <c r="L272" s="794"/>
      <c r="M272" s="794"/>
      <c r="N272" s="794"/>
      <c r="O272" s="794">
        <f t="shared" si="36"/>
        <v>49.184615384615384</v>
      </c>
      <c r="P272" s="815">
        <f t="shared" si="37"/>
        <v>42.769230769230766</v>
      </c>
      <c r="Q272" s="815">
        <f t="shared" si="38"/>
        <v>6.4153846153846157</v>
      </c>
      <c r="R272" s="801">
        <f>NC_DKDD!G730</f>
        <v>8.0000000000000002E-3</v>
      </c>
      <c r="S272" s="816"/>
      <c r="T272" s="816"/>
      <c r="U272" s="816"/>
      <c r="V272" s="816"/>
      <c r="W272" s="816"/>
      <c r="X272" s="816"/>
      <c r="Y272" s="816"/>
      <c r="Z272" s="816"/>
      <c r="AA272" s="816"/>
      <c r="AB272" s="816"/>
      <c r="AC272" s="816"/>
      <c r="AD272" s="816"/>
      <c r="AE272" s="816"/>
      <c r="AF272" s="816"/>
      <c r="AG272" s="816"/>
      <c r="AH272" s="816"/>
      <c r="AI272" s="816"/>
      <c r="AJ272" s="816"/>
      <c r="AK272" s="816"/>
      <c r="AL272" s="816"/>
      <c r="AM272" s="816"/>
    </row>
    <row r="273" spans="1:39" s="817" customFormat="1" ht="31.5" customHeight="1">
      <c r="A273" s="904" t="s">
        <v>720</v>
      </c>
      <c r="B273" s="905" t="s">
        <v>861</v>
      </c>
      <c r="C273" s="904" t="s">
        <v>377</v>
      </c>
      <c r="D273" s="906" t="s">
        <v>723</v>
      </c>
      <c r="E273" s="794" t="e">
        <f>NC_DKDD!H731</f>
        <v>#VALUE!</v>
      </c>
      <c r="F273" s="794"/>
      <c r="G273" s="795"/>
      <c r="H273" s="794"/>
      <c r="I273" s="794"/>
      <c r="J273" s="794"/>
      <c r="K273" s="794"/>
      <c r="L273" s="794"/>
      <c r="M273" s="794"/>
      <c r="N273" s="794"/>
      <c r="O273" s="794">
        <f t="shared" si="36"/>
        <v>24.592307692307692</v>
      </c>
      <c r="P273" s="815">
        <f t="shared" si="37"/>
        <v>21.384615384615383</v>
      </c>
      <c r="Q273" s="815">
        <f t="shared" si="38"/>
        <v>3.2076923076923078</v>
      </c>
      <c r="R273" s="801">
        <f>NC_DKDD!G731</f>
        <v>4.0000000000000001E-3</v>
      </c>
      <c r="S273" s="816"/>
      <c r="T273" s="816"/>
      <c r="U273" s="816"/>
      <c r="V273" s="816"/>
      <c r="W273" s="816"/>
      <c r="X273" s="816"/>
      <c r="Y273" s="816"/>
      <c r="Z273" s="816"/>
      <c r="AA273" s="816"/>
      <c r="AB273" s="816"/>
      <c r="AC273" s="816"/>
      <c r="AD273" s="816"/>
      <c r="AE273" s="816"/>
      <c r="AF273" s="816"/>
      <c r="AG273" s="816"/>
      <c r="AH273" s="816"/>
      <c r="AI273" s="816"/>
      <c r="AJ273" s="816"/>
      <c r="AK273" s="816"/>
      <c r="AL273" s="816"/>
      <c r="AM273" s="816"/>
    </row>
    <row r="274" spans="1:39" s="817" customFormat="1" ht="25.5" customHeight="1">
      <c r="A274" s="904" t="s">
        <v>721</v>
      </c>
      <c r="B274" s="905" t="s">
        <v>863</v>
      </c>
      <c r="C274" s="904" t="s">
        <v>375</v>
      </c>
      <c r="D274" s="906" t="s">
        <v>723</v>
      </c>
      <c r="E274" s="794" t="e">
        <f>NC_DKDD!H732</f>
        <v>#VALUE!</v>
      </c>
      <c r="F274" s="794"/>
      <c r="G274" s="795"/>
      <c r="H274" s="794"/>
      <c r="I274" s="794"/>
      <c r="J274" s="794"/>
      <c r="K274" s="794"/>
      <c r="L274" s="794"/>
      <c r="M274" s="794"/>
      <c r="N274" s="794"/>
      <c r="O274" s="794">
        <f t="shared" si="36"/>
        <v>61.480769230769226</v>
      </c>
      <c r="P274" s="815">
        <f t="shared" si="37"/>
        <v>53.46153846153846</v>
      </c>
      <c r="Q274" s="815">
        <f t="shared" si="38"/>
        <v>8.0192307692307701</v>
      </c>
      <c r="R274" s="801">
        <f>NC_DKDD!G732</f>
        <v>0.01</v>
      </c>
      <c r="S274" s="816"/>
      <c r="T274" s="816"/>
      <c r="U274" s="816"/>
      <c r="V274" s="816"/>
      <c r="W274" s="816"/>
      <c r="X274" s="816"/>
      <c r="Y274" s="816"/>
      <c r="Z274" s="816"/>
      <c r="AA274" s="816"/>
      <c r="AB274" s="816"/>
      <c r="AC274" s="816"/>
      <c r="AD274" s="816"/>
      <c r="AE274" s="816"/>
      <c r="AF274" s="816"/>
      <c r="AG274" s="816"/>
      <c r="AH274" s="816"/>
      <c r="AI274" s="816"/>
      <c r="AJ274" s="816"/>
      <c r="AK274" s="816"/>
      <c r="AL274" s="816"/>
      <c r="AM274" s="816"/>
    </row>
    <row r="275" spans="1:39" s="817" customFormat="1" ht="59.25" customHeight="1">
      <c r="A275" s="904">
        <v>12</v>
      </c>
      <c r="B275" s="905" t="s">
        <v>108</v>
      </c>
      <c r="C275" s="904" t="s">
        <v>532</v>
      </c>
      <c r="D275" s="906" t="s">
        <v>723</v>
      </c>
      <c r="E275" s="794" t="e">
        <f>NC_DKDD!H733</f>
        <v>#VALUE!</v>
      </c>
      <c r="F275" s="794"/>
      <c r="G275" s="795"/>
      <c r="H275" s="794"/>
      <c r="I275" s="794"/>
      <c r="J275" s="794"/>
      <c r="K275" s="794"/>
      <c r="L275" s="794"/>
      <c r="M275" s="794"/>
      <c r="N275" s="794"/>
      <c r="O275" s="794">
        <f t="shared" si="36"/>
        <v>307.40384615384619</v>
      </c>
      <c r="P275" s="815">
        <f t="shared" si="37"/>
        <v>267.30769230769232</v>
      </c>
      <c r="Q275" s="815">
        <f t="shared" si="38"/>
        <v>40.096153846153847</v>
      </c>
      <c r="R275" s="801">
        <f>NC_DKDD!G733</f>
        <v>0.05</v>
      </c>
      <c r="S275" s="816"/>
      <c r="T275" s="816"/>
      <c r="U275" s="816"/>
      <c r="V275" s="816"/>
      <c r="W275" s="816"/>
      <c r="X275" s="816"/>
      <c r="Y275" s="816"/>
      <c r="Z275" s="816"/>
      <c r="AA275" s="816"/>
      <c r="AB275" s="816"/>
      <c r="AC275" s="816"/>
      <c r="AD275" s="816"/>
      <c r="AE275" s="816"/>
      <c r="AF275" s="816"/>
      <c r="AG275" s="816"/>
      <c r="AH275" s="816"/>
      <c r="AI275" s="816"/>
      <c r="AJ275" s="816"/>
      <c r="AK275" s="816"/>
      <c r="AL275" s="816"/>
      <c r="AM275" s="816"/>
    </row>
    <row r="276" spans="1:39" s="817" customFormat="1" ht="34.5" customHeight="1">
      <c r="A276" s="904">
        <v>13</v>
      </c>
      <c r="B276" s="905" t="s">
        <v>109</v>
      </c>
      <c r="C276" s="904" t="s">
        <v>532</v>
      </c>
      <c r="D276" s="906" t="s">
        <v>723</v>
      </c>
      <c r="E276" s="794" t="e">
        <f>NC_DKDD!H734</f>
        <v>#VALUE!</v>
      </c>
      <c r="F276" s="794"/>
      <c r="G276" s="795"/>
      <c r="H276" s="794"/>
      <c r="I276" s="794"/>
      <c r="J276" s="794"/>
      <c r="K276" s="794"/>
      <c r="L276" s="794"/>
      <c r="M276" s="794"/>
      <c r="N276" s="794"/>
      <c r="O276" s="794">
        <f t="shared" si="36"/>
        <v>307.40384615384619</v>
      </c>
      <c r="P276" s="815">
        <f t="shared" si="37"/>
        <v>267.30769230769232</v>
      </c>
      <c r="Q276" s="815">
        <f t="shared" si="38"/>
        <v>40.096153846153847</v>
      </c>
      <c r="R276" s="801">
        <f>NC_DKDD!G734</f>
        <v>0.05</v>
      </c>
      <c r="S276" s="816"/>
      <c r="T276" s="816"/>
      <c r="U276" s="816"/>
      <c r="V276" s="816"/>
      <c r="W276" s="816"/>
      <c r="X276" s="816"/>
      <c r="Y276" s="816"/>
      <c r="Z276" s="816"/>
      <c r="AA276" s="816"/>
      <c r="AB276" s="816"/>
      <c r="AC276" s="816"/>
      <c r="AD276" s="816"/>
      <c r="AE276" s="816"/>
      <c r="AF276" s="816"/>
      <c r="AG276" s="816"/>
      <c r="AH276" s="816"/>
      <c r="AI276" s="816"/>
      <c r="AJ276" s="816"/>
      <c r="AK276" s="816"/>
      <c r="AL276" s="816"/>
      <c r="AM276" s="816"/>
    </row>
    <row r="277" spans="1:39" s="817" customFormat="1" ht="25.5" customHeight="1">
      <c r="A277" s="902" t="s">
        <v>1005</v>
      </c>
      <c r="B277" s="903" t="s">
        <v>460</v>
      </c>
      <c r="C277" s="904"/>
      <c r="D277" s="904"/>
      <c r="E277" s="793" t="e">
        <f>E278</f>
        <v>#VALUE!</v>
      </c>
      <c r="F277" s="794"/>
      <c r="G277" s="795"/>
      <c r="H277" s="794">
        <f>'Dcu-DKDD'!$H$251</f>
        <v>71.083283653846138</v>
      </c>
      <c r="I277" s="794">
        <f>'VL-DKDD'!$F$253</f>
        <v>676.62</v>
      </c>
      <c r="J277" s="794"/>
      <c r="K277" s="794"/>
      <c r="L277" s="796" t="e">
        <f>SUM(E277:K277)</f>
        <v>#VALUE!</v>
      </c>
      <c r="M277" s="796" t="e">
        <f>L277*'He so chung'!$D$17/100</f>
        <v>#VALUE!</v>
      </c>
      <c r="N277" s="796" t="e">
        <f>L277+M277</f>
        <v>#VALUE!</v>
      </c>
      <c r="O277" s="793">
        <f>O278</f>
        <v>122.96153846153845</v>
      </c>
      <c r="P277" s="815">
        <f t="shared" si="37"/>
        <v>0</v>
      </c>
      <c r="Q277" s="815">
        <f t="shared" si="38"/>
        <v>0</v>
      </c>
      <c r="R277" s="801">
        <f>NC_DKDD!G735</f>
        <v>0</v>
      </c>
      <c r="S277" s="816"/>
      <c r="T277" s="816"/>
      <c r="U277" s="816"/>
      <c r="V277" s="816"/>
      <c r="W277" s="816"/>
      <c r="X277" s="816"/>
      <c r="Y277" s="816"/>
      <c r="Z277" s="816"/>
      <c r="AA277" s="816"/>
      <c r="AB277" s="816"/>
      <c r="AC277" s="816"/>
      <c r="AD277" s="816"/>
      <c r="AE277" s="816"/>
      <c r="AF277" s="816"/>
      <c r="AG277" s="816"/>
      <c r="AH277" s="816"/>
      <c r="AI277" s="816"/>
      <c r="AJ277" s="816"/>
      <c r="AK277" s="816"/>
      <c r="AL277" s="816"/>
      <c r="AM277" s="816"/>
    </row>
    <row r="278" spans="1:39" s="817" customFormat="1" ht="25.5" customHeight="1">
      <c r="A278" s="904">
        <v>1</v>
      </c>
      <c r="B278" s="905" t="s">
        <v>367</v>
      </c>
      <c r="C278" s="904" t="s">
        <v>532</v>
      </c>
      <c r="D278" s="906" t="s">
        <v>723</v>
      </c>
      <c r="E278" s="794" t="e">
        <f>NC_DKDD!H736</f>
        <v>#VALUE!</v>
      </c>
      <c r="F278" s="794"/>
      <c r="G278" s="795"/>
      <c r="H278" s="794"/>
      <c r="I278" s="794"/>
      <c r="J278" s="794"/>
      <c r="K278" s="794"/>
      <c r="L278" s="794"/>
      <c r="M278" s="794"/>
      <c r="N278" s="794"/>
      <c r="O278" s="794">
        <f t="shared" si="36"/>
        <v>122.96153846153845</v>
      </c>
      <c r="P278" s="815">
        <f t="shared" si="37"/>
        <v>106.92307692307692</v>
      </c>
      <c r="Q278" s="815">
        <f t="shared" si="38"/>
        <v>16.03846153846154</v>
      </c>
      <c r="R278" s="801">
        <f>NC_DKDD!G736</f>
        <v>0.02</v>
      </c>
      <c r="S278" s="816"/>
      <c r="T278" s="816"/>
      <c r="U278" s="816"/>
      <c r="V278" s="816"/>
      <c r="W278" s="816"/>
      <c r="X278" s="816"/>
      <c r="Y278" s="816"/>
      <c r="Z278" s="816"/>
      <c r="AA278" s="816"/>
      <c r="AB278" s="816"/>
      <c r="AC278" s="816"/>
      <c r="AD278" s="816"/>
      <c r="AE278" s="816"/>
      <c r="AF278" s="816"/>
      <c r="AG278" s="816"/>
      <c r="AH278" s="816"/>
      <c r="AI278" s="816"/>
      <c r="AJ278" s="816"/>
      <c r="AK278" s="816"/>
      <c r="AL278" s="816"/>
      <c r="AM278" s="816"/>
    </row>
    <row r="279" spans="1:39" ht="30.75" customHeight="1">
      <c r="A279" s="895"/>
      <c r="B279" s="896" t="s">
        <v>533</v>
      </c>
      <c r="C279" s="897"/>
      <c r="D279" s="895"/>
      <c r="E279" s="898"/>
      <c r="F279" s="898"/>
      <c r="G279" s="899"/>
      <c r="H279" s="898"/>
      <c r="I279" s="898"/>
      <c r="J279" s="900"/>
      <c r="K279" s="900"/>
      <c r="L279" s="900"/>
      <c r="M279" s="900"/>
      <c r="N279" s="900"/>
      <c r="O279" s="901"/>
      <c r="P279" s="420"/>
      <c r="Q279" s="420"/>
      <c r="R279" s="806"/>
    </row>
    <row r="280" spans="1:39" ht="30.75" customHeight="1">
      <c r="A280" s="455"/>
      <c r="B280" s="1073" t="s">
        <v>833</v>
      </c>
      <c r="C280" s="1073"/>
      <c r="D280" s="1073"/>
      <c r="E280" s="1073"/>
      <c r="F280" s="1073"/>
      <c r="G280" s="1073"/>
      <c r="H280" s="1073"/>
      <c r="I280" s="1073"/>
      <c r="J280" s="1073"/>
      <c r="K280" s="1073"/>
      <c r="L280" s="1073"/>
      <c r="M280" s="1073"/>
      <c r="N280" s="1073"/>
      <c r="O280" s="1073"/>
      <c r="P280" s="420"/>
      <c r="Q280" s="420" t="s">
        <v>681</v>
      </c>
      <c r="R280" s="806"/>
    </row>
    <row r="281" spans="1:39" ht="30.75" customHeight="1">
      <c r="A281" s="455"/>
      <c r="B281" s="1072" t="s">
        <v>394</v>
      </c>
      <c r="C281" s="1072"/>
      <c r="D281" s="1072"/>
      <c r="E281" s="1072"/>
      <c r="F281" s="1072"/>
      <c r="G281" s="1072"/>
      <c r="H281" s="1072"/>
      <c r="I281" s="1072"/>
      <c r="J281" s="1072"/>
      <c r="K281" s="1072"/>
      <c r="L281" s="1072"/>
      <c r="M281" s="1072"/>
      <c r="N281" s="1072"/>
      <c r="O281" s="1072"/>
      <c r="P281" s="420"/>
      <c r="Q281" s="420"/>
      <c r="R281" s="806"/>
    </row>
    <row r="282" spans="1:39" ht="30.75" customHeight="1">
      <c r="A282" s="455"/>
      <c r="B282" s="1139" t="s">
        <v>395</v>
      </c>
      <c r="C282" s="1139"/>
      <c r="D282" s="1139"/>
      <c r="E282" s="1139"/>
      <c r="F282" s="1139"/>
      <c r="G282" s="1139"/>
      <c r="H282" s="1139"/>
      <c r="I282" s="1139"/>
      <c r="J282" s="1139"/>
      <c r="K282" s="1139"/>
      <c r="L282" s="1139"/>
      <c r="M282" s="1139"/>
      <c r="N282" s="1139"/>
      <c r="O282" s="1139"/>
      <c r="P282" s="420"/>
      <c r="Q282" s="420"/>
      <c r="R282" s="806"/>
    </row>
    <row r="283" spans="1:39" ht="30.75" customHeight="1">
      <c r="A283" s="455"/>
      <c r="B283" s="1072" t="s">
        <v>396</v>
      </c>
      <c r="C283" s="1072"/>
      <c r="D283" s="1072"/>
      <c r="E283" s="1072"/>
      <c r="F283" s="1072"/>
      <c r="G283" s="1072"/>
      <c r="H283" s="1072"/>
      <c r="I283" s="1072"/>
      <c r="J283" s="1072"/>
      <c r="K283" s="1072"/>
      <c r="L283" s="1072"/>
      <c r="M283" s="1072"/>
      <c r="N283" s="1072"/>
      <c r="O283" s="1072"/>
      <c r="P283" s="420"/>
      <c r="Q283" s="420"/>
      <c r="R283" s="806"/>
    </row>
    <row r="284" spans="1:39" ht="44.45" customHeight="1">
      <c r="A284" s="1070" t="s">
        <v>132</v>
      </c>
      <c r="B284" s="1070"/>
      <c r="C284" s="1070"/>
      <c r="D284" s="1070"/>
      <c r="E284" s="1070"/>
      <c r="F284" s="1070"/>
      <c r="G284" s="1070"/>
      <c r="H284" s="1070"/>
      <c r="I284" s="1070"/>
      <c r="J284" s="1070"/>
      <c r="K284" s="1070"/>
      <c r="L284" s="1070"/>
      <c r="M284" s="1070"/>
      <c r="N284" s="1070"/>
      <c r="O284" s="1070"/>
      <c r="R284" s="806"/>
    </row>
    <row r="285" spans="1:39" ht="21" customHeight="1">
      <c r="A285" s="414"/>
      <c r="B285" s="415"/>
      <c r="C285" s="776"/>
      <c r="D285" s="777" t="s">
        <v>430</v>
      </c>
      <c r="E285" s="419"/>
      <c r="F285" s="778"/>
      <c r="G285" s="779"/>
      <c r="H285" s="778"/>
      <c r="I285" s="780"/>
      <c r="J285" s="778"/>
      <c r="K285" s="778"/>
      <c r="L285" s="781" t="s">
        <v>262</v>
      </c>
      <c r="M285" s="778"/>
      <c r="N285" s="780"/>
      <c r="O285" s="419"/>
      <c r="P285" s="420"/>
      <c r="Q285" s="420"/>
      <c r="R285" s="820"/>
    </row>
    <row r="286" spans="1:39" ht="21" customHeight="1">
      <c r="A286" s="414"/>
      <c r="B286" s="415"/>
      <c r="C286" s="776"/>
      <c r="D286" s="821"/>
      <c r="E286" s="419"/>
      <c r="F286" s="419"/>
      <c r="G286" s="822"/>
      <c r="H286" s="419"/>
      <c r="I286" s="419"/>
      <c r="J286" s="419"/>
      <c r="K286" s="419"/>
      <c r="L286" s="419"/>
      <c r="M286" s="419"/>
      <c r="N286" s="419"/>
      <c r="O286" s="419"/>
      <c r="P286" s="420"/>
      <c r="Q286" s="420"/>
      <c r="R286" s="820"/>
    </row>
    <row r="287" spans="1:39" s="907" customFormat="1" ht="27.75" customHeight="1">
      <c r="A287" s="1068" t="s">
        <v>718</v>
      </c>
      <c r="B287" s="1068" t="s">
        <v>198</v>
      </c>
      <c r="C287" s="1071" t="s">
        <v>263</v>
      </c>
      <c r="D287" s="1071" t="s">
        <v>264</v>
      </c>
      <c r="E287" s="1071" t="s">
        <v>683</v>
      </c>
      <c r="F287" s="1071"/>
      <c r="G287" s="1071"/>
      <c r="H287" s="1071"/>
      <c r="I287" s="1071"/>
      <c r="J287" s="1071"/>
      <c r="K287" s="1071"/>
      <c r="L287" s="1071"/>
      <c r="M287" s="1071" t="s">
        <v>435</v>
      </c>
      <c r="N287" s="1071" t="s">
        <v>684</v>
      </c>
      <c r="O287" s="1071" t="s">
        <v>685</v>
      </c>
      <c r="P287" s="830"/>
      <c r="Q287" s="830"/>
      <c r="R287" s="831"/>
      <c r="S287" s="832"/>
      <c r="T287" s="832"/>
      <c r="U287" s="832"/>
      <c r="V287" s="832"/>
      <c r="W287" s="832"/>
      <c r="X287" s="832"/>
      <c r="Y287" s="832"/>
      <c r="Z287" s="832"/>
      <c r="AA287" s="832"/>
      <c r="AB287" s="832"/>
      <c r="AC287" s="832"/>
      <c r="AD287" s="832"/>
      <c r="AE287" s="832"/>
      <c r="AF287" s="832"/>
      <c r="AG287" s="832"/>
      <c r="AH287" s="832"/>
      <c r="AI287" s="832"/>
      <c r="AJ287" s="832"/>
      <c r="AK287" s="832"/>
      <c r="AL287" s="832"/>
      <c r="AM287" s="832"/>
    </row>
    <row r="288" spans="1:39" s="907" customFormat="1" ht="31.5" customHeight="1">
      <c r="A288" s="1068"/>
      <c r="B288" s="1068"/>
      <c r="C288" s="1071"/>
      <c r="D288" s="1071"/>
      <c r="E288" s="783" t="s">
        <v>686</v>
      </c>
      <c r="F288" s="783" t="s">
        <v>687</v>
      </c>
      <c r="G288" s="784" t="s">
        <v>285</v>
      </c>
      <c r="H288" s="783" t="s">
        <v>499</v>
      </c>
      <c r="I288" s="783" t="s">
        <v>688</v>
      </c>
      <c r="J288" s="783" t="s">
        <v>531</v>
      </c>
      <c r="K288" s="783" t="s">
        <v>689</v>
      </c>
      <c r="L288" s="783" t="s">
        <v>690</v>
      </c>
      <c r="M288" s="1071"/>
      <c r="N288" s="1071"/>
      <c r="O288" s="1071"/>
      <c r="P288" s="830"/>
      <c r="Q288" s="830"/>
      <c r="R288" s="831"/>
      <c r="S288" s="832"/>
      <c r="T288" s="832"/>
      <c r="U288" s="832"/>
      <c r="V288" s="832"/>
      <c r="W288" s="832"/>
      <c r="X288" s="832"/>
      <c r="Y288" s="832"/>
      <c r="Z288" s="832"/>
      <c r="AA288" s="832"/>
      <c r="AB288" s="832"/>
      <c r="AC288" s="832"/>
      <c r="AD288" s="832"/>
      <c r="AE288" s="832"/>
      <c r="AF288" s="832"/>
      <c r="AG288" s="832"/>
      <c r="AH288" s="832"/>
      <c r="AI288" s="832"/>
      <c r="AJ288" s="832"/>
      <c r="AK288" s="832"/>
      <c r="AL288" s="832"/>
      <c r="AM288" s="832"/>
    </row>
    <row r="289" spans="1:39" s="907" customFormat="1" ht="31.5" customHeight="1">
      <c r="A289" s="785"/>
      <c r="B289" s="786" t="s">
        <v>129</v>
      </c>
      <c r="C289" s="783"/>
      <c r="D289" s="783"/>
      <c r="E289" s="783"/>
      <c r="F289" s="783"/>
      <c r="G289" s="784"/>
      <c r="H289" s="783"/>
      <c r="I289" s="783"/>
      <c r="J289" s="783"/>
      <c r="K289" s="783"/>
      <c r="L289" s="783"/>
      <c r="M289" s="783"/>
      <c r="N289" s="783"/>
      <c r="O289" s="783"/>
      <c r="P289" s="830"/>
      <c r="Q289" s="830"/>
      <c r="R289" s="831"/>
      <c r="S289" s="832"/>
      <c r="T289" s="832"/>
      <c r="U289" s="832"/>
      <c r="V289" s="832"/>
      <c r="W289" s="832"/>
      <c r="X289" s="832"/>
      <c r="Y289" s="832"/>
      <c r="Z289" s="832"/>
      <c r="AA289" s="832"/>
      <c r="AB289" s="832"/>
      <c r="AC289" s="832"/>
      <c r="AD289" s="832"/>
      <c r="AE289" s="832"/>
      <c r="AF289" s="832"/>
      <c r="AG289" s="832"/>
      <c r="AH289" s="832"/>
      <c r="AI289" s="832"/>
      <c r="AJ289" s="832"/>
      <c r="AK289" s="832"/>
      <c r="AL289" s="832"/>
      <c r="AM289" s="832"/>
    </row>
    <row r="290" spans="1:39" s="907" customFormat="1" ht="30.75" customHeight="1">
      <c r="A290" s="785"/>
      <c r="B290" s="787" t="s">
        <v>668</v>
      </c>
      <c r="C290" s="783" t="s">
        <v>532</v>
      </c>
      <c r="D290" s="785" t="s">
        <v>723</v>
      </c>
      <c r="E290" s="788" t="e">
        <f>E294+E320</f>
        <v>#VALUE!</v>
      </c>
      <c r="F290" s="788">
        <f t="shared" ref="F290:N290" si="39">F294+F320</f>
        <v>0</v>
      </c>
      <c r="G290" s="788">
        <f t="shared" si="39"/>
        <v>0</v>
      </c>
      <c r="H290" s="788">
        <f t="shared" si="39"/>
        <v>10604.484581249999</v>
      </c>
      <c r="I290" s="788">
        <f t="shared" si="39"/>
        <v>18661.86</v>
      </c>
      <c r="J290" s="788">
        <f t="shared" si="39"/>
        <v>8596.6738000000005</v>
      </c>
      <c r="K290" s="788">
        <f t="shared" si="39"/>
        <v>18943.415400000002</v>
      </c>
      <c r="L290" s="788" t="e">
        <f t="shared" si="39"/>
        <v>#VALUE!</v>
      </c>
      <c r="M290" s="788" t="e">
        <f t="shared" si="39"/>
        <v>#VALUE!</v>
      </c>
      <c r="N290" s="788" t="e">
        <f t="shared" si="39"/>
        <v>#VALUE!</v>
      </c>
      <c r="O290" s="788">
        <f>O294+O320</f>
        <v>16925.655769230769</v>
      </c>
      <c r="P290" s="830"/>
      <c r="Q290" s="830"/>
      <c r="R290" s="831"/>
      <c r="S290" s="832"/>
      <c r="T290" s="832"/>
      <c r="U290" s="832"/>
      <c r="V290" s="832"/>
      <c r="W290" s="832"/>
      <c r="X290" s="832"/>
      <c r="Y290" s="832"/>
      <c r="Z290" s="832"/>
      <c r="AA290" s="832"/>
      <c r="AB290" s="832"/>
      <c r="AC290" s="832"/>
      <c r="AD290" s="832"/>
      <c r="AE290" s="832"/>
      <c r="AF290" s="832"/>
      <c r="AG290" s="832"/>
      <c r="AH290" s="832"/>
      <c r="AI290" s="832"/>
      <c r="AJ290" s="832"/>
      <c r="AK290" s="832"/>
      <c r="AL290" s="832"/>
      <c r="AM290" s="832"/>
    </row>
    <row r="291" spans="1:39" s="907" customFormat="1" ht="30.75" customHeight="1">
      <c r="A291" s="785"/>
      <c r="B291" s="787" t="s">
        <v>669</v>
      </c>
      <c r="C291" s="783" t="s">
        <v>532</v>
      </c>
      <c r="D291" s="785" t="s">
        <v>723</v>
      </c>
      <c r="E291" s="788" t="e">
        <f>E295+E320</f>
        <v>#VALUE!</v>
      </c>
      <c r="F291" s="788">
        <f t="shared" ref="F291:O291" si="40">F295+F320</f>
        <v>0</v>
      </c>
      <c r="G291" s="788">
        <f t="shared" si="40"/>
        <v>0</v>
      </c>
      <c r="H291" s="788">
        <f t="shared" si="40"/>
        <v>10604.484581249999</v>
      </c>
      <c r="I291" s="788">
        <f t="shared" si="40"/>
        <v>18661.86</v>
      </c>
      <c r="J291" s="788">
        <f t="shared" si="40"/>
        <v>8596.6738000000005</v>
      </c>
      <c r="K291" s="788">
        <f t="shared" si="40"/>
        <v>18943.415400000002</v>
      </c>
      <c r="L291" s="788" t="e">
        <f t="shared" si="40"/>
        <v>#VALUE!</v>
      </c>
      <c r="M291" s="788" t="e">
        <f t="shared" si="40"/>
        <v>#VALUE!</v>
      </c>
      <c r="N291" s="788" t="e">
        <f t="shared" si="40"/>
        <v>#VALUE!</v>
      </c>
      <c r="O291" s="788">
        <f t="shared" si="40"/>
        <v>16526.030769230769</v>
      </c>
      <c r="P291" s="830"/>
      <c r="Q291" s="830"/>
      <c r="R291" s="831"/>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row>
    <row r="292" spans="1:39" s="907" customFormat="1" ht="25.5" customHeight="1">
      <c r="A292" s="785"/>
      <c r="B292" s="789"/>
      <c r="C292" s="783"/>
      <c r="D292" s="783"/>
      <c r="E292" s="783"/>
      <c r="F292" s="783"/>
      <c r="G292" s="784"/>
      <c r="H292" s="783"/>
      <c r="I292" s="783"/>
      <c r="J292" s="783"/>
      <c r="K292" s="783"/>
      <c r="L292" s="783"/>
      <c r="M292" s="783"/>
      <c r="N292" s="783"/>
      <c r="O292" s="783"/>
      <c r="P292" s="834">
        <f>'He so chung'!D$22</f>
        <v>5346.1538461538457</v>
      </c>
      <c r="Q292" s="834">
        <f>'He so chung'!D$23</f>
        <v>801.92307692307691</v>
      </c>
      <c r="R292" s="835"/>
      <c r="S292" s="832"/>
      <c r="T292" s="832"/>
      <c r="U292" s="832"/>
      <c r="V292" s="832"/>
      <c r="W292" s="832"/>
      <c r="X292" s="832"/>
      <c r="Y292" s="832"/>
      <c r="Z292" s="832"/>
      <c r="AA292" s="832"/>
      <c r="AB292" s="832"/>
      <c r="AC292" s="832"/>
      <c r="AD292" s="832"/>
      <c r="AE292" s="832"/>
      <c r="AF292" s="832"/>
      <c r="AG292" s="832"/>
      <c r="AH292" s="832"/>
      <c r="AI292" s="832"/>
      <c r="AJ292" s="832"/>
      <c r="AK292" s="832"/>
      <c r="AL292" s="832"/>
      <c r="AM292" s="832"/>
    </row>
    <row r="293" spans="1:39" s="907" customFormat="1" ht="25.5" customHeight="1">
      <c r="A293" s="785" t="s">
        <v>1000</v>
      </c>
      <c r="B293" s="789" t="s">
        <v>582</v>
      </c>
      <c r="C293" s="783"/>
      <c r="D293" s="783"/>
      <c r="E293" s="783"/>
      <c r="F293" s="783"/>
      <c r="G293" s="784"/>
      <c r="H293" s="783"/>
      <c r="I293" s="783"/>
      <c r="J293" s="783"/>
      <c r="K293" s="783"/>
      <c r="L293" s="783"/>
      <c r="M293" s="783"/>
      <c r="N293" s="783"/>
      <c r="O293" s="783"/>
      <c r="P293" s="834"/>
      <c r="Q293" s="834"/>
      <c r="R293" s="835"/>
      <c r="S293" s="832"/>
      <c r="T293" s="832"/>
      <c r="U293" s="832"/>
      <c r="V293" s="832"/>
      <c r="W293" s="832"/>
      <c r="X293" s="832"/>
      <c r="Y293" s="832"/>
      <c r="Z293" s="832"/>
      <c r="AA293" s="832"/>
      <c r="AB293" s="832"/>
      <c r="AC293" s="832"/>
      <c r="AD293" s="832"/>
      <c r="AE293" s="832"/>
      <c r="AF293" s="832"/>
      <c r="AG293" s="832"/>
      <c r="AH293" s="832"/>
      <c r="AI293" s="832"/>
      <c r="AJ293" s="832"/>
      <c r="AK293" s="832"/>
      <c r="AL293" s="832"/>
      <c r="AM293" s="832"/>
    </row>
    <row r="294" spans="1:39" s="907" customFormat="1" ht="25.5" customHeight="1">
      <c r="A294" s="791" t="s">
        <v>1008</v>
      </c>
      <c r="B294" s="787" t="s">
        <v>668</v>
      </c>
      <c r="C294" s="783" t="s">
        <v>532</v>
      </c>
      <c r="D294" s="792" t="s">
        <v>723</v>
      </c>
      <c r="E294" s="793" t="e">
        <f>E297+E299+E300+E301+E302+E304+E306+E308+E310+E311+E314+E315+E316+E317+E318+E319</f>
        <v>#VALUE!</v>
      </c>
      <c r="F294" s="794"/>
      <c r="G294" s="795"/>
      <c r="H294" s="788">
        <f>'Dcu-DKDD'!$J$251*1.3</f>
        <v>10512.076312499999</v>
      </c>
      <c r="I294" s="788">
        <f>'VL-DKDD'!$H$253</f>
        <v>17985.240000000002</v>
      </c>
      <c r="J294" s="788">
        <f>'TB-DKDD'!$K$142*1.3</f>
        <v>8596.6738000000005</v>
      </c>
      <c r="K294" s="788">
        <f>'NL-DKDD'!$H$96*1.3</f>
        <v>18943.415400000002</v>
      </c>
      <c r="L294" s="796" t="e">
        <f>SUM(E294:K294)</f>
        <v>#VALUE!</v>
      </c>
      <c r="M294" s="796" t="e">
        <f>L294*'He so chung'!$D$17/100</f>
        <v>#VALUE!</v>
      </c>
      <c r="N294" s="796" t="e">
        <f>L294+M294</f>
        <v>#VALUE!</v>
      </c>
      <c r="O294" s="793">
        <f>O297+O299+O300+O301+O302+O304+O306+O308+O310+O311+O314+O315+O316+O317+O318+O319</f>
        <v>16765.80576923077</v>
      </c>
      <c r="P294" s="830"/>
      <c r="Q294" s="830"/>
      <c r="R294" s="908"/>
      <c r="S294" s="832"/>
      <c r="T294" s="832"/>
      <c r="U294" s="832"/>
      <c r="V294" s="832"/>
      <c r="W294" s="832"/>
      <c r="X294" s="832"/>
      <c r="Y294" s="832"/>
      <c r="Z294" s="832"/>
      <c r="AA294" s="832"/>
      <c r="AB294" s="832"/>
      <c r="AC294" s="832"/>
      <c r="AD294" s="832"/>
      <c r="AE294" s="832"/>
      <c r="AF294" s="832"/>
      <c r="AG294" s="832"/>
      <c r="AH294" s="832"/>
      <c r="AI294" s="832"/>
      <c r="AJ294" s="832"/>
      <c r="AK294" s="832"/>
      <c r="AL294" s="832"/>
      <c r="AM294" s="832"/>
    </row>
    <row r="295" spans="1:39" s="907" customFormat="1" ht="25.5" customHeight="1">
      <c r="A295" s="791" t="s">
        <v>1009</v>
      </c>
      <c r="B295" s="787" t="s">
        <v>669</v>
      </c>
      <c r="C295" s="783" t="s">
        <v>532</v>
      </c>
      <c r="D295" s="792" t="s">
        <v>723</v>
      </c>
      <c r="E295" s="793" t="e">
        <f>E298+E299+E300+E301+E302+E304+E306+E308+E310+E311+E314+E315+E316+E317+E318+E319</f>
        <v>#VALUE!</v>
      </c>
      <c r="F295" s="794"/>
      <c r="G295" s="795"/>
      <c r="H295" s="788">
        <f>'Dcu-DKDD'!$J$251*1.3</f>
        <v>10512.076312499999</v>
      </c>
      <c r="I295" s="788">
        <f>'VL-DKDD'!$H$253</f>
        <v>17985.240000000002</v>
      </c>
      <c r="J295" s="788">
        <f>'TB-DKDD'!$K$142*1.3</f>
        <v>8596.6738000000005</v>
      </c>
      <c r="K295" s="788">
        <f>'NL-DKDD'!$H$96*1.3</f>
        <v>18943.415400000002</v>
      </c>
      <c r="L295" s="796" t="e">
        <f>SUM(E295:K295)</f>
        <v>#VALUE!</v>
      </c>
      <c r="M295" s="796" t="e">
        <f>L295*'He so chung'!$D$17/100</f>
        <v>#VALUE!</v>
      </c>
      <c r="N295" s="796" t="e">
        <f>L295+M295</f>
        <v>#VALUE!</v>
      </c>
      <c r="O295" s="793">
        <f>O298+O299+O300+O301+O302+O304+O306+O308+O310+O311+O314+O315+O316+O317+O318+O319</f>
        <v>16366.180769230768</v>
      </c>
      <c r="P295" s="830"/>
      <c r="Q295" s="830"/>
      <c r="R295" s="908"/>
      <c r="S295" s="832"/>
      <c r="T295" s="832"/>
      <c r="U295" s="832"/>
      <c r="V295" s="832"/>
      <c r="W295" s="832"/>
      <c r="X295" s="832"/>
      <c r="Y295" s="832"/>
      <c r="Z295" s="832"/>
      <c r="AA295" s="832"/>
      <c r="AB295" s="832"/>
      <c r="AC295" s="832"/>
      <c r="AD295" s="832"/>
      <c r="AE295" s="832"/>
      <c r="AF295" s="832"/>
      <c r="AG295" s="832"/>
      <c r="AH295" s="832"/>
      <c r="AI295" s="832"/>
      <c r="AJ295" s="832"/>
      <c r="AK295" s="832"/>
      <c r="AL295" s="832"/>
      <c r="AM295" s="832"/>
    </row>
    <row r="296" spans="1:39" s="907" customFormat="1" ht="25.5" customHeight="1">
      <c r="A296" s="798">
        <v>1</v>
      </c>
      <c r="B296" s="799" t="s">
        <v>360</v>
      </c>
      <c r="C296" s="798"/>
      <c r="D296" s="800"/>
      <c r="E296" s="794"/>
      <c r="F296" s="794"/>
      <c r="G296" s="795"/>
      <c r="H296" s="794"/>
      <c r="I296" s="794"/>
      <c r="J296" s="794"/>
      <c r="K296" s="794"/>
      <c r="L296" s="794"/>
      <c r="M296" s="794"/>
      <c r="N296" s="794"/>
      <c r="O296" s="794">
        <f t="shared" ref="O296:O321" si="41">P296+Q296</f>
        <v>0</v>
      </c>
      <c r="P296" s="830"/>
      <c r="Q296" s="830"/>
      <c r="R296" s="908"/>
      <c r="S296" s="832"/>
      <c r="T296" s="832"/>
      <c r="U296" s="832"/>
      <c r="V296" s="832"/>
      <c r="W296" s="832"/>
      <c r="X296" s="832"/>
      <c r="Y296" s="832"/>
      <c r="Z296" s="832"/>
      <c r="AA296" s="832"/>
      <c r="AB296" s="832"/>
      <c r="AC296" s="832"/>
      <c r="AD296" s="832"/>
      <c r="AE296" s="832"/>
      <c r="AF296" s="832"/>
      <c r="AG296" s="832"/>
      <c r="AH296" s="832"/>
      <c r="AI296" s="832"/>
      <c r="AJ296" s="832"/>
      <c r="AK296" s="832"/>
      <c r="AL296" s="832"/>
      <c r="AM296" s="832"/>
    </row>
    <row r="297" spans="1:39" s="907" customFormat="1" ht="25.5" customHeight="1">
      <c r="A297" s="798" t="s">
        <v>733</v>
      </c>
      <c r="B297" s="799" t="s">
        <v>846</v>
      </c>
      <c r="C297" s="798" t="s">
        <v>532</v>
      </c>
      <c r="D297" s="792" t="s">
        <v>723</v>
      </c>
      <c r="E297" s="794" t="e">
        <f>NC_DKDD!H743</f>
        <v>#VALUE!</v>
      </c>
      <c r="F297" s="794"/>
      <c r="G297" s="795"/>
      <c r="H297" s="794"/>
      <c r="I297" s="794"/>
      <c r="J297" s="794"/>
      <c r="K297" s="794"/>
      <c r="L297" s="794"/>
      <c r="M297" s="794"/>
      <c r="N297" s="794"/>
      <c r="O297" s="794">
        <f t="shared" si="41"/>
        <v>1198.875</v>
      </c>
      <c r="P297" s="830">
        <f t="shared" ref="P297:P321" si="42">R297*P$206</f>
        <v>1042.5</v>
      </c>
      <c r="Q297" s="830">
        <f t="shared" ref="Q297:Q321" si="43">R297*Q$206</f>
        <v>156.375</v>
      </c>
      <c r="R297" s="908">
        <f>NC_DKDD!G743</f>
        <v>0.19500000000000001</v>
      </c>
      <c r="S297" s="832"/>
      <c r="T297" s="832"/>
      <c r="U297" s="832"/>
      <c r="V297" s="832"/>
      <c r="W297" s="832"/>
      <c r="X297" s="832"/>
      <c r="Y297" s="832"/>
      <c r="Z297" s="832"/>
      <c r="AA297" s="832"/>
      <c r="AB297" s="832"/>
      <c r="AC297" s="832"/>
      <c r="AD297" s="832"/>
      <c r="AE297" s="832"/>
      <c r="AF297" s="832"/>
      <c r="AG297" s="832"/>
      <c r="AH297" s="832"/>
      <c r="AI297" s="832"/>
      <c r="AJ297" s="832"/>
      <c r="AK297" s="832"/>
      <c r="AL297" s="832"/>
      <c r="AM297" s="832"/>
    </row>
    <row r="298" spans="1:39" s="907" customFormat="1" ht="25.5" customHeight="1">
      <c r="A298" s="798" t="s">
        <v>741</v>
      </c>
      <c r="B298" s="799" t="s">
        <v>849</v>
      </c>
      <c r="C298" s="798" t="s">
        <v>532</v>
      </c>
      <c r="D298" s="792" t="s">
        <v>723</v>
      </c>
      <c r="E298" s="794" t="e">
        <f>NC_DKDD!H744</f>
        <v>#VALUE!</v>
      </c>
      <c r="F298" s="794"/>
      <c r="G298" s="795"/>
      <c r="H298" s="794"/>
      <c r="I298" s="794"/>
      <c r="J298" s="794"/>
      <c r="K298" s="794"/>
      <c r="L298" s="794"/>
      <c r="M298" s="794"/>
      <c r="N298" s="794"/>
      <c r="O298" s="794">
        <f t="shared" si="41"/>
        <v>799.25</v>
      </c>
      <c r="P298" s="830">
        <f t="shared" si="42"/>
        <v>695</v>
      </c>
      <c r="Q298" s="830">
        <f t="shared" si="43"/>
        <v>104.25</v>
      </c>
      <c r="R298" s="908">
        <f>NC_DKDD!G744</f>
        <v>0.13</v>
      </c>
      <c r="S298" s="832"/>
      <c r="T298" s="832"/>
      <c r="U298" s="832"/>
      <c r="V298" s="832"/>
      <c r="W298" s="832"/>
      <c r="X298" s="832"/>
      <c r="Y298" s="832"/>
      <c r="Z298" s="832"/>
      <c r="AA298" s="832"/>
      <c r="AB298" s="832"/>
      <c r="AC298" s="832"/>
      <c r="AD298" s="832"/>
      <c r="AE298" s="832"/>
      <c r="AF298" s="832"/>
      <c r="AG298" s="832"/>
      <c r="AH298" s="832"/>
      <c r="AI298" s="832"/>
      <c r="AJ298" s="832"/>
      <c r="AK298" s="832"/>
      <c r="AL298" s="832"/>
      <c r="AM298" s="832"/>
    </row>
    <row r="299" spans="1:39" s="907" customFormat="1" ht="28.5">
      <c r="A299" s="798">
        <v>2</v>
      </c>
      <c r="B299" s="799" t="s">
        <v>797</v>
      </c>
      <c r="C299" s="798" t="s">
        <v>532</v>
      </c>
      <c r="D299" s="792" t="s">
        <v>723</v>
      </c>
      <c r="E299" s="794" t="e">
        <f>NC_DKDD!H745</f>
        <v>#VALUE!</v>
      </c>
      <c r="F299" s="794"/>
      <c r="G299" s="795"/>
      <c r="H299" s="794"/>
      <c r="I299" s="794"/>
      <c r="J299" s="794"/>
      <c r="K299" s="794"/>
      <c r="L299" s="794"/>
      <c r="M299" s="794"/>
      <c r="N299" s="794"/>
      <c r="O299" s="794">
        <f t="shared" si="41"/>
        <v>1598.5</v>
      </c>
      <c r="P299" s="830">
        <f t="shared" si="42"/>
        <v>1390</v>
      </c>
      <c r="Q299" s="830">
        <f t="shared" si="43"/>
        <v>208.5</v>
      </c>
      <c r="R299" s="908">
        <f>NC_DKDD!G745</f>
        <v>0.26</v>
      </c>
      <c r="S299" s="832"/>
      <c r="T299" s="832"/>
      <c r="U299" s="832"/>
      <c r="V299" s="832"/>
      <c r="W299" s="832"/>
      <c r="X299" s="832"/>
      <c r="Y299" s="832"/>
      <c r="Z299" s="832"/>
      <c r="AA299" s="832"/>
      <c r="AB299" s="832"/>
      <c r="AC299" s="832"/>
      <c r="AD299" s="832"/>
      <c r="AE299" s="832"/>
      <c r="AF299" s="832"/>
      <c r="AG299" s="832"/>
      <c r="AH299" s="832"/>
      <c r="AI299" s="832"/>
      <c r="AJ299" s="832"/>
      <c r="AK299" s="832"/>
      <c r="AL299" s="832"/>
      <c r="AM299" s="832"/>
    </row>
    <row r="300" spans="1:39" s="907" customFormat="1" ht="32.25" customHeight="1">
      <c r="A300" s="798">
        <v>3</v>
      </c>
      <c r="B300" s="799" t="s">
        <v>851</v>
      </c>
      <c r="C300" s="798" t="s">
        <v>375</v>
      </c>
      <c r="D300" s="792" t="s">
        <v>723</v>
      </c>
      <c r="E300" s="794" t="e">
        <f>NC_DKDD!H746</f>
        <v>#VALUE!</v>
      </c>
      <c r="F300" s="794"/>
      <c r="G300" s="795"/>
      <c r="H300" s="794"/>
      <c r="I300" s="794"/>
      <c r="J300" s="794"/>
      <c r="K300" s="794"/>
      <c r="L300" s="794"/>
      <c r="M300" s="794"/>
      <c r="N300" s="794"/>
      <c r="O300" s="794">
        <f t="shared" si="41"/>
        <v>1026.728846153846</v>
      </c>
      <c r="P300" s="830">
        <f t="shared" si="42"/>
        <v>892.80769230769226</v>
      </c>
      <c r="Q300" s="830">
        <f t="shared" si="43"/>
        <v>133.92115384615386</v>
      </c>
      <c r="R300" s="908">
        <f>NC_DKDD!G746</f>
        <v>0.16700000000000001</v>
      </c>
      <c r="S300" s="832"/>
      <c r="T300" s="832"/>
      <c r="U300" s="832"/>
      <c r="V300" s="832"/>
      <c r="W300" s="832"/>
      <c r="X300" s="832"/>
      <c r="Y300" s="832"/>
      <c r="Z300" s="832"/>
      <c r="AA300" s="832"/>
      <c r="AB300" s="832"/>
      <c r="AC300" s="832"/>
      <c r="AD300" s="832"/>
      <c r="AE300" s="832"/>
      <c r="AF300" s="832"/>
      <c r="AG300" s="832"/>
      <c r="AH300" s="832"/>
      <c r="AI300" s="832"/>
      <c r="AJ300" s="832"/>
      <c r="AK300" s="832"/>
      <c r="AL300" s="832"/>
      <c r="AM300" s="832"/>
    </row>
    <row r="301" spans="1:39" s="907" customFormat="1" ht="28.5">
      <c r="A301" s="798">
        <v>4</v>
      </c>
      <c r="B301" s="799" t="s">
        <v>361</v>
      </c>
      <c r="C301" s="798" t="s">
        <v>532</v>
      </c>
      <c r="D301" s="792" t="s">
        <v>723</v>
      </c>
      <c r="E301" s="794" t="e">
        <f>NC_DKDD!H747</f>
        <v>#VALUE!</v>
      </c>
      <c r="F301" s="794"/>
      <c r="G301" s="795"/>
      <c r="H301" s="794"/>
      <c r="I301" s="794"/>
      <c r="J301" s="794"/>
      <c r="K301" s="794"/>
      <c r="L301" s="794"/>
      <c r="M301" s="794"/>
      <c r="N301" s="794"/>
      <c r="O301" s="794">
        <f t="shared" si="41"/>
        <v>3996.25</v>
      </c>
      <c r="P301" s="830">
        <f t="shared" si="42"/>
        <v>3475</v>
      </c>
      <c r="Q301" s="830">
        <f t="shared" si="43"/>
        <v>521.25</v>
      </c>
      <c r="R301" s="908">
        <f>NC_DKDD!G747</f>
        <v>0.65</v>
      </c>
      <c r="S301" s="832"/>
      <c r="T301" s="832"/>
      <c r="U301" s="832"/>
      <c r="V301" s="832"/>
      <c r="W301" s="832"/>
      <c r="X301" s="832"/>
      <c r="Y301" s="832"/>
      <c r="Z301" s="832"/>
      <c r="AA301" s="832"/>
      <c r="AB301" s="832"/>
      <c r="AC301" s="832"/>
      <c r="AD301" s="832"/>
      <c r="AE301" s="832"/>
      <c r="AF301" s="832"/>
      <c r="AG301" s="832"/>
      <c r="AH301" s="832"/>
      <c r="AI301" s="832"/>
      <c r="AJ301" s="832"/>
      <c r="AK301" s="832"/>
      <c r="AL301" s="832"/>
      <c r="AM301" s="832"/>
    </row>
    <row r="302" spans="1:39" s="907" customFormat="1" ht="25.5" customHeight="1">
      <c r="A302" s="798">
        <v>5</v>
      </c>
      <c r="B302" s="799" t="s">
        <v>2</v>
      </c>
      <c r="C302" s="798" t="s">
        <v>375</v>
      </c>
      <c r="D302" s="792" t="s">
        <v>723</v>
      </c>
      <c r="E302" s="794" t="e">
        <f>NC_DKDD!H748</f>
        <v>#VALUE!</v>
      </c>
      <c r="F302" s="794"/>
      <c r="G302" s="795"/>
      <c r="H302" s="794"/>
      <c r="I302" s="794"/>
      <c r="J302" s="794"/>
      <c r="K302" s="794"/>
      <c r="L302" s="794"/>
      <c r="M302" s="794"/>
      <c r="N302" s="794"/>
      <c r="O302" s="794">
        <f t="shared" si="41"/>
        <v>36.888461538461534</v>
      </c>
      <c r="P302" s="830">
        <f t="shared" si="42"/>
        <v>32.076923076923073</v>
      </c>
      <c r="Q302" s="830">
        <f t="shared" si="43"/>
        <v>4.8115384615384613</v>
      </c>
      <c r="R302" s="908">
        <f>NC_DKDD!G748</f>
        <v>6.0000000000000001E-3</v>
      </c>
      <c r="S302" s="832"/>
      <c r="T302" s="832"/>
      <c r="U302" s="832"/>
      <c r="V302" s="832"/>
      <c r="W302" s="832"/>
      <c r="X302" s="832"/>
      <c r="Y302" s="832"/>
      <c r="Z302" s="832"/>
      <c r="AA302" s="832"/>
      <c r="AB302" s="832"/>
      <c r="AC302" s="832"/>
      <c r="AD302" s="832"/>
      <c r="AE302" s="832"/>
      <c r="AF302" s="832"/>
      <c r="AG302" s="832"/>
      <c r="AH302" s="832"/>
      <c r="AI302" s="832"/>
      <c r="AJ302" s="832"/>
      <c r="AK302" s="832"/>
      <c r="AL302" s="832"/>
      <c r="AM302" s="832"/>
    </row>
    <row r="303" spans="1:39" s="907" customFormat="1" ht="42.75">
      <c r="A303" s="798">
        <v>6</v>
      </c>
      <c r="B303" s="799" t="s">
        <v>802</v>
      </c>
      <c r="C303" s="798"/>
      <c r="D303" s="798"/>
      <c r="E303" s="794">
        <f>NC_DKDD!H749</f>
        <v>0</v>
      </c>
      <c r="F303" s="794"/>
      <c r="G303" s="795"/>
      <c r="H303" s="794"/>
      <c r="I303" s="794"/>
      <c r="J303" s="794"/>
      <c r="K303" s="794"/>
      <c r="L303" s="794"/>
      <c r="M303" s="794"/>
      <c r="N303" s="794"/>
      <c r="O303" s="794">
        <f t="shared" si="41"/>
        <v>0</v>
      </c>
      <c r="P303" s="830">
        <f t="shared" si="42"/>
        <v>0</v>
      </c>
      <c r="Q303" s="830">
        <f t="shared" si="43"/>
        <v>0</v>
      </c>
      <c r="R303" s="908">
        <f>NC_DKDD!G749</f>
        <v>0</v>
      </c>
      <c r="S303" s="832"/>
      <c r="T303" s="832"/>
      <c r="U303" s="832"/>
      <c r="V303" s="832"/>
      <c r="W303" s="832"/>
      <c r="X303" s="832"/>
      <c r="Y303" s="832"/>
      <c r="Z303" s="832"/>
      <c r="AA303" s="832"/>
      <c r="AB303" s="832"/>
      <c r="AC303" s="832"/>
      <c r="AD303" s="832"/>
      <c r="AE303" s="832"/>
      <c r="AF303" s="832"/>
      <c r="AG303" s="832"/>
      <c r="AH303" s="832"/>
      <c r="AI303" s="832"/>
      <c r="AJ303" s="832"/>
      <c r="AK303" s="832"/>
      <c r="AL303" s="832"/>
      <c r="AM303" s="832"/>
    </row>
    <row r="304" spans="1:39" s="907" customFormat="1" ht="25.5" customHeight="1">
      <c r="A304" s="798" t="s">
        <v>661</v>
      </c>
      <c r="B304" s="799" t="s">
        <v>587</v>
      </c>
      <c r="C304" s="798" t="s">
        <v>532</v>
      </c>
      <c r="D304" s="792" t="s">
        <v>723</v>
      </c>
      <c r="E304" s="794" t="e">
        <f>NC_DKDD!H750</f>
        <v>#VALUE!</v>
      </c>
      <c r="F304" s="794"/>
      <c r="G304" s="795"/>
      <c r="H304" s="794"/>
      <c r="I304" s="794"/>
      <c r="J304" s="794"/>
      <c r="K304" s="794"/>
      <c r="L304" s="794"/>
      <c r="M304" s="794"/>
      <c r="N304" s="794"/>
      <c r="O304" s="794">
        <f t="shared" si="41"/>
        <v>307.40384615384619</v>
      </c>
      <c r="P304" s="830">
        <f t="shared" si="42"/>
        <v>267.30769230769232</v>
      </c>
      <c r="Q304" s="830">
        <f t="shared" si="43"/>
        <v>40.096153846153847</v>
      </c>
      <c r="R304" s="908">
        <f>NC_DKDD!G750</f>
        <v>0.05</v>
      </c>
      <c r="S304" s="832"/>
      <c r="T304" s="832"/>
      <c r="U304" s="832"/>
      <c r="V304" s="832"/>
      <c r="W304" s="832"/>
      <c r="X304" s="832"/>
      <c r="Y304" s="832"/>
      <c r="Z304" s="832"/>
      <c r="AA304" s="832"/>
      <c r="AB304" s="832"/>
      <c r="AC304" s="832"/>
      <c r="AD304" s="832"/>
      <c r="AE304" s="832"/>
      <c r="AF304" s="832"/>
      <c r="AG304" s="832"/>
      <c r="AH304" s="832"/>
      <c r="AI304" s="832"/>
      <c r="AJ304" s="832"/>
      <c r="AK304" s="832"/>
      <c r="AL304" s="832"/>
      <c r="AM304" s="832"/>
    </row>
    <row r="305" spans="1:39" s="907" customFormat="1" ht="25.5" customHeight="1">
      <c r="A305" s="798" t="s">
        <v>662</v>
      </c>
      <c r="B305" s="799" t="s">
        <v>588</v>
      </c>
      <c r="C305" s="798" t="s">
        <v>532</v>
      </c>
      <c r="D305" s="792" t="s">
        <v>723</v>
      </c>
      <c r="E305" s="794" t="e">
        <f>NC_DKDD!H751</f>
        <v>#VALUE!</v>
      </c>
      <c r="F305" s="794"/>
      <c r="G305" s="795"/>
      <c r="H305" s="794"/>
      <c r="I305" s="794"/>
      <c r="J305" s="794"/>
      <c r="K305" s="794"/>
      <c r="L305" s="794"/>
      <c r="M305" s="794"/>
      <c r="N305" s="794"/>
      <c r="O305" s="794">
        <f t="shared" si="41"/>
        <v>614.80769230769238</v>
      </c>
      <c r="P305" s="830">
        <f t="shared" si="42"/>
        <v>534.61538461538464</v>
      </c>
      <c r="Q305" s="830">
        <f t="shared" si="43"/>
        <v>80.192307692307693</v>
      </c>
      <c r="R305" s="908">
        <f>NC_DKDD!G751</f>
        <v>0.1</v>
      </c>
      <c r="S305" s="832"/>
      <c r="T305" s="832"/>
      <c r="U305" s="832"/>
      <c r="V305" s="832"/>
      <c r="W305" s="832"/>
      <c r="X305" s="832"/>
      <c r="Y305" s="832"/>
      <c r="Z305" s="832"/>
      <c r="AA305" s="832"/>
      <c r="AB305" s="832"/>
      <c r="AC305" s="832"/>
      <c r="AD305" s="832"/>
      <c r="AE305" s="832"/>
      <c r="AF305" s="832"/>
      <c r="AG305" s="832"/>
      <c r="AH305" s="832"/>
      <c r="AI305" s="832"/>
      <c r="AJ305" s="832"/>
      <c r="AK305" s="832"/>
      <c r="AL305" s="832"/>
      <c r="AM305" s="832"/>
    </row>
    <row r="306" spans="1:39" s="907" customFormat="1" ht="14.25">
      <c r="A306" s="798">
        <v>7</v>
      </c>
      <c r="B306" s="799" t="s">
        <v>362</v>
      </c>
      <c r="C306" s="798" t="s">
        <v>375</v>
      </c>
      <c r="D306" s="792" t="s">
        <v>723</v>
      </c>
      <c r="E306" s="794" t="e">
        <f>NC_DKDD!H752</f>
        <v>#VALUE!</v>
      </c>
      <c r="F306" s="794"/>
      <c r="G306" s="795"/>
      <c r="H306" s="794"/>
      <c r="I306" s="794"/>
      <c r="J306" s="794"/>
      <c r="K306" s="794"/>
      <c r="L306" s="794"/>
      <c r="M306" s="794"/>
      <c r="N306" s="794"/>
      <c r="O306" s="794">
        <f t="shared" si="41"/>
        <v>1026.728846153846</v>
      </c>
      <c r="P306" s="830">
        <f t="shared" si="42"/>
        <v>892.80769230769226</v>
      </c>
      <c r="Q306" s="830">
        <f t="shared" si="43"/>
        <v>133.92115384615386</v>
      </c>
      <c r="R306" s="908">
        <f>NC_DKDD!G752</f>
        <v>0.16700000000000001</v>
      </c>
      <c r="S306" s="832"/>
      <c r="T306" s="832"/>
      <c r="U306" s="832"/>
      <c r="V306" s="832"/>
      <c r="W306" s="832"/>
      <c r="X306" s="832"/>
      <c r="Y306" s="832"/>
      <c r="Z306" s="832"/>
      <c r="AA306" s="832"/>
      <c r="AB306" s="832"/>
      <c r="AC306" s="832"/>
      <c r="AD306" s="832"/>
      <c r="AE306" s="832"/>
      <c r="AF306" s="832"/>
      <c r="AG306" s="832"/>
      <c r="AH306" s="832"/>
      <c r="AI306" s="832"/>
      <c r="AJ306" s="832"/>
      <c r="AK306" s="832"/>
      <c r="AL306" s="832"/>
      <c r="AM306" s="832"/>
    </row>
    <row r="307" spans="1:39" s="907" customFormat="1" ht="25.5" customHeight="1">
      <c r="A307" s="798">
        <v>8</v>
      </c>
      <c r="B307" s="799" t="s">
        <v>80</v>
      </c>
      <c r="C307" s="798"/>
      <c r="D307" s="798"/>
      <c r="E307" s="794">
        <f>NC_DKDD!H753</f>
        <v>0</v>
      </c>
      <c r="F307" s="794"/>
      <c r="G307" s="795"/>
      <c r="H307" s="794"/>
      <c r="I307" s="794"/>
      <c r="J307" s="794"/>
      <c r="K307" s="794"/>
      <c r="L307" s="794"/>
      <c r="M307" s="794"/>
      <c r="N307" s="794"/>
      <c r="O307" s="794">
        <f t="shared" si="41"/>
        <v>0</v>
      </c>
      <c r="P307" s="830">
        <f t="shared" si="42"/>
        <v>0</v>
      </c>
      <c r="Q307" s="830">
        <f t="shared" si="43"/>
        <v>0</v>
      </c>
      <c r="R307" s="908">
        <f>NC_DKDD!G753</f>
        <v>0</v>
      </c>
      <c r="S307" s="832"/>
      <c r="T307" s="832"/>
      <c r="U307" s="832"/>
      <c r="V307" s="832"/>
      <c r="W307" s="832"/>
      <c r="X307" s="832"/>
      <c r="Y307" s="832"/>
      <c r="Z307" s="832"/>
      <c r="AA307" s="832"/>
      <c r="AB307" s="832"/>
      <c r="AC307" s="832"/>
      <c r="AD307" s="832"/>
      <c r="AE307" s="832"/>
      <c r="AF307" s="832"/>
      <c r="AG307" s="832"/>
      <c r="AH307" s="832"/>
      <c r="AI307" s="832"/>
      <c r="AJ307" s="832"/>
      <c r="AK307" s="832"/>
      <c r="AL307" s="832"/>
      <c r="AM307" s="832"/>
    </row>
    <row r="308" spans="1:39" s="907" customFormat="1" ht="25.5" customHeight="1">
      <c r="A308" s="798" t="s">
        <v>191</v>
      </c>
      <c r="B308" s="799" t="s">
        <v>82</v>
      </c>
      <c r="C308" s="798" t="s">
        <v>559</v>
      </c>
      <c r="D308" s="792" t="s">
        <v>723</v>
      </c>
      <c r="E308" s="794" t="e">
        <f>NC_DKDD!H754</f>
        <v>#VALUE!</v>
      </c>
      <c r="F308" s="794"/>
      <c r="G308" s="795"/>
      <c r="H308" s="794"/>
      <c r="I308" s="794"/>
      <c r="J308" s="794"/>
      <c r="K308" s="794"/>
      <c r="L308" s="794"/>
      <c r="M308" s="794"/>
      <c r="N308" s="794"/>
      <c r="O308" s="794">
        <f t="shared" si="41"/>
        <v>614.80769230769238</v>
      </c>
      <c r="P308" s="830">
        <f t="shared" si="42"/>
        <v>534.61538461538464</v>
      </c>
      <c r="Q308" s="830">
        <f t="shared" si="43"/>
        <v>80.192307692307693</v>
      </c>
      <c r="R308" s="908">
        <f>NC_DKDD!G754</f>
        <v>0.1</v>
      </c>
      <c r="S308" s="832"/>
      <c r="T308" s="832"/>
      <c r="U308" s="832"/>
      <c r="V308" s="832"/>
      <c r="W308" s="832"/>
      <c r="X308" s="832"/>
      <c r="Y308" s="832"/>
      <c r="Z308" s="832"/>
      <c r="AA308" s="832"/>
      <c r="AB308" s="832"/>
      <c r="AC308" s="832"/>
      <c r="AD308" s="832"/>
      <c r="AE308" s="832"/>
      <c r="AF308" s="832"/>
      <c r="AG308" s="832"/>
      <c r="AH308" s="832"/>
      <c r="AI308" s="832"/>
      <c r="AJ308" s="832"/>
      <c r="AK308" s="832"/>
      <c r="AL308" s="832"/>
      <c r="AM308" s="832"/>
    </row>
    <row r="309" spans="1:39" s="907" customFormat="1" ht="25.5" customHeight="1">
      <c r="A309" s="798" t="s">
        <v>192</v>
      </c>
      <c r="B309" s="799" t="s">
        <v>84</v>
      </c>
      <c r="C309" s="798" t="s">
        <v>559</v>
      </c>
      <c r="D309" s="792" t="s">
        <v>723</v>
      </c>
      <c r="E309" s="794" t="e">
        <f>NC_DKDD!H755</f>
        <v>#VALUE!</v>
      </c>
      <c r="F309" s="794"/>
      <c r="G309" s="795"/>
      <c r="H309" s="794"/>
      <c r="I309" s="794"/>
      <c r="J309" s="794"/>
      <c r="K309" s="794"/>
      <c r="L309" s="794"/>
      <c r="M309" s="794"/>
      <c r="N309" s="794"/>
      <c r="O309" s="794">
        <f t="shared" si="41"/>
        <v>1229.6153846153848</v>
      </c>
      <c r="P309" s="830">
        <f t="shared" si="42"/>
        <v>1069.2307692307693</v>
      </c>
      <c r="Q309" s="830">
        <f t="shared" si="43"/>
        <v>160.38461538461539</v>
      </c>
      <c r="R309" s="908">
        <f>NC_DKDD!G755</f>
        <v>0.2</v>
      </c>
      <c r="S309" s="832"/>
      <c r="T309" s="832"/>
      <c r="U309" s="832"/>
      <c r="V309" s="832"/>
      <c r="W309" s="832"/>
      <c r="X309" s="832"/>
      <c r="Y309" s="832"/>
      <c r="Z309" s="832"/>
      <c r="AA309" s="832"/>
      <c r="AB309" s="832"/>
      <c r="AC309" s="832"/>
      <c r="AD309" s="832"/>
      <c r="AE309" s="832"/>
      <c r="AF309" s="832"/>
      <c r="AG309" s="832"/>
      <c r="AH309" s="832"/>
      <c r="AI309" s="832"/>
      <c r="AJ309" s="832"/>
      <c r="AK309" s="832"/>
      <c r="AL309" s="832"/>
      <c r="AM309" s="832"/>
    </row>
    <row r="310" spans="1:39" s="907" customFormat="1" ht="42.75">
      <c r="A310" s="798">
        <v>9</v>
      </c>
      <c r="B310" s="799" t="s">
        <v>363</v>
      </c>
      <c r="C310" s="798" t="s">
        <v>532</v>
      </c>
      <c r="D310" s="792" t="s">
        <v>723</v>
      </c>
      <c r="E310" s="794" t="e">
        <f>NC_DKDD!H756</f>
        <v>#VALUE!</v>
      </c>
      <c r="F310" s="794"/>
      <c r="G310" s="795"/>
      <c r="H310" s="794"/>
      <c r="I310" s="794"/>
      <c r="J310" s="794"/>
      <c r="K310" s="794"/>
      <c r="L310" s="794"/>
      <c r="M310" s="794"/>
      <c r="N310" s="794"/>
      <c r="O310" s="794">
        <f t="shared" si="41"/>
        <v>3197</v>
      </c>
      <c r="P310" s="830">
        <f t="shared" si="42"/>
        <v>2780</v>
      </c>
      <c r="Q310" s="830">
        <f t="shared" si="43"/>
        <v>417</v>
      </c>
      <c r="R310" s="908">
        <f>NC_DKDD!G756</f>
        <v>0.52</v>
      </c>
      <c r="S310" s="832"/>
      <c r="T310" s="832"/>
      <c r="U310" s="832"/>
      <c r="V310" s="832"/>
      <c r="W310" s="832"/>
      <c r="X310" s="832"/>
      <c r="Y310" s="832"/>
      <c r="Z310" s="832"/>
      <c r="AA310" s="832"/>
      <c r="AB310" s="832"/>
      <c r="AC310" s="832"/>
      <c r="AD310" s="832"/>
      <c r="AE310" s="832"/>
      <c r="AF310" s="832"/>
      <c r="AG310" s="832"/>
      <c r="AH310" s="832"/>
      <c r="AI310" s="832"/>
      <c r="AJ310" s="832"/>
      <c r="AK310" s="832"/>
      <c r="AL310" s="832"/>
      <c r="AM310" s="832"/>
    </row>
    <row r="311" spans="1:39" s="907" customFormat="1" ht="28.5">
      <c r="A311" s="798">
        <v>10</v>
      </c>
      <c r="B311" s="799" t="s">
        <v>364</v>
      </c>
      <c r="C311" s="798" t="s">
        <v>532</v>
      </c>
      <c r="D311" s="792" t="s">
        <v>723</v>
      </c>
      <c r="E311" s="794" t="e">
        <f>NC_DKDD!H757</f>
        <v>#VALUE!</v>
      </c>
      <c r="F311" s="794"/>
      <c r="G311" s="795"/>
      <c r="H311" s="794"/>
      <c r="I311" s="794"/>
      <c r="J311" s="794"/>
      <c r="K311" s="794"/>
      <c r="L311" s="794"/>
      <c r="M311" s="794"/>
      <c r="N311" s="794"/>
      <c r="O311" s="794">
        <f t="shared" si="41"/>
        <v>2729.7461538461539</v>
      </c>
      <c r="P311" s="830">
        <f t="shared" si="42"/>
        <v>2373.6923076923076</v>
      </c>
      <c r="Q311" s="830">
        <f t="shared" si="43"/>
        <v>356.05384615384617</v>
      </c>
      <c r="R311" s="908">
        <f>NC_DKDD!G757</f>
        <v>0.44400000000000001</v>
      </c>
      <c r="S311" s="832"/>
      <c r="T311" s="832"/>
      <c r="U311" s="832"/>
      <c r="V311" s="832"/>
      <c r="W311" s="832"/>
      <c r="X311" s="832"/>
      <c r="Y311" s="832"/>
      <c r="Z311" s="832"/>
      <c r="AA311" s="832"/>
      <c r="AB311" s="832"/>
      <c r="AC311" s="832"/>
      <c r="AD311" s="832"/>
      <c r="AE311" s="832"/>
      <c r="AF311" s="832"/>
      <c r="AG311" s="832"/>
      <c r="AH311" s="832"/>
      <c r="AI311" s="832"/>
      <c r="AJ311" s="832"/>
      <c r="AK311" s="832"/>
      <c r="AL311" s="832"/>
      <c r="AM311" s="832"/>
    </row>
    <row r="312" spans="1:39" s="907" customFormat="1" ht="25.5" customHeight="1">
      <c r="A312" s="798">
        <v>11</v>
      </c>
      <c r="B312" s="799" t="s">
        <v>88</v>
      </c>
      <c r="C312" s="798"/>
      <c r="D312" s="798"/>
      <c r="E312" s="794">
        <f>NC_DKDD!H758</f>
        <v>0</v>
      </c>
      <c r="F312" s="794"/>
      <c r="G312" s="795"/>
      <c r="H312" s="794"/>
      <c r="I312" s="794"/>
      <c r="J312" s="794"/>
      <c r="K312" s="794"/>
      <c r="L312" s="794"/>
      <c r="M312" s="794"/>
      <c r="N312" s="794"/>
      <c r="O312" s="794">
        <f t="shared" si="41"/>
        <v>0</v>
      </c>
      <c r="P312" s="830">
        <f t="shared" si="42"/>
        <v>0</v>
      </c>
      <c r="Q312" s="830">
        <f t="shared" si="43"/>
        <v>0</v>
      </c>
      <c r="R312" s="908">
        <f>NC_DKDD!G758</f>
        <v>0</v>
      </c>
      <c r="S312" s="832"/>
      <c r="T312" s="832"/>
      <c r="U312" s="832"/>
      <c r="V312" s="832"/>
      <c r="W312" s="832"/>
      <c r="X312" s="832"/>
      <c r="Y312" s="832"/>
      <c r="Z312" s="832"/>
      <c r="AA312" s="832"/>
      <c r="AB312" s="832"/>
      <c r="AC312" s="832"/>
      <c r="AD312" s="832"/>
      <c r="AE312" s="832"/>
      <c r="AF312" s="832"/>
      <c r="AG312" s="832"/>
      <c r="AH312" s="832"/>
      <c r="AI312" s="832"/>
      <c r="AJ312" s="832"/>
      <c r="AK312" s="832"/>
      <c r="AL312" s="832"/>
      <c r="AM312" s="832"/>
    </row>
    <row r="313" spans="1:39" s="907" customFormat="1" ht="31.5" customHeight="1">
      <c r="A313" s="798" t="s">
        <v>719</v>
      </c>
      <c r="B313" s="799" t="s">
        <v>775</v>
      </c>
      <c r="C313" s="798"/>
      <c r="D313" s="798"/>
      <c r="E313" s="794">
        <f>NC_DKDD!H759</f>
        <v>0</v>
      </c>
      <c r="F313" s="794"/>
      <c r="G313" s="795"/>
      <c r="H313" s="794"/>
      <c r="I313" s="794"/>
      <c r="J313" s="794"/>
      <c r="K313" s="794"/>
      <c r="L313" s="794"/>
      <c r="M313" s="794"/>
      <c r="N313" s="794"/>
      <c r="O313" s="794">
        <f t="shared" si="41"/>
        <v>0</v>
      </c>
      <c r="P313" s="830">
        <f t="shared" si="42"/>
        <v>0</v>
      </c>
      <c r="Q313" s="830">
        <f t="shared" si="43"/>
        <v>0</v>
      </c>
      <c r="R313" s="908">
        <f>NC_DKDD!G759</f>
        <v>0</v>
      </c>
      <c r="S313" s="832"/>
      <c r="T313" s="832"/>
      <c r="U313" s="832"/>
      <c r="V313" s="832"/>
      <c r="W313" s="832"/>
      <c r="X313" s="832"/>
      <c r="Y313" s="832"/>
      <c r="Z313" s="832"/>
      <c r="AA313" s="832"/>
      <c r="AB313" s="832"/>
      <c r="AC313" s="832"/>
      <c r="AD313" s="832"/>
      <c r="AE313" s="832"/>
      <c r="AF313" s="832"/>
      <c r="AG313" s="832"/>
      <c r="AH313" s="832"/>
      <c r="AI313" s="832"/>
      <c r="AJ313" s="832"/>
      <c r="AK313" s="832"/>
      <c r="AL313" s="832"/>
      <c r="AM313" s="832"/>
    </row>
    <row r="314" spans="1:39" s="907" customFormat="1" ht="25.5" customHeight="1">
      <c r="A314" s="798" t="s">
        <v>365</v>
      </c>
      <c r="B314" s="799" t="s">
        <v>777</v>
      </c>
      <c r="C314" s="798" t="s">
        <v>377</v>
      </c>
      <c r="D314" s="792" t="s">
        <v>723</v>
      </c>
      <c r="E314" s="794" t="e">
        <f>NC_DKDD!H760</f>
        <v>#VALUE!</v>
      </c>
      <c r="F314" s="794"/>
      <c r="G314" s="795"/>
      <c r="H314" s="794"/>
      <c r="I314" s="794"/>
      <c r="J314" s="794"/>
      <c r="K314" s="794"/>
      <c r="L314" s="794"/>
      <c r="M314" s="794"/>
      <c r="N314" s="794"/>
      <c r="O314" s="794">
        <f t="shared" si="41"/>
        <v>98.369230769230768</v>
      </c>
      <c r="P314" s="830">
        <f t="shared" si="42"/>
        <v>85.538461538461533</v>
      </c>
      <c r="Q314" s="830">
        <f t="shared" si="43"/>
        <v>12.830769230769231</v>
      </c>
      <c r="R314" s="908">
        <f>NC_DKDD!G760</f>
        <v>1.6E-2</v>
      </c>
      <c r="S314" s="832"/>
      <c r="T314" s="832"/>
      <c r="U314" s="832"/>
      <c r="V314" s="832"/>
      <c r="W314" s="832"/>
      <c r="X314" s="832"/>
      <c r="Y314" s="832"/>
      <c r="Z314" s="832"/>
      <c r="AA314" s="832"/>
      <c r="AB314" s="832"/>
      <c r="AC314" s="832"/>
      <c r="AD314" s="832"/>
      <c r="AE314" s="832"/>
      <c r="AF314" s="832"/>
      <c r="AG314" s="832"/>
      <c r="AH314" s="832"/>
      <c r="AI314" s="832"/>
      <c r="AJ314" s="832"/>
      <c r="AK314" s="832"/>
      <c r="AL314" s="832"/>
      <c r="AM314" s="832"/>
    </row>
    <row r="315" spans="1:39" s="907" customFormat="1" ht="25.5" customHeight="1">
      <c r="A315" s="798" t="s">
        <v>366</v>
      </c>
      <c r="B315" s="799" t="s">
        <v>781</v>
      </c>
      <c r="C315" s="798" t="s">
        <v>377</v>
      </c>
      <c r="D315" s="792" t="s">
        <v>723</v>
      </c>
      <c r="E315" s="794" t="e">
        <f>NC_DKDD!H761</f>
        <v>#VALUE!</v>
      </c>
      <c r="F315" s="794"/>
      <c r="G315" s="795"/>
      <c r="H315" s="794"/>
      <c r="I315" s="794"/>
      <c r="J315" s="794"/>
      <c r="K315" s="794"/>
      <c r="L315" s="794"/>
      <c r="M315" s="794"/>
      <c r="N315" s="794"/>
      <c r="O315" s="794">
        <f t="shared" si="41"/>
        <v>49.184615384615384</v>
      </c>
      <c r="P315" s="830">
        <f t="shared" si="42"/>
        <v>42.769230769230766</v>
      </c>
      <c r="Q315" s="830">
        <f t="shared" si="43"/>
        <v>6.4153846153846157</v>
      </c>
      <c r="R315" s="908">
        <f>NC_DKDD!G761</f>
        <v>8.0000000000000002E-3</v>
      </c>
      <c r="S315" s="832"/>
      <c r="T315" s="832"/>
      <c r="U315" s="832"/>
      <c r="V315" s="832"/>
      <c r="W315" s="832"/>
      <c r="X315" s="832"/>
      <c r="Y315" s="832"/>
      <c r="Z315" s="832"/>
      <c r="AA315" s="832"/>
      <c r="AB315" s="832"/>
      <c r="AC315" s="832"/>
      <c r="AD315" s="832"/>
      <c r="AE315" s="832"/>
      <c r="AF315" s="832"/>
      <c r="AG315" s="832"/>
      <c r="AH315" s="832"/>
      <c r="AI315" s="832"/>
      <c r="AJ315" s="832"/>
      <c r="AK315" s="832"/>
      <c r="AL315" s="832"/>
      <c r="AM315" s="832"/>
    </row>
    <row r="316" spans="1:39" s="907" customFormat="1" ht="35.25" customHeight="1">
      <c r="A316" s="798" t="s">
        <v>720</v>
      </c>
      <c r="B316" s="799" t="s">
        <v>861</v>
      </c>
      <c r="C316" s="798" t="s">
        <v>377</v>
      </c>
      <c r="D316" s="792" t="s">
        <v>723</v>
      </c>
      <c r="E316" s="794" t="e">
        <f>NC_DKDD!H762</f>
        <v>#VALUE!</v>
      </c>
      <c r="F316" s="794"/>
      <c r="G316" s="795"/>
      <c r="H316" s="794"/>
      <c r="I316" s="794"/>
      <c r="J316" s="794"/>
      <c r="K316" s="794"/>
      <c r="L316" s="794"/>
      <c r="M316" s="794"/>
      <c r="N316" s="794"/>
      <c r="O316" s="794">
        <f t="shared" si="41"/>
        <v>24.592307692307692</v>
      </c>
      <c r="P316" s="830">
        <f t="shared" si="42"/>
        <v>21.384615384615383</v>
      </c>
      <c r="Q316" s="830">
        <f t="shared" si="43"/>
        <v>3.2076923076923078</v>
      </c>
      <c r="R316" s="908">
        <f>NC_DKDD!G762</f>
        <v>4.0000000000000001E-3</v>
      </c>
      <c r="S316" s="832"/>
      <c r="T316" s="832"/>
      <c r="U316" s="832"/>
      <c r="V316" s="832"/>
      <c r="W316" s="832"/>
      <c r="X316" s="832"/>
      <c r="Y316" s="832"/>
      <c r="Z316" s="832"/>
      <c r="AA316" s="832"/>
      <c r="AB316" s="832"/>
      <c r="AC316" s="832"/>
      <c r="AD316" s="832"/>
      <c r="AE316" s="832"/>
      <c r="AF316" s="832"/>
      <c r="AG316" s="832"/>
      <c r="AH316" s="832"/>
      <c r="AI316" s="832"/>
      <c r="AJ316" s="832"/>
      <c r="AK316" s="832"/>
      <c r="AL316" s="832"/>
      <c r="AM316" s="832"/>
    </row>
    <row r="317" spans="1:39" s="907" customFormat="1" ht="25.5" customHeight="1">
      <c r="A317" s="798" t="s">
        <v>721</v>
      </c>
      <c r="B317" s="799" t="s">
        <v>863</v>
      </c>
      <c r="C317" s="798" t="s">
        <v>375</v>
      </c>
      <c r="D317" s="792" t="s">
        <v>723</v>
      </c>
      <c r="E317" s="794" t="e">
        <f>NC_DKDD!H763</f>
        <v>#VALUE!</v>
      </c>
      <c r="F317" s="794"/>
      <c r="G317" s="795"/>
      <c r="H317" s="794"/>
      <c r="I317" s="794"/>
      <c r="J317" s="794"/>
      <c r="K317" s="794"/>
      <c r="L317" s="794"/>
      <c r="M317" s="794"/>
      <c r="N317" s="794"/>
      <c r="O317" s="794">
        <f t="shared" si="41"/>
        <v>61.480769230769226</v>
      </c>
      <c r="P317" s="830">
        <f t="shared" si="42"/>
        <v>53.46153846153846</v>
      </c>
      <c r="Q317" s="830">
        <f t="shared" si="43"/>
        <v>8.0192307692307701</v>
      </c>
      <c r="R317" s="908">
        <f>NC_DKDD!G763</f>
        <v>0.01</v>
      </c>
      <c r="S317" s="832"/>
      <c r="T317" s="832"/>
      <c r="U317" s="832"/>
      <c r="V317" s="832"/>
      <c r="W317" s="832"/>
      <c r="X317" s="832"/>
      <c r="Y317" s="832"/>
      <c r="Z317" s="832"/>
      <c r="AA317" s="832"/>
      <c r="AB317" s="832"/>
      <c r="AC317" s="832"/>
      <c r="AD317" s="832"/>
      <c r="AE317" s="832"/>
      <c r="AF317" s="832"/>
      <c r="AG317" s="832"/>
      <c r="AH317" s="832"/>
      <c r="AI317" s="832"/>
      <c r="AJ317" s="832"/>
      <c r="AK317" s="832"/>
      <c r="AL317" s="832"/>
      <c r="AM317" s="832"/>
    </row>
    <row r="318" spans="1:39" s="907" customFormat="1" ht="57">
      <c r="A318" s="798">
        <v>12</v>
      </c>
      <c r="B318" s="799" t="s">
        <v>108</v>
      </c>
      <c r="C318" s="798" t="s">
        <v>532</v>
      </c>
      <c r="D318" s="792" t="s">
        <v>723</v>
      </c>
      <c r="E318" s="794" t="e">
        <f>NC_DKDD!H764</f>
        <v>#VALUE!</v>
      </c>
      <c r="F318" s="794"/>
      <c r="G318" s="795"/>
      <c r="H318" s="794"/>
      <c r="I318" s="794"/>
      <c r="J318" s="794"/>
      <c r="K318" s="794"/>
      <c r="L318" s="794"/>
      <c r="M318" s="794"/>
      <c r="N318" s="794"/>
      <c r="O318" s="794">
        <f t="shared" si="41"/>
        <v>399.625</v>
      </c>
      <c r="P318" s="830">
        <f t="shared" si="42"/>
        <v>347.5</v>
      </c>
      <c r="Q318" s="830">
        <f t="shared" si="43"/>
        <v>52.125</v>
      </c>
      <c r="R318" s="908">
        <f>NC_DKDD!G764</f>
        <v>6.5000000000000002E-2</v>
      </c>
      <c r="S318" s="832"/>
      <c r="T318" s="832"/>
      <c r="U318" s="832"/>
      <c r="V318" s="832"/>
      <c r="W318" s="832"/>
      <c r="X318" s="832"/>
      <c r="Y318" s="832"/>
      <c r="Z318" s="832"/>
      <c r="AA318" s="832"/>
      <c r="AB318" s="832"/>
      <c r="AC318" s="832"/>
      <c r="AD318" s="832"/>
      <c r="AE318" s="832"/>
      <c r="AF318" s="832"/>
      <c r="AG318" s="832"/>
      <c r="AH318" s="832"/>
      <c r="AI318" s="832"/>
      <c r="AJ318" s="832"/>
      <c r="AK318" s="832"/>
      <c r="AL318" s="832"/>
      <c r="AM318" s="832"/>
    </row>
    <row r="319" spans="1:39" s="907" customFormat="1" ht="34.5" customHeight="1">
      <c r="A319" s="798">
        <v>13</v>
      </c>
      <c r="B319" s="799" t="s">
        <v>109</v>
      </c>
      <c r="C319" s="798" t="s">
        <v>532</v>
      </c>
      <c r="D319" s="792" t="s">
        <v>723</v>
      </c>
      <c r="E319" s="794" t="e">
        <f>NC_DKDD!H765</f>
        <v>#VALUE!</v>
      </c>
      <c r="F319" s="794"/>
      <c r="G319" s="795"/>
      <c r="H319" s="794"/>
      <c r="I319" s="794"/>
      <c r="J319" s="794"/>
      <c r="K319" s="794"/>
      <c r="L319" s="794"/>
      <c r="M319" s="794"/>
      <c r="N319" s="794"/>
      <c r="O319" s="794">
        <f t="shared" si="41"/>
        <v>399.625</v>
      </c>
      <c r="P319" s="830">
        <f t="shared" si="42"/>
        <v>347.5</v>
      </c>
      <c r="Q319" s="830">
        <f t="shared" si="43"/>
        <v>52.125</v>
      </c>
      <c r="R319" s="908">
        <f>NC_DKDD!G765</f>
        <v>6.5000000000000002E-2</v>
      </c>
      <c r="S319" s="832"/>
      <c r="T319" s="832"/>
      <c r="U319" s="832"/>
      <c r="V319" s="832"/>
      <c r="W319" s="832"/>
      <c r="X319" s="832"/>
      <c r="Y319" s="832"/>
      <c r="Z319" s="832"/>
      <c r="AA319" s="832"/>
      <c r="AB319" s="832"/>
      <c r="AC319" s="832"/>
      <c r="AD319" s="832"/>
      <c r="AE319" s="832"/>
      <c r="AF319" s="832"/>
      <c r="AG319" s="832"/>
      <c r="AH319" s="832"/>
      <c r="AI319" s="832"/>
      <c r="AJ319" s="832"/>
      <c r="AK319" s="832"/>
      <c r="AL319" s="832"/>
      <c r="AM319" s="832"/>
    </row>
    <row r="320" spans="1:39" s="907" customFormat="1" ht="25.5" customHeight="1">
      <c r="A320" s="791" t="s">
        <v>1005</v>
      </c>
      <c r="B320" s="787" t="s">
        <v>460</v>
      </c>
      <c r="C320" s="798"/>
      <c r="D320" s="798"/>
      <c r="E320" s="793" t="e">
        <f>E321</f>
        <v>#VALUE!</v>
      </c>
      <c r="F320" s="794"/>
      <c r="G320" s="795"/>
      <c r="H320" s="794">
        <f>'Dcu-DKDD'!$H$251*1.3</f>
        <v>92.408268749999976</v>
      </c>
      <c r="I320" s="794">
        <f>'VL-DKDD'!$F$253</f>
        <v>676.62</v>
      </c>
      <c r="J320" s="794"/>
      <c r="K320" s="794"/>
      <c r="L320" s="796" t="e">
        <f>SUM(E320:K320)</f>
        <v>#VALUE!</v>
      </c>
      <c r="M320" s="796" t="e">
        <f>L320*'He so chung'!$D$17/100</f>
        <v>#VALUE!</v>
      </c>
      <c r="N320" s="796" t="e">
        <f>L320+M320</f>
        <v>#VALUE!</v>
      </c>
      <c r="O320" s="793">
        <f>O321</f>
        <v>159.84999999999997</v>
      </c>
      <c r="P320" s="830">
        <f t="shared" si="42"/>
        <v>0</v>
      </c>
      <c r="Q320" s="830">
        <f t="shared" si="43"/>
        <v>0</v>
      </c>
      <c r="R320" s="908">
        <f>NC_DKDD!G766</f>
        <v>0</v>
      </c>
      <c r="S320" s="832"/>
      <c r="T320" s="832"/>
      <c r="U320" s="832"/>
      <c r="V320" s="832"/>
      <c r="W320" s="832"/>
      <c r="X320" s="832"/>
      <c r="Y320" s="832"/>
      <c r="Z320" s="832"/>
      <c r="AA320" s="832"/>
      <c r="AB320" s="832"/>
      <c r="AC320" s="832"/>
      <c r="AD320" s="832"/>
      <c r="AE320" s="832"/>
      <c r="AF320" s="832"/>
      <c r="AG320" s="832"/>
      <c r="AH320" s="832"/>
      <c r="AI320" s="832"/>
      <c r="AJ320" s="832"/>
      <c r="AK320" s="832"/>
      <c r="AL320" s="832"/>
      <c r="AM320" s="832"/>
    </row>
    <row r="321" spans="1:39" s="907" customFormat="1" ht="27.75" customHeight="1">
      <c r="A321" s="798">
        <v>1</v>
      </c>
      <c r="B321" s="799" t="s">
        <v>367</v>
      </c>
      <c r="C321" s="798" t="s">
        <v>532</v>
      </c>
      <c r="D321" s="792" t="s">
        <v>723</v>
      </c>
      <c r="E321" s="794" t="e">
        <f>NC_DKDD!H767</f>
        <v>#VALUE!</v>
      </c>
      <c r="F321" s="794"/>
      <c r="G321" s="795"/>
      <c r="H321" s="794"/>
      <c r="I321" s="794"/>
      <c r="J321" s="794"/>
      <c r="K321" s="794"/>
      <c r="L321" s="794"/>
      <c r="M321" s="794"/>
      <c r="N321" s="794"/>
      <c r="O321" s="794">
        <f t="shared" si="41"/>
        <v>159.84999999999997</v>
      </c>
      <c r="P321" s="830">
        <f t="shared" si="42"/>
        <v>138.99999999999997</v>
      </c>
      <c r="Q321" s="830">
        <f t="shared" si="43"/>
        <v>20.849999999999998</v>
      </c>
      <c r="R321" s="908">
        <f>NC_DKDD!G767</f>
        <v>2.5999999999999999E-2</v>
      </c>
      <c r="S321" s="832"/>
      <c r="T321" s="832"/>
      <c r="U321" s="832"/>
      <c r="V321" s="832"/>
      <c r="W321" s="832"/>
      <c r="X321" s="832"/>
      <c r="Y321" s="832"/>
      <c r="Z321" s="832"/>
      <c r="AA321" s="832"/>
      <c r="AB321" s="832"/>
      <c r="AC321" s="832"/>
      <c r="AD321" s="832"/>
      <c r="AE321" s="832"/>
      <c r="AF321" s="832"/>
      <c r="AG321" s="832"/>
      <c r="AH321" s="832"/>
      <c r="AI321" s="832"/>
      <c r="AJ321" s="832"/>
      <c r="AK321" s="832"/>
      <c r="AL321" s="832"/>
      <c r="AM321" s="832"/>
    </row>
    <row r="322" spans="1:39" ht="21" customHeight="1">
      <c r="A322" s="437"/>
      <c r="B322" s="802" t="s">
        <v>533</v>
      </c>
      <c r="C322" s="439"/>
      <c r="D322" s="437"/>
      <c r="E322" s="803"/>
      <c r="F322" s="803"/>
      <c r="G322" s="804"/>
      <c r="H322" s="803"/>
      <c r="I322" s="803"/>
      <c r="J322" s="805"/>
      <c r="K322" s="805"/>
      <c r="L322" s="805"/>
      <c r="M322" s="419"/>
      <c r="N322" s="419"/>
      <c r="O322" s="901"/>
      <c r="P322" s="420"/>
      <c r="Q322" s="420"/>
      <c r="R322" s="806"/>
    </row>
    <row r="323" spans="1:39" ht="33" customHeight="1">
      <c r="A323" s="455"/>
      <c r="B323" s="1073" t="s">
        <v>833</v>
      </c>
      <c r="C323" s="1073"/>
      <c r="D323" s="1073"/>
      <c r="E323" s="1073"/>
      <c r="F323" s="1073"/>
      <c r="G323" s="1073"/>
      <c r="H323" s="1073"/>
      <c r="I323" s="1073"/>
      <c r="J323" s="1073"/>
      <c r="K323" s="1073"/>
      <c r="L323" s="1073"/>
      <c r="M323" s="1073"/>
      <c r="N323" s="1073"/>
      <c r="O323" s="1073"/>
      <c r="P323" s="420"/>
      <c r="Q323" s="420"/>
      <c r="R323" s="806"/>
    </row>
    <row r="324" spans="1:39" ht="40.9" customHeight="1">
      <c r="A324" s="455"/>
      <c r="B324" s="1072" t="s">
        <v>394</v>
      </c>
      <c r="C324" s="1072"/>
      <c r="D324" s="1072"/>
      <c r="E324" s="1072"/>
      <c r="F324" s="1072"/>
      <c r="G324" s="1072"/>
      <c r="H324" s="1072"/>
      <c r="I324" s="1072"/>
      <c r="J324" s="1072"/>
      <c r="K324" s="1072"/>
      <c r="L324" s="1072"/>
      <c r="M324" s="1072"/>
      <c r="N324" s="1072"/>
      <c r="O324" s="1072"/>
      <c r="P324" s="420"/>
      <c r="Q324" s="420"/>
      <c r="R324" s="806"/>
    </row>
    <row r="325" spans="1:39" ht="30" customHeight="1">
      <c r="A325" s="455"/>
      <c r="B325" s="1139" t="s">
        <v>395</v>
      </c>
      <c r="C325" s="1139"/>
      <c r="D325" s="1139"/>
      <c r="E325" s="1139"/>
      <c r="F325" s="1139"/>
      <c r="G325" s="1139"/>
      <c r="H325" s="1139"/>
      <c r="I325" s="1139"/>
      <c r="J325" s="1139"/>
      <c r="K325" s="1139"/>
      <c r="L325" s="1139"/>
      <c r="M325" s="1139"/>
      <c r="N325" s="1139"/>
      <c r="O325" s="1139"/>
      <c r="P325" s="420"/>
      <c r="Q325" s="420"/>
      <c r="R325" s="806"/>
    </row>
    <row r="326" spans="1:39" ht="30" customHeight="1">
      <c r="A326" s="455"/>
      <c r="B326" s="1072" t="s">
        <v>396</v>
      </c>
      <c r="C326" s="1072"/>
      <c r="D326" s="1072"/>
      <c r="E326" s="1072"/>
      <c r="F326" s="1072"/>
      <c r="G326" s="1072"/>
      <c r="H326" s="1072"/>
      <c r="I326" s="1072"/>
      <c r="J326" s="1072"/>
      <c r="K326" s="1072"/>
      <c r="L326" s="1072"/>
      <c r="M326" s="1072"/>
      <c r="N326" s="1072"/>
      <c r="O326" s="1072"/>
      <c r="P326" s="420"/>
      <c r="Q326" s="420"/>
      <c r="R326" s="806"/>
    </row>
    <row r="327" spans="1:39" ht="30" customHeight="1">
      <c r="A327" s="1070" t="s">
        <v>135</v>
      </c>
      <c r="B327" s="1070"/>
      <c r="C327" s="1070"/>
      <c r="D327" s="1070"/>
      <c r="E327" s="1070"/>
      <c r="F327" s="1070"/>
      <c r="G327" s="1070"/>
      <c r="H327" s="1070"/>
      <c r="I327" s="1070"/>
      <c r="J327" s="1070"/>
      <c r="K327" s="1070"/>
      <c r="L327" s="1070"/>
      <c r="M327" s="1070"/>
      <c r="N327" s="1070"/>
      <c r="O327" s="1070"/>
      <c r="P327" s="420"/>
      <c r="Q327" s="420"/>
      <c r="R327" s="806"/>
    </row>
    <row r="328" spans="1:39" ht="21" customHeight="1">
      <c r="A328" s="414"/>
      <c r="B328" s="415"/>
      <c r="C328" s="776"/>
      <c r="D328" s="777" t="s">
        <v>430</v>
      </c>
      <c r="E328" s="419"/>
      <c r="F328" s="778"/>
      <c r="G328" s="779"/>
      <c r="H328" s="778"/>
      <c r="I328" s="780"/>
      <c r="J328" s="778"/>
      <c r="K328" s="778"/>
      <c r="L328" s="781" t="s">
        <v>262</v>
      </c>
      <c r="M328" s="778"/>
      <c r="N328" s="780"/>
      <c r="O328" s="419"/>
      <c r="P328" s="420"/>
      <c r="Q328" s="420"/>
      <c r="R328" s="820"/>
    </row>
    <row r="329" spans="1:39" s="907" customFormat="1" ht="27.75" customHeight="1">
      <c r="A329" s="1068" t="s">
        <v>718</v>
      </c>
      <c r="B329" s="1068" t="s">
        <v>198</v>
      </c>
      <c r="C329" s="1071" t="s">
        <v>263</v>
      </c>
      <c r="D329" s="1071" t="s">
        <v>264</v>
      </c>
      <c r="E329" s="1071" t="s">
        <v>683</v>
      </c>
      <c r="F329" s="1071"/>
      <c r="G329" s="1071"/>
      <c r="H329" s="1071"/>
      <c r="I329" s="1071"/>
      <c r="J329" s="1071"/>
      <c r="K329" s="1071"/>
      <c r="L329" s="1071"/>
      <c r="M329" s="1071" t="s">
        <v>435</v>
      </c>
      <c r="N329" s="1071" t="s">
        <v>684</v>
      </c>
      <c r="O329" s="1071" t="s">
        <v>685</v>
      </c>
      <c r="P329" s="830"/>
      <c r="Q329" s="830"/>
      <c r="R329" s="831"/>
      <c r="S329" s="832"/>
      <c r="T329" s="832"/>
      <c r="U329" s="832"/>
      <c r="V329" s="832"/>
      <c r="W329" s="832"/>
      <c r="X329" s="832"/>
      <c r="Y329" s="832"/>
      <c r="Z329" s="832"/>
      <c r="AA329" s="832"/>
      <c r="AB329" s="832"/>
      <c r="AC329" s="832"/>
      <c r="AD329" s="832"/>
      <c r="AE329" s="832"/>
      <c r="AF329" s="832"/>
      <c r="AG329" s="832"/>
      <c r="AH329" s="832"/>
      <c r="AI329" s="832"/>
      <c r="AJ329" s="832"/>
      <c r="AK329" s="832"/>
      <c r="AL329" s="832"/>
      <c r="AM329" s="832"/>
    </row>
    <row r="330" spans="1:39" s="907" customFormat="1" ht="31.5" customHeight="1">
      <c r="A330" s="1068"/>
      <c r="B330" s="1068"/>
      <c r="C330" s="1071"/>
      <c r="D330" s="1071"/>
      <c r="E330" s="783" t="s">
        <v>686</v>
      </c>
      <c r="F330" s="783" t="s">
        <v>687</v>
      </c>
      <c r="G330" s="784" t="s">
        <v>285</v>
      </c>
      <c r="H330" s="783" t="s">
        <v>499</v>
      </c>
      <c r="I330" s="783" t="s">
        <v>688</v>
      </c>
      <c r="J330" s="783" t="s">
        <v>531</v>
      </c>
      <c r="K330" s="783" t="s">
        <v>689</v>
      </c>
      <c r="L330" s="783" t="s">
        <v>690</v>
      </c>
      <c r="M330" s="1071"/>
      <c r="N330" s="1071"/>
      <c r="O330" s="1071"/>
      <c r="P330" s="830"/>
      <c r="Q330" s="830"/>
      <c r="R330" s="831"/>
      <c r="S330" s="832"/>
      <c r="T330" s="832"/>
      <c r="U330" s="832"/>
      <c r="V330" s="832"/>
      <c r="W330" s="832"/>
      <c r="X330" s="832"/>
      <c r="Y330" s="832"/>
      <c r="Z330" s="832"/>
      <c r="AA330" s="832"/>
      <c r="AB330" s="832"/>
      <c r="AC330" s="832"/>
      <c r="AD330" s="832"/>
      <c r="AE330" s="832"/>
      <c r="AF330" s="832"/>
      <c r="AG330" s="832"/>
      <c r="AH330" s="832"/>
      <c r="AI330" s="832"/>
      <c r="AJ330" s="832"/>
      <c r="AK330" s="832"/>
      <c r="AL330" s="832"/>
      <c r="AM330" s="832"/>
    </row>
    <row r="331" spans="1:39" s="907" customFormat="1" ht="31.5" customHeight="1">
      <c r="A331" s="785"/>
      <c r="B331" s="786" t="s">
        <v>136</v>
      </c>
      <c r="C331" s="783"/>
      <c r="D331" s="783"/>
      <c r="E331" s="783"/>
      <c r="F331" s="783"/>
      <c r="G331" s="784"/>
      <c r="H331" s="783"/>
      <c r="I331" s="783"/>
      <c r="J331" s="783"/>
      <c r="K331" s="783"/>
      <c r="L331" s="783"/>
      <c r="M331" s="783"/>
      <c r="N331" s="783"/>
      <c r="O331" s="783"/>
      <c r="P331" s="830"/>
      <c r="Q331" s="830"/>
      <c r="R331" s="831"/>
      <c r="S331" s="832"/>
      <c r="T331" s="832"/>
      <c r="U331" s="832"/>
      <c r="V331" s="832"/>
      <c r="W331" s="832"/>
      <c r="X331" s="832"/>
      <c r="Y331" s="832"/>
      <c r="Z331" s="832"/>
      <c r="AA331" s="832"/>
      <c r="AB331" s="832"/>
      <c r="AC331" s="832"/>
      <c r="AD331" s="832"/>
      <c r="AE331" s="832"/>
      <c r="AF331" s="832"/>
      <c r="AG331" s="832"/>
      <c r="AH331" s="832"/>
      <c r="AI331" s="832"/>
      <c r="AJ331" s="832"/>
      <c r="AK331" s="832"/>
      <c r="AL331" s="832"/>
      <c r="AM331" s="832"/>
    </row>
    <row r="332" spans="1:39" s="907" customFormat="1" ht="30.75" customHeight="1">
      <c r="A332" s="785"/>
      <c r="B332" s="787" t="s">
        <v>668</v>
      </c>
      <c r="C332" s="783" t="s">
        <v>532</v>
      </c>
      <c r="D332" s="785" t="s">
        <v>723</v>
      </c>
      <c r="E332" s="788" t="e">
        <f>E336+E362+E364</f>
        <v>#VALUE!</v>
      </c>
      <c r="F332" s="788">
        <f t="shared" ref="F332:O332" si="44">F336+F362+F364</f>
        <v>0</v>
      </c>
      <c r="G332" s="788">
        <f t="shared" si="44"/>
        <v>0</v>
      </c>
      <c r="H332" s="788">
        <f t="shared" si="44"/>
        <v>10556.157858974357</v>
      </c>
      <c r="I332" s="788">
        <f t="shared" si="44"/>
        <v>24167.16</v>
      </c>
      <c r="J332" s="788">
        <f t="shared" si="44"/>
        <v>9815.5200000000023</v>
      </c>
      <c r="K332" s="788">
        <f t="shared" si="44"/>
        <v>19428.108</v>
      </c>
      <c r="L332" s="788" t="e">
        <f t="shared" si="44"/>
        <v>#VALUE!</v>
      </c>
      <c r="M332" s="788" t="e">
        <f t="shared" si="44"/>
        <v>#VALUE!</v>
      </c>
      <c r="N332" s="788" t="e">
        <f t="shared" si="44"/>
        <v>#VALUE!</v>
      </c>
      <c r="O332" s="788">
        <f t="shared" si="44"/>
        <v>18247.492307692308</v>
      </c>
      <c r="P332" s="830"/>
      <c r="Q332" s="830"/>
      <c r="R332" s="831"/>
      <c r="S332" s="832"/>
      <c r="T332" s="832"/>
      <c r="U332" s="832"/>
      <c r="V332" s="832"/>
      <c r="W332" s="832"/>
      <c r="X332" s="832"/>
      <c r="Y332" s="832"/>
      <c r="Z332" s="832"/>
      <c r="AA332" s="832"/>
      <c r="AB332" s="832"/>
      <c r="AC332" s="832"/>
      <c r="AD332" s="832"/>
      <c r="AE332" s="832"/>
      <c r="AF332" s="832"/>
      <c r="AG332" s="832"/>
      <c r="AH332" s="832"/>
      <c r="AI332" s="832"/>
      <c r="AJ332" s="832"/>
      <c r="AK332" s="832"/>
      <c r="AL332" s="832"/>
      <c r="AM332" s="832"/>
    </row>
    <row r="333" spans="1:39" s="907" customFormat="1" ht="30.75" customHeight="1">
      <c r="A333" s="785"/>
      <c r="B333" s="787" t="s">
        <v>669</v>
      </c>
      <c r="C333" s="783" t="s">
        <v>532</v>
      </c>
      <c r="D333" s="785" t="s">
        <v>723</v>
      </c>
      <c r="E333" s="788" t="e">
        <f>E337+E362+E364</f>
        <v>#VALUE!</v>
      </c>
      <c r="F333" s="788">
        <f t="shared" ref="F333:O333" si="45">F337+F362+F364</f>
        <v>0</v>
      </c>
      <c r="G333" s="788">
        <f t="shared" si="45"/>
        <v>0</v>
      </c>
      <c r="H333" s="788">
        <f t="shared" si="45"/>
        <v>10556.157858974357</v>
      </c>
      <c r="I333" s="788">
        <f t="shared" si="45"/>
        <v>24167.16</v>
      </c>
      <c r="J333" s="788">
        <f t="shared" si="45"/>
        <v>9815.5200000000023</v>
      </c>
      <c r="K333" s="788">
        <f t="shared" si="45"/>
        <v>19428.108</v>
      </c>
      <c r="L333" s="788" t="e">
        <f t="shared" si="45"/>
        <v>#VALUE!</v>
      </c>
      <c r="M333" s="788" t="e">
        <f t="shared" si="45"/>
        <v>#VALUE!</v>
      </c>
      <c r="N333" s="788" t="e">
        <f t="shared" si="45"/>
        <v>#VALUE!</v>
      </c>
      <c r="O333" s="788">
        <f t="shared" si="45"/>
        <v>17940.08846153846</v>
      </c>
      <c r="P333" s="830"/>
      <c r="Q333" s="830"/>
      <c r="R333" s="831"/>
      <c r="S333" s="832"/>
      <c r="T333" s="832"/>
      <c r="U333" s="832"/>
      <c r="V333" s="832"/>
      <c r="W333" s="832"/>
      <c r="X333" s="832"/>
      <c r="Y333" s="832"/>
      <c r="Z333" s="832"/>
      <c r="AA333" s="832"/>
      <c r="AB333" s="832"/>
      <c r="AC333" s="832"/>
      <c r="AD333" s="832"/>
      <c r="AE333" s="832"/>
      <c r="AF333" s="832"/>
      <c r="AG333" s="832"/>
      <c r="AH333" s="832"/>
      <c r="AI333" s="832"/>
      <c r="AJ333" s="832"/>
      <c r="AK333" s="832"/>
      <c r="AL333" s="832"/>
      <c r="AM333" s="832"/>
    </row>
    <row r="334" spans="1:39" s="907" customFormat="1" ht="16.5" customHeight="1">
      <c r="A334" s="785"/>
      <c r="B334" s="789"/>
      <c r="C334" s="783"/>
      <c r="D334" s="783"/>
      <c r="E334" s="783"/>
      <c r="F334" s="783"/>
      <c r="G334" s="784"/>
      <c r="H334" s="783"/>
      <c r="I334" s="783"/>
      <c r="J334" s="783"/>
      <c r="K334" s="783"/>
      <c r="L334" s="783"/>
      <c r="M334" s="783"/>
      <c r="N334" s="783"/>
      <c r="O334" s="783"/>
      <c r="P334" s="834">
        <f>'He so chung'!D$22</f>
        <v>5346.1538461538457</v>
      </c>
      <c r="Q334" s="834">
        <f>'He so chung'!D$23</f>
        <v>801.92307692307691</v>
      </c>
      <c r="R334" s="835"/>
      <c r="S334" s="832"/>
      <c r="T334" s="832"/>
      <c r="U334" s="832"/>
      <c r="V334" s="832"/>
      <c r="W334" s="832"/>
      <c r="X334" s="832"/>
      <c r="Y334" s="832"/>
      <c r="Z334" s="832"/>
      <c r="AA334" s="832"/>
      <c r="AB334" s="832"/>
      <c r="AC334" s="832"/>
      <c r="AD334" s="832"/>
      <c r="AE334" s="832"/>
      <c r="AF334" s="832"/>
      <c r="AG334" s="832"/>
      <c r="AH334" s="832"/>
      <c r="AI334" s="832"/>
      <c r="AJ334" s="832"/>
      <c r="AK334" s="832"/>
      <c r="AL334" s="832"/>
      <c r="AM334" s="832"/>
    </row>
    <row r="335" spans="1:39" s="907" customFormat="1" ht="25.5" customHeight="1">
      <c r="A335" s="785" t="s">
        <v>1000</v>
      </c>
      <c r="B335" s="787" t="s">
        <v>339</v>
      </c>
      <c r="C335" s="783"/>
      <c r="D335" s="783"/>
      <c r="E335" s="783"/>
      <c r="F335" s="783"/>
      <c r="G335" s="784"/>
      <c r="H335" s="783"/>
      <c r="I335" s="783"/>
      <c r="J335" s="783"/>
      <c r="K335" s="783"/>
      <c r="L335" s="783"/>
      <c r="M335" s="783"/>
      <c r="N335" s="783"/>
      <c r="O335" s="783"/>
      <c r="P335" s="834"/>
      <c r="Q335" s="834"/>
      <c r="R335" s="835"/>
      <c r="S335" s="832"/>
      <c r="T335" s="832"/>
      <c r="U335" s="832"/>
      <c r="V335" s="832"/>
      <c r="W335" s="832"/>
      <c r="X335" s="832"/>
      <c r="Y335" s="832"/>
      <c r="Z335" s="832"/>
      <c r="AA335" s="832"/>
      <c r="AB335" s="832"/>
      <c r="AC335" s="832"/>
      <c r="AD335" s="832"/>
      <c r="AE335" s="832"/>
      <c r="AF335" s="832"/>
      <c r="AG335" s="832"/>
      <c r="AH335" s="832"/>
      <c r="AI335" s="832"/>
      <c r="AJ335" s="832"/>
      <c r="AK335" s="832"/>
      <c r="AL335" s="832"/>
      <c r="AM335" s="832"/>
    </row>
    <row r="336" spans="1:39" s="907" customFormat="1" ht="21.75" customHeight="1">
      <c r="A336" s="791" t="s">
        <v>1008</v>
      </c>
      <c r="B336" s="787" t="s">
        <v>668</v>
      </c>
      <c r="C336" s="783" t="s">
        <v>532</v>
      </c>
      <c r="D336" s="909"/>
      <c r="E336" s="793" t="e">
        <f>E339+E341+E342+E343+E344+E346+E348+E350+E352+E353+E356+E357+E358+E359+E360+E361</f>
        <v>#VALUE!</v>
      </c>
      <c r="F336" s="793">
        <f>F339+F341+F342+F343+F344+F346+F348+F350+F352+F353+F356+F357+F358+F359+F360+F361</f>
        <v>0</v>
      </c>
      <c r="G336" s="795"/>
      <c r="H336" s="793">
        <f>'Dcu-DKDD'!$L$280</f>
        <v>10462.416147435895</v>
      </c>
      <c r="I336" s="910">
        <f>'VL-DKDD'!$J$283</f>
        <v>23281.56</v>
      </c>
      <c r="J336" s="910">
        <f>'TB-DKDD'!$M$159</f>
        <v>9815.5200000000023</v>
      </c>
      <c r="K336" s="910">
        <f>'NL-DKDD'!$J$108</f>
        <v>19428.108</v>
      </c>
      <c r="L336" s="796" t="e">
        <f>SUM(E336:K336)</f>
        <v>#VALUE!</v>
      </c>
      <c r="M336" s="796" t="e">
        <f>L336*'He so chung'!$D$17/100</f>
        <v>#VALUE!</v>
      </c>
      <c r="N336" s="796" t="e">
        <f>L336+M336</f>
        <v>#VALUE!</v>
      </c>
      <c r="O336" s="793">
        <f>O339+O341+O342+O343+O344+O346+O348+O350+O352+O353+O356+O357+O358+O359+O360+O361</f>
        <v>18001.56923076923</v>
      </c>
      <c r="P336" s="830"/>
      <c r="Q336" s="830"/>
      <c r="R336" s="908"/>
      <c r="S336" s="832"/>
      <c r="T336" s="832"/>
      <c r="U336" s="832"/>
      <c r="V336" s="832"/>
      <c r="W336" s="832"/>
      <c r="X336" s="832"/>
      <c r="Y336" s="832"/>
      <c r="Z336" s="832"/>
      <c r="AA336" s="832"/>
      <c r="AB336" s="832"/>
      <c r="AC336" s="832"/>
      <c r="AD336" s="832"/>
      <c r="AE336" s="832"/>
      <c r="AF336" s="832"/>
      <c r="AG336" s="832"/>
      <c r="AH336" s="832"/>
      <c r="AI336" s="832"/>
      <c r="AJ336" s="832"/>
      <c r="AK336" s="832"/>
      <c r="AL336" s="832"/>
      <c r="AM336" s="832"/>
    </row>
    <row r="337" spans="1:39" s="907" customFormat="1" ht="21.75" customHeight="1">
      <c r="A337" s="791" t="s">
        <v>1009</v>
      </c>
      <c r="B337" s="787" t="s">
        <v>669</v>
      </c>
      <c r="C337" s="783" t="s">
        <v>532</v>
      </c>
      <c r="D337" s="909"/>
      <c r="E337" s="793" t="e">
        <f>E340+E341+E342+E343+E344+E346+E348+E350+E352+E353+E356+E357+E358+E359+E360+E361</f>
        <v>#VALUE!</v>
      </c>
      <c r="F337" s="793">
        <f>F340+F341+F342+F343+F344+F346+F348+F350+F352+F353+F356+F357+F358+F359+F360+F361</f>
        <v>0</v>
      </c>
      <c r="G337" s="795"/>
      <c r="H337" s="793">
        <f>'Dcu-DKDD'!$L$280</f>
        <v>10462.416147435895</v>
      </c>
      <c r="I337" s="910">
        <f>'VL-DKDD'!$J$283</f>
        <v>23281.56</v>
      </c>
      <c r="J337" s="910">
        <f>'TB-DKDD'!$M$159</f>
        <v>9815.5200000000023</v>
      </c>
      <c r="K337" s="910">
        <f>'NL-DKDD'!$J$108</f>
        <v>19428.108</v>
      </c>
      <c r="L337" s="796" t="e">
        <f>SUM(E337:K337)</f>
        <v>#VALUE!</v>
      </c>
      <c r="M337" s="796" t="e">
        <f>L337*'He so chung'!$D$17/100</f>
        <v>#VALUE!</v>
      </c>
      <c r="N337" s="796" t="e">
        <f>L337+M337</f>
        <v>#VALUE!</v>
      </c>
      <c r="O337" s="793">
        <f>O340+O341+O342+O343+O344+O346+O348+O350+O352+O353+O356+O357+O358+O359+O360+O361</f>
        <v>17694.165384615382</v>
      </c>
      <c r="P337" s="830"/>
      <c r="Q337" s="830"/>
      <c r="R337" s="908"/>
      <c r="S337" s="832"/>
      <c r="T337" s="832"/>
      <c r="U337" s="832"/>
      <c r="V337" s="832"/>
      <c r="W337" s="832"/>
      <c r="X337" s="832"/>
      <c r="Y337" s="832"/>
      <c r="Z337" s="832"/>
      <c r="AA337" s="832"/>
      <c r="AB337" s="832"/>
      <c r="AC337" s="832"/>
      <c r="AD337" s="832"/>
      <c r="AE337" s="832"/>
      <c r="AF337" s="832"/>
      <c r="AG337" s="832"/>
      <c r="AH337" s="832"/>
      <c r="AI337" s="832"/>
      <c r="AJ337" s="832"/>
      <c r="AK337" s="832"/>
      <c r="AL337" s="832"/>
      <c r="AM337" s="832"/>
    </row>
    <row r="338" spans="1:39" s="907" customFormat="1" ht="19.5" customHeight="1">
      <c r="A338" s="798">
        <v>1</v>
      </c>
      <c r="B338" s="799" t="s">
        <v>368</v>
      </c>
      <c r="C338" s="912"/>
      <c r="D338" s="909"/>
      <c r="E338" s="911"/>
      <c r="F338" s="911"/>
      <c r="G338" s="795"/>
      <c r="H338" s="911"/>
      <c r="I338" s="911"/>
      <c r="J338" s="911"/>
      <c r="K338" s="911"/>
      <c r="L338" s="911"/>
      <c r="M338" s="911"/>
      <c r="N338" s="911"/>
      <c r="O338" s="794"/>
      <c r="P338" s="830"/>
      <c r="Q338" s="830"/>
      <c r="R338" s="908"/>
      <c r="S338" s="832"/>
      <c r="T338" s="832"/>
      <c r="U338" s="832"/>
      <c r="V338" s="832"/>
      <c r="W338" s="832"/>
      <c r="X338" s="832"/>
      <c r="Y338" s="832"/>
      <c r="Z338" s="832"/>
      <c r="AA338" s="832"/>
      <c r="AB338" s="832"/>
      <c r="AC338" s="832"/>
      <c r="AD338" s="832"/>
      <c r="AE338" s="832"/>
      <c r="AF338" s="832"/>
      <c r="AG338" s="832"/>
      <c r="AH338" s="832"/>
      <c r="AI338" s="832"/>
      <c r="AJ338" s="832"/>
      <c r="AK338" s="832"/>
      <c r="AL338" s="832"/>
      <c r="AM338" s="832"/>
    </row>
    <row r="339" spans="1:39" s="907" customFormat="1" ht="21.75" customHeight="1">
      <c r="A339" s="798" t="s">
        <v>733</v>
      </c>
      <c r="B339" s="799" t="s">
        <v>846</v>
      </c>
      <c r="C339" s="798" t="s">
        <v>532</v>
      </c>
      <c r="D339" s="792" t="s">
        <v>723</v>
      </c>
      <c r="E339" s="794" t="e">
        <f>NC_DKDD!H774</f>
        <v>#VALUE!</v>
      </c>
      <c r="F339" s="911"/>
      <c r="G339" s="795"/>
      <c r="H339" s="911"/>
      <c r="I339" s="911"/>
      <c r="J339" s="911"/>
      <c r="K339" s="911"/>
      <c r="L339" s="911"/>
      <c r="M339" s="911"/>
      <c r="N339" s="911"/>
      <c r="O339" s="794">
        <f>P339+Q339</f>
        <v>1537.0192307692307</v>
      </c>
      <c r="P339" s="830">
        <f>R339*P$206</f>
        <v>1336.5384615384614</v>
      </c>
      <c r="Q339" s="830">
        <f t="shared" ref="Q339:Q365" si="46">R339*Q$206</f>
        <v>200.48076923076923</v>
      </c>
      <c r="R339" s="908">
        <f>NC_DKDD!G774</f>
        <v>0.25</v>
      </c>
      <c r="S339" s="832"/>
      <c r="T339" s="832"/>
      <c r="U339" s="832"/>
      <c r="V339" s="832"/>
      <c r="W339" s="832"/>
      <c r="X339" s="832"/>
      <c r="Y339" s="832"/>
      <c r="Z339" s="832"/>
      <c r="AA339" s="832"/>
      <c r="AB339" s="832"/>
      <c r="AC339" s="832"/>
      <c r="AD339" s="832"/>
      <c r="AE339" s="832"/>
      <c r="AF339" s="832"/>
      <c r="AG339" s="832"/>
      <c r="AH339" s="832"/>
      <c r="AI339" s="832"/>
      <c r="AJ339" s="832"/>
      <c r="AK339" s="832"/>
      <c r="AL339" s="832"/>
      <c r="AM339" s="832"/>
    </row>
    <row r="340" spans="1:39" s="907" customFormat="1" ht="21.75" customHeight="1">
      <c r="A340" s="798" t="s">
        <v>741</v>
      </c>
      <c r="B340" s="799" t="s">
        <v>849</v>
      </c>
      <c r="C340" s="798" t="s">
        <v>532</v>
      </c>
      <c r="D340" s="792" t="s">
        <v>723</v>
      </c>
      <c r="E340" s="794" t="e">
        <f>NC_DKDD!H775</f>
        <v>#VALUE!</v>
      </c>
      <c r="F340" s="911"/>
      <c r="G340" s="795"/>
      <c r="H340" s="911"/>
      <c r="I340" s="911"/>
      <c r="J340" s="911"/>
      <c r="K340" s="911"/>
      <c r="L340" s="911"/>
      <c r="M340" s="911"/>
      <c r="N340" s="911"/>
      <c r="O340" s="794">
        <f>P340+Q340</f>
        <v>1229.6153846153848</v>
      </c>
      <c r="P340" s="830">
        <f>R340*P$206</f>
        <v>1069.2307692307693</v>
      </c>
      <c r="Q340" s="830">
        <f t="shared" si="46"/>
        <v>160.38461538461539</v>
      </c>
      <c r="R340" s="908">
        <f>NC_DKDD!G775</f>
        <v>0.2</v>
      </c>
      <c r="S340" s="832"/>
      <c r="T340" s="832"/>
      <c r="U340" s="832"/>
      <c r="V340" s="832"/>
      <c r="W340" s="832"/>
      <c r="X340" s="832"/>
      <c r="Y340" s="832"/>
      <c r="Z340" s="832"/>
      <c r="AA340" s="832"/>
      <c r="AB340" s="832"/>
      <c r="AC340" s="832"/>
      <c r="AD340" s="832"/>
      <c r="AE340" s="832"/>
      <c r="AF340" s="832"/>
      <c r="AG340" s="832"/>
      <c r="AH340" s="832"/>
      <c r="AI340" s="832"/>
      <c r="AJ340" s="832"/>
      <c r="AK340" s="832"/>
      <c r="AL340" s="832"/>
      <c r="AM340" s="832"/>
    </row>
    <row r="341" spans="1:39" s="907" customFormat="1" ht="28.5">
      <c r="A341" s="798">
        <v>2</v>
      </c>
      <c r="B341" s="799" t="s">
        <v>797</v>
      </c>
      <c r="C341" s="798" t="s">
        <v>532</v>
      </c>
      <c r="D341" s="792" t="s">
        <v>723</v>
      </c>
      <c r="E341" s="794" t="e">
        <f>NC_DKDD!H776</f>
        <v>#VALUE!</v>
      </c>
      <c r="F341" s="911"/>
      <c r="G341" s="795"/>
      <c r="H341" s="911"/>
      <c r="I341" s="911"/>
      <c r="J341" s="911"/>
      <c r="K341" s="911"/>
      <c r="L341" s="911"/>
      <c r="M341" s="911"/>
      <c r="N341" s="911"/>
      <c r="O341" s="794">
        <f t="shared" ref="O341:O349" si="47">P341+Q341</f>
        <v>1229.6153846153848</v>
      </c>
      <c r="P341" s="830">
        <f t="shared" ref="P341:P349" si="48">R341*P$206</f>
        <v>1069.2307692307693</v>
      </c>
      <c r="Q341" s="830">
        <f t="shared" si="46"/>
        <v>160.38461538461539</v>
      </c>
      <c r="R341" s="908">
        <f>NC_DKDD!G776</f>
        <v>0.2</v>
      </c>
      <c r="S341" s="832"/>
      <c r="T341" s="832"/>
      <c r="U341" s="832"/>
      <c r="V341" s="832"/>
      <c r="W341" s="832"/>
      <c r="X341" s="832"/>
      <c r="Y341" s="832"/>
      <c r="Z341" s="832"/>
      <c r="AA341" s="832"/>
      <c r="AB341" s="832"/>
      <c r="AC341" s="832"/>
      <c r="AD341" s="832"/>
      <c r="AE341" s="832"/>
      <c r="AF341" s="832"/>
      <c r="AG341" s="832"/>
      <c r="AH341" s="832"/>
      <c r="AI341" s="832"/>
      <c r="AJ341" s="832"/>
      <c r="AK341" s="832"/>
      <c r="AL341" s="832"/>
      <c r="AM341" s="832"/>
    </row>
    <row r="342" spans="1:39" s="907" customFormat="1" ht="35.25" customHeight="1">
      <c r="A342" s="798">
        <v>3</v>
      </c>
      <c r="B342" s="799" t="s">
        <v>369</v>
      </c>
      <c r="C342" s="798" t="s">
        <v>375</v>
      </c>
      <c r="D342" s="792" t="s">
        <v>723</v>
      </c>
      <c r="E342" s="794" t="e">
        <f>NC_DKDD!H777</f>
        <v>#VALUE!</v>
      </c>
      <c r="F342" s="911"/>
      <c r="G342" s="795"/>
      <c r="H342" s="911"/>
      <c r="I342" s="911"/>
      <c r="J342" s="911"/>
      <c r="K342" s="911"/>
      <c r="L342" s="911"/>
      <c r="M342" s="911"/>
      <c r="N342" s="911"/>
      <c r="O342" s="794">
        <f t="shared" si="47"/>
        <v>657.84423076923065</v>
      </c>
      <c r="P342" s="830">
        <f t="shared" si="48"/>
        <v>572.03846153846143</v>
      </c>
      <c r="Q342" s="830">
        <f t="shared" si="46"/>
        <v>85.805769230769229</v>
      </c>
      <c r="R342" s="908">
        <f>NC_DKDD!G777</f>
        <v>0.107</v>
      </c>
      <c r="S342" s="832"/>
      <c r="T342" s="832"/>
      <c r="U342" s="832"/>
      <c r="V342" s="832"/>
      <c r="W342" s="832"/>
      <c r="X342" s="832"/>
      <c r="Y342" s="832"/>
      <c r="Z342" s="832"/>
      <c r="AA342" s="832"/>
      <c r="AB342" s="832"/>
      <c r="AC342" s="832"/>
      <c r="AD342" s="832"/>
      <c r="AE342" s="832"/>
      <c r="AF342" s="832"/>
      <c r="AG342" s="832"/>
      <c r="AH342" s="832"/>
      <c r="AI342" s="832"/>
      <c r="AJ342" s="832"/>
      <c r="AK342" s="832"/>
      <c r="AL342" s="832"/>
      <c r="AM342" s="832"/>
    </row>
    <row r="343" spans="1:39" s="907" customFormat="1" ht="28.5">
      <c r="A343" s="798">
        <v>4</v>
      </c>
      <c r="B343" s="799" t="s">
        <v>370</v>
      </c>
      <c r="C343" s="798" t="s">
        <v>532</v>
      </c>
      <c r="D343" s="792" t="s">
        <v>723</v>
      </c>
      <c r="E343" s="794" t="e">
        <f>NC_DKDD!H778</f>
        <v>#VALUE!</v>
      </c>
      <c r="F343" s="911"/>
      <c r="G343" s="795"/>
      <c r="H343" s="911"/>
      <c r="I343" s="911"/>
      <c r="J343" s="911"/>
      <c r="K343" s="911"/>
      <c r="L343" s="911"/>
      <c r="M343" s="911"/>
      <c r="N343" s="911"/>
      <c r="O343" s="794">
        <f t="shared" si="47"/>
        <v>6148.0769230769229</v>
      </c>
      <c r="P343" s="830">
        <f t="shared" si="48"/>
        <v>5346.1538461538457</v>
      </c>
      <c r="Q343" s="830">
        <f t="shared" si="46"/>
        <v>801.92307692307691</v>
      </c>
      <c r="R343" s="908">
        <f>NC_DKDD!G778</f>
        <v>1</v>
      </c>
      <c r="S343" s="832"/>
      <c r="T343" s="832"/>
      <c r="U343" s="832"/>
      <c r="V343" s="832"/>
      <c r="W343" s="832"/>
      <c r="X343" s="832"/>
      <c r="Y343" s="832"/>
      <c r="Z343" s="832"/>
      <c r="AA343" s="832"/>
      <c r="AB343" s="832"/>
      <c r="AC343" s="832"/>
      <c r="AD343" s="832"/>
      <c r="AE343" s="832"/>
      <c r="AF343" s="832"/>
      <c r="AG343" s="832"/>
      <c r="AH343" s="832"/>
      <c r="AI343" s="832"/>
      <c r="AJ343" s="832"/>
      <c r="AK343" s="832"/>
      <c r="AL343" s="832"/>
      <c r="AM343" s="832"/>
    </row>
    <row r="344" spans="1:39" s="907" customFormat="1" ht="33.75" customHeight="1">
      <c r="A344" s="798">
        <v>5</v>
      </c>
      <c r="B344" s="799" t="s">
        <v>371</v>
      </c>
      <c r="C344" s="798" t="s">
        <v>375</v>
      </c>
      <c r="D344" s="792" t="s">
        <v>723</v>
      </c>
      <c r="E344" s="794" t="e">
        <f>NC_DKDD!H779</f>
        <v>#VALUE!</v>
      </c>
      <c r="F344" s="911"/>
      <c r="G344" s="795"/>
      <c r="H344" s="911"/>
      <c r="I344" s="911"/>
      <c r="J344" s="911"/>
      <c r="K344" s="911"/>
      <c r="L344" s="911"/>
      <c r="M344" s="911"/>
      <c r="N344" s="911"/>
      <c r="O344" s="794">
        <f t="shared" si="47"/>
        <v>36.888461538461534</v>
      </c>
      <c r="P344" s="830">
        <f t="shared" si="48"/>
        <v>32.076923076923073</v>
      </c>
      <c r="Q344" s="830">
        <f t="shared" si="46"/>
        <v>4.8115384615384613</v>
      </c>
      <c r="R344" s="908">
        <f>NC_DKDD!G779</f>
        <v>6.0000000000000001E-3</v>
      </c>
      <c r="S344" s="832"/>
      <c r="T344" s="832"/>
      <c r="U344" s="832"/>
      <c r="V344" s="832"/>
      <c r="W344" s="832"/>
      <c r="X344" s="832"/>
      <c r="Y344" s="832"/>
      <c r="Z344" s="832"/>
      <c r="AA344" s="832"/>
      <c r="AB344" s="832"/>
      <c r="AC344" s="832"/>
      <c r="AD344" s="832"/>
      <c r="AE344" s="832"/>
      <c r="AF344" s="832"/>
      <c r="AG344" s="832"/>
      <c r="AH344" s="832"/>
      <c r="AI344" s="832"/>
      <c r="AJ344" s="832"/>
      <c r="AK344" s="832"/>
      <c r="AL344" s="832"/>
      <c r="AM344" s="832"/>
    </row>
    <row r="345" spans="1:39" s="907" customFormat="1" ht="42.75">
      <c r="A345" s="798">
        <v>6</v>
      </c>
      <c r="B345" s="799" t="s">
        <v>802</v>
      </c>
      <c r="C345" s="798"/>
      <c r="D345" s="798"/>
      <c r="E345" s="794">
        <f>NC_DKDD!H780</f>
        <v>0</v>
      </c>
      <c r="F345" s="911"/>
      <c r="G345" s="795"/>
      <c r="H345" s="911"/>
      <c r="I345" s="911"/>
      <c r="J345" s="911"/>
      <c r="K345" s="911"/>
      <c r="L345" s="911"/>
      <c r="M345" s="911"/>
      <c r="N345" s="911"/>
      <c r="O345" s="794">
        <f t="shared" si="47"/>
        <v>0</v>
      </c>
      <c r="P345" s="830">
        <f t="shared" si="48"/>
        <v>0</v>
      </c>
      <c r="Q345" s="830">
        <f t="shared" si="46"/>
        <v>0</v>
      </c>
      <c r="R345" s="908">
        <f>NC_DKDD!G780</f>
        <v>0</v>
      </c>
      <c r="S345" s="832"/>
      <c r="T345" s="832"/>
      <c r="U345" s="832"/>
      <c r="V345" s="832"/>
      <c r="W345" s="832"/>
      <c r="X345" s="832"/>
      <c r="Y345" s="832"/>
      <c r="Z345" s="832"/>
      <c r="AA345" s="832"/>
      <c r="AB345" s="832"/>
      <c r="AC345" s="832"/>
      <c r="AD345" s="832"/>
      <c r="AE345" s="832"/>
      <c r="AF345" s="832"/>
      <c r="AG345" s="832"/>
      <c r="AH345" s="832"/>
      <c r="AI345" s="832"/>
      <c r="AJ345" s="832"/>
      <c r="AK345" s="832"/>
      <c r="AL345" s="832"/>
      <c r="AM345" s="832"/>
    </row>
    <row r="346" spans="1:39" s="907" customFormat="1" ht="21.75" customHeight="1">
      <c r="A346" s="798" t="s">
        <v>661</v>
      </c>
      <c r="B346" s="799" t="s">
        <v>587</v>
      </c>
      <c r="C346" s="798" t="s">
        <v>532</v>
      </c>
      <c r="D346" s="792" t="s">
        <v>723</v>
      </c>
      <c r="E346" s="794" t="e">
        <f>NC_DKDD!H781</f>
        <v>#VALUE!</v>
      </c>
      <c r="F346" s="911"/>
      <c r="G346" s="795"/>
      <c r="H346" s="911"/>
      <c r="I346" s="911"/>
      <c r="J346" s="911"/>
      <c r="K346" s="911"/>
      <c r="L346" s="911"/>
      <c r="M346" s="911"/>
      <c r="N346" s="911"/>
      <c r="O346" s="794">
        <f t="shared" si="47"/>
        <v>307.40384615384619</v>
      </c>
      <c r="P346" s="830">
        <f t="shared" si="48"/>
        <v>267.30769230769232</v>
      </c>
      <c r="Q346" s="830">
        <f t="shared" si="46"/>
        <v>40.096153846153847</v>
      </c>
      <c r="R346" s="908">
        <f>NC_DKDD!G781</f>
        <v>0.05</v>
      </c>
      <c r="S346" s="832"/>
      <c r="T346" s="832"/>
      <c r="U346" s="832"/>
      <c r="V346" s="832"/>
      <c r="W346" s="832"/>
      <c r="X346" s="832"/>
      <c r="Y346" s="832"/>
      <c r="Z346" s="832"/>
      <c r="AA346" s="832"/>
      <c r="AB346" s="832"/>
      <c r="AC346" s="832"/>
      <c r="AD346" s="832"/>
      <c r="AE346" s="832"/>
      <c r="AF346" s="832"/>
      <c r="AG346" s="832"/>
      <c r="AH346" s="832"/>
      <c r="AI346" s="832"/>
      <c r="AJ346" s="832"/>
      <c r="AK346" s="832"/>
      <c r="AL346" s="832"/>
      <c r="AM346" s="832"/>
    </row>
    <row r="347" spans="1:39" s="907" customFormat="1" ht="21.75" customHeight="1">
      <c r="A347" s="798" t="s">
        <v>662</v>
      </c>
      <c r="B347" s="799" t="s">
        <v>588</v>
      </c>
      <c r="C347" s="798" t="s">
        <v>532</v>
      </c>
      <c r="D347" s="792" t="s">
        <v>723</v>
      </c>
      <c r="E347" s="794" t="e">
        <f>NC_DKDD!H782</f>
        <v>#VALUE!</v>
      </c>
      <c r="F347" s="911"/>
      <c r="G347" s="795"/>
      <c r="H347" s="911"/>
      <c r="I347" s="911"/>
      <c r="J347" s="911"/>
      <c r="K347" s="911"/>
      <c r="L347" s="911"/>
      <c r="M347" s="911"/>
      <c r="N347" s="911"/>
      <c r="O347" s="794">
        <f t="shared" si="47"/>
        <v>614.80769230769238</v>
      </c>
      <c r="P347" s="830">
        <f t="shared" si="48"/>
        <v>534.61538461538464</v>
      </c>
      <c r="Q347" s="830">
        <f t="shared" si="46"/>
        <v>80.192307692307693</v>
      </c>
      <c r="R347" s="908">
        <f>NC_DKDD!G782</f>
        <v>0.1</v>
      </c>
      <c r="S347" s="832"/>
      <c r="T347" s="832"/>
      <c r="U347" s="832"/>
      <c r="V347" s="832"/>
      <c r="W347" s="832"/>
      <c r="X347" s="832"/>
      <c r="Y347" s="832"/>
      <c r="Z347" s="832"/>
      <c r="AA347" s="832"/>
      <c r="AB347" s="832"/>
      <c r="AC347" s="832"/>
      <c r="AD347" s="832"/>
      <c r="AE347" s="832"/>
      <c r="AF347" s="832"/>
      <c r="AG347" s="832"/>
      <c r="AH347" s="832"/>
      <c r="AI347" s="832"/>
      <c r="AJ347" s="832"/>
      <c r="AK347" s="832"/>
      <c r="AL347" s="832"/>
      <c r="AM347" s="832"/>
    </row>
    <row r="348" spans="1:39" s="907" customFormat="1" ht="14.25">
      <c r="A348" s="798">
        <v>7</v>
      </c>
      <c r="B348" s="799" t="s">
        <v>362</v>
      </c>
      <c r="C348" s="798" t="s">
        <v>375</v>
      </c>
      <c r="D348" s="792" t="s">
        <v>723</v>
      </c>
      <c r="E348" s="794" t="e">
        <f>NC_DKDD!H783</f>
        <v>#VALUE!</v>
      </c>
      <c r="F348" s="911"/>
      <c r="G348" s="795"/>
      <c r="H348" s="911"/>
      <c r="I348" s="911"/>
      <c r="J348" s="911"/>
      <c r="K348" s="911"/>
      <c r="L348" s="911"/>
      <c r="M348" s="911"/>
      <c r="N348" s="911"/>
      <c r="O348" s="794">
        <f t="shared" si="47"/>
        <v>657.84423076923065</v>
      </c>
      <c r="P348" s="830">
        <f t="shared" si="48"/>
        <v>572.03846153846143</v>
      </c>
      <c r="Q348" s="830">
        <f t="shared" si="46"/>
        <v>85.805769230769229</v>
      </c>
      <c r="R348" s="908">
        <f>NC_DKDD!G783</f>
        <v>0.107</v>
      </c>
      <c r="S348" s="832"/>
      <c r="T348" s="832"/>
      <c r="U348" s="832"/>
      <c r="V348" s="832"/>
      <c r="W348" s="832"/>
      <c r="X348" s="832"/>
      <c r="Y348" s="832"/>
      <c r="Z348" s="832"/>
      <c r="AA348" s="832"/>
      <c r="AB348" s="832"/>
      <c r="AC348" s="832"/>
      <c r="AD348" s="832"/>
      <c r="AE348" s="832"/>
      <c r="AF348" s="832"/>
      <c r="AG348" s="832"/>
      <c r="AH348" s="832"/>
      <c r="AI348" s="832"/>
      <c r="AJ348" s="832"/>
      <c r="AK348" s="832"/>
      <c r="AL348" s="832"/>
      <c r="AM348" s="832"/>
    </row>
    <row r="349" spans="1:39" s="907" customFormat="1" ht="21" customHeight="1">
      <c r="A349" s="798">
        <v>8</v>
      </c>
      <c r="B349" s="799" t="s">
        <v>80</v>
      </c>
      <c r="C349" s="798"/>
      <c r="D349" s="798"/>
      <c r="E349" s="794">
        <f>NC_DKDD!H784</f>
        <v>0</v>
      </c>
      <c r="F349" s="911"/>
      <c r="G349" s="795"/>
      <c r="H349" s="911"/>
      <c r="I349" s="911"/>
      <c r="J349" s="911"/>
      <c r="K349" s="911"/>
      <c r="L349" s="911"/>
      <c r="M349" s="911"/>
      <c r="N349" s="911"/>
      <c r="O349" s="794">
        <f t="shared" si="47"/>
        <v>0</v>
      </c>
      <c r="P349" s="830">
        <f t="shared" si="48"/>
        <v>0</v>
      </c>
      <c r="Q349" s="830">
        <f t="shared" si="46"/>
        <v>0</v>
      </c>
      <c r="R349" s="908">
        <f>NC_DKDD!G784</f>
        <v>0</v>
      </c>
      <c r="S349" s="832"/>
      <c r="T349" s="832"/>
      <c r="U349" s="832"/>
      <c r="V349" s="832"/>
      <c r="W349" s="832"/>
      <c r="X349" s="832"/>
      <c r="Y349" s="832"/>
      <c r="Z349" s="832"/>
      <c r="AA349" s="832"/>
      <c r="AB349" s="832"/>
      <c r="AC349" s="832"/>
      <c r="AD349" s="832"/>
      <c r="AE349" s="832"/>
      <c r="AF349" s="832"/>
      <c r="AG349" s="832"/>
      <c r="AH349" s="832"/>
      <c r="AI349" s="832"/>
      <c r="AJ349" s="832"/>
      <c r="AK349" s="832"/>
      <c r="AL349" s="832"/>
      <c r="AM349" s="832"/>
    </row>
    <row r="350" spans="1:39" s="907" customFormat="1" ht="24" customHeight="1">
      <c r="A350" s="798" t="s">
        <v>191</v>
      </c>
      <c r="B350" s="799" t="s">
        <v>82</v>
      </c>
      <c r="C350" s="798" t="s">
        <v>559</v>
      </c>
      <c r="D350" s="792" t="s">
        <v>723</v>
      </c>
      <c r="E350" s="794" t="e">
        <f>NC_DKDD!H785</f>
        <v>#VALUE!</v>
      </c>
      <c r="F350" s="911"/>
      <c r="G350" s="795"/>
      <c r="H350" s="911"/>
      <c r="I350" s="911"/>
      <c r="J350" s="911"/>
      <c r="K350" s="911"/>
      <c r="L350" s="911"/>
      <c r="M350" s="911"/>
      <c r="N350" s="911"/>
      <c r="O350" s="794">
        <f t="shared" ref="O350:O365" si="49">P350+Q350</f>
        <v>614.80769230769238</v>
      </c>
      <c r="P350" s="830">
        <f t="shared" ref="P350:P365" si="50">R350*P$206</f>
        <v>534.61538461538464</v>
      </c>
      <c r="Q350" s="830">
        <f t="shared" si="46"/>
        <v>80.192307692307693</v>
      </c>
      <c r="R350" s="908">
        <f>NC_DKDD!G785</f>
        <v>0.1</v>
      </c>
      <c r="S350" s="832"/>
      <c r="T350" s="832"/>
      <c r="U350" s="832"/>
      <c r="V350" s="832"/>
      <c r="W350" s="832"/>
      <c r="X350" s="832"/>
      <c r="Y350" s="832"/>
      <c r="Z350" s="832"/>
      <c r="AA350" s="832"/>
      <c r="AB350" s="832"/>
      <c r="AC350" s="832"/>
      <c r="AD350" s="832"/>
      <c r="AE350" s="832"/>
      <c r="AF350" s="832"/>
      <c r="AG350" s="832"/>
      <c r="AH350" s="832"/>
      <c r="AI350" s="832"/>
      <c r="AJ350" s="832"/>
      <c r="AK350" s="832"/>
      <c r="AL350" s="832"/>
      <c r="AM350" s="832"/>
    </row>
    <row r="351" spans="1:39" s="907" customFormat="1" ht="26.25" customHeight="1">
      <c r="A351" s="798" t="s">
        <v>192</v>
      </c>
      <c r="B351" s="799" t="s">
        <v>84</v>
      </c>
      <c r="C351" s="798" t="s">
        <v>559</v>
      </c>
      <c r="D351" s="792" t="s">
        <v>723</v>
      </c>
      <c r="E351" s="794" t="e">
        <f>NC_DKDD!H786</f>
        <v>#VALUE!</v>
      </c>
      <c r="F351" s="911"/>
      <c r="G351" s="795"/>
      <c r="H351" s="911"/>
      <c r="I351" s="911"/>
      <c r="J351" s="911"/>
      <c r="K351" s="911"/>
      <c r="L351" s="911"/>
      <c r="M351" s="911"/>
      <c r="N351" s="911"/>
      <c r="O351" s="794">
        <f t="shared" si="49"/>
        <v>922.21153846153834</v>
      </c>
      <c r="P351" s="830">
        <f t="shared" si="50"/>
        <v>801.92307692307679</v>
      </c>
      <c r="Q351" s="830">
        <f t="shared" si="46"/>
        <v>120.28846153846153</v>
      </c>
      <c r="R351" s="908">
        <f>NC_DKDD!G786</f>
        <v>0.15</v>
      </c>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row>
    <row r="352" spans="1:39" s="907" customFormat="1" ht="43.5" customHeight="1">
      <c r="A352" s="798">
        <v>9</v>
      </c>
      <c r="B352" s="799" t="s">
        <v>372</v>
      </c>
      <c r="C352" s="798" t="s">
        <v>532</v>
      </c>
      <c r="D352" s="792" t="s">
        <v>723</v>
      </c>
      <c r="E352" s="794" t="e">
        <f>NC_DKDD!H787</f>
        <v>#VALUE!</v>
      </c>
      <c r="F352" s="911"/>
      <c r="G352" s="795"/>
      <c r="H352" s="911"/>
      <c r="I352" s="911"/>
      <c r="J352" s="911"/>
      <c r="K352" s="911"/>
      <c r="L352" s="911"/>
      <c r="M352" s="911"/>
      <c r="N352" s="911"/>
      <c r="O352" s="794">
        <f t="shared" si="49"/>
        <v>3074.0384615384614</v>
      </c>
      <c r="P352" s="830">
        <f t="shared" si="50"/>
        <v>2673.0769230769229</v>
      </c>
      <c r="Q352" s="830">
        <f t="shared" si="46"/>
        <v>400.96153846153845</v>
      </c>
      <c r="R352" s="908">
        <f>NC_DKDD!G787</f>
        <v>0.5</v>
      </c>
      <c r="S352" s="832"/>
      <c r="T352" s="832"/>
      <c r="U352" s="832"/>
      <c r="V352" s="832"/>
      <c r="W352" s="832"/>
      <c r="X352" s="832"/>
      <c r="Y352" s="832"/>
      <c r="Z352" s="832"/>
      <c r="AA352" s="832"/>
      <c r="AB352" s="832"/>
      <c r="AC352" s="832"/>
      <c r="AD352" s="832"/>
      <c r="AE352" s="832"/>
      <c r="AF352" s="832"/>
      <c r="AG352" s="832"/>
      <c r="AH352" s="832"/>
      <c r="AI352" s="832"/>
      <c r="AJ352" s="832"/>
      <c r="AK352" s="832"/>
      <c r="AL352" s="832"/>
      <c r="AM352" s="832"/>
    </row>
    <row r="353" spans="1:39" s="907" customFormat="1" ht="45.75" customHeight="1">
      <c r="A353" s="798">
        <v>10</v>
      </c>
      <c r="B353" s="799" t="s">
        <v>699</v>
      </c>
      <c r="C353" s="798" t="s">
        <v>532</v>
      </c>
      <c r="D353" s="792" t="s">
        <v>723</v>
      </c>
      <c r="E353" s="794" t="e">
        <f>NC_DKDD!H788</f>
        <v>#VALUE!</v>
      </c>
      <c r="F353" s="911"/>
      <c r="G353" s="795"/>
      <c r="H353" s="911"/>
      <c r="I353" s="911"/>
      <c r="J353" s="911"/>
      <c r="K353" s="911"/>
      <c r="L353" s="911"/>
      <c r="M353" s="911"/>
      <c r="N353" s="911"/>
      <c r="O353" s="794">
        <f t="shared" si="49"/>
        <v>2889.5961538461534</v>
      </c>
      <c r="P353" s="830">
        <f t="shared" si="50"/>
        <v>2512.6923076923072</v>
      </c>
      <c r="Q353" s="830">
        <f t="shared" si="46"/>
        <v>376.90384615384613</v>
      </c>
      <c r="R353" s="908">
        <f>NC_DKDD!G788</f>
        <v>0.47</v>
      </c>
      <c r="S353" s="832"/>
      <c r="T353" s="832"/>
      <c r="U353" s="832"/>
      <c r="V353" s="832"/>
      <c r="W353" s="832"/>
      <c r="X353" s="832"/>
      <c r="Y353" s="832"/>
      <c r="Z353" s="832"/>
      <c r="AA353" s="832"/>
      <c r="AB353" s="832"/>
      <c r="AC353" s="832"/>
      <c r="AD353" s="832"/>
      <c r="AE353" s="832"/>
      <c r="AF353" s="832"/>
      <c r="AG353" s="832"/>
      <c r="AH353" s="832"/>
      <c r="AI353" s="832"/>
      <c r="AJ353" s="832"/>
      <c r="AK353" s="832"/>
      <c r="AL353" s="832"/>
      <c r="AM353" s="832"/>
    </row>
    <row r="354" spans="1:39" s="907" customFormat="1" ht="26.25" customHeight="1">
      <c r="A354" s="798">
        <v>11</v>
      </c>
      <c r="B354" s="799" t="s">
        <v>88</v>
      </c>
      <c r="C354" s="798"/>
      <c r="D354" s="798"/>
      <c r="E354" s="794">
        <f>NC_DKDD!H789</f>
        <v>0</v>
      </c>
      <c r="F354" s="911"/>
      <c r="G354" s="795"/>
      <c r="H354" s="911"/>
      <c r="I354" s="911"/>
      <c r="J354" s="911"/>
      <c r="K354" s="911"/>
      <c r="L354" s="911"/>
      <c r="M354" s="911"/>
      <c r="N354" s="911"/>
      <c r="O354" s="794">
        <f t="shared" si="49"/>
        <v>0</v>
      </c>
      <c r="P354" s="830">
        <f t="shared" si="50"/>
        <v>0</v>
      </c>
      <c r="Q354" s="830">
        <f t="shared" si="46"/>
        <v>0</v>
      </c>
      <c r="R354" s="908">
        <f>NC_DKDD!G789</f>
        <v>0</v>
      </c>
      <c r="S354" s="832"/>
      <c r="T354" s="832"/>
      <c r="U354" s="832"/>
      <c r="V354" s="832"/>
      <c r="W354" s="832"/>
      <c r="X354" s="832"/>
      <c r="Y354" s="832"/>
      <c r="Z354" s="832"/>
      <c r="AA354" s="832"/>
      <c r="AB354" s="832"/>
      <c r="AC354" s="832"/>
      <c r="AD354" s="832"/>
      <c r="AE354" s="832"/>
      <c r="AF354" s="832"/>
      <c r="AG354" s="832"/>
      <c r="AH354" s="832"/>
      <c r="AI354" s="832"/>
      <c r="AJ354" s="832"/>
      <c r="AK354" s="832"/>
      <c r="AL354" s="832"/>
      <c r="AM354" s="832"/>
    </row>
    <row r="355" spans="1:39" s="907" customFormat="1" ht="28.5">
      <c r="A355" s="798" t="s">
        <v>719</v>
      </c>
      <c r="B355" s="799" t="s">
        <v>775</v>
      </c>
      <c r="C355" s="798"/>
      <c r="D355" s="798"/>
      <c r="E355" s="794">
        <f>NC_DKDD!H790</f>
        <v>0</v>
      </c>
      <c r="F355" s="911"/>
      <c r="G355" s="795"/>
      <c r="H355" s="911"/>
      <c r="I355" s="911"/>
      <c r="J355" s="911"/>
      <c r="K355" s="911"/>
      <c r="L355" s="911"/>
      <c r="M355" s="911"/>
      <c r="N355" s="911"/>
      <c r="O355" s="794">
        <f t="shared" si="49"/>
        <v>0</v>
      </c>
      <c r="P355" s="830">
        <f t="shared" si="50"/>
        <v>0</v>
      </c>
      <c r="Q355" s="830">
        <f t="shared" si="46"/>
        <v>0</v>
      </c>
      <c r="R355" s="908">
        <f>NC_DKDD!G790</f>
        <v>0</v>
      </c>
      <c r="S355" s="832"/>
      <c r="T355" s="832"/>
      <c r="U355" s="832"/>
      <c r="V355" s="832"/>
      <c r="W355" s="832"/>
      <c r="X355" s="832"/>
      <c r="Y355" s="832"/>
      <c r="Z355" s="832"/>
      <c r="AA355" s="832"/>
      <c r="AB355" s="832"/>
      <c r="AC355" s="832"/>
      <c r="AD355" s="832"/>
      <c r="AE355" s="832"/>
      <c r="AF355" s="832"/>
      <c r="AG355" s="832"/>
      <c r="AH355" s="832"/>
      <c r="AI355" s="832"/>
      <c r="AJ355" s="832"/>
      <c r="AK355" s="832"/>
      <c r="AL355" s="832"/>
      <c r="AM355" s="832"/>
    </row>
    <row r="356" spans="1:39" s="907" customFormat="1" ht="25.5" customHeight="1">
      <c r="A356" s="798" t="s">
        <v>365</v>
      </c>
      <c r="B356" s="799" t="s">
        <v>777</v>
      </c>
      <c r="C356" s="798" t="s">
        <v>377</v>
      </c>
      <c r="D356" s="792" t="s">
        <v>723</v>
      </c>
      <c r="E356" s="794" t="e">
        <f>NC_DKDD!H791</f>
        <v>#VALUE!</v>
      </c>
      <c r="F356" s="911"/>
      <c r="G356" s="795"/>
      <c r="H356" s="911"/>
      <c r="I356" s="911"/>
      <c r="J356" s="911"/>
      <c r="K356" s="911"/>
      <c r="L356" s="911"/>
      <c r="M356" s="911"/>
      <c r="N356" s="911"/>
      <c r="O356" s="794">
        <f t="shared" si="49"/>
        <v>98.369230769230768</v>
      </c>
      <c r="P356" s="830">
        <f t="shared" si="50"/>
        <v>85.538461538461533</v>
      </c>
      <c r="Q356" s="830">
        <f t="shared" si="46"/>
        <v>12.830769230769231</v>
      </c>
      <c r="R356" s="908">
        <f>NC_DKDD!G791</f>
        <v>1.6E-2</v>
      </c>
      <c r="S356" s="832"/>
      <c r="T356" s="832"/>
      <c r="U356" s="832"/>
      <c r="V356" s="832"/>
      <c r="W356" s="832"/>
      <c r="X356" s="832"/>
      <c r="Y356" s="832"/>
      <c r="Z356" s="832"/>
      <c r="AA356" s="832"/>
      <c r="AB356" s="832"/>
      <c r="AC356" s="832"/>
      <c r="AD356" s="832"/>
      <c r="AE356" s="832"/>
      <c r="AF356" s="832"/>
      <c r="AG356" s="832"/>
      <c r="AH356" s="832"/>
      <c r="AI356" s="832"/>
      <c r="AJ356" s="832"/>
      <c r="AK356" s="832"/>
      <c r="AL356" s="832"/>
      <c r="AM356" s="832"/>
    </row>
    <row r="357" spans="1:39" s="907" customFormat="1" ht="25.5" customHeight="1">
      <c r="A357" s="798" t="s">
        <v>366</v>
      </c>
      <c r="B357" s="799" t="s">
        <v>781</v>
      </c>
      <c r="C357" s="798" t="s">
        <v>377</v>
      </c>
      <c r="D357" s="792" t="s">
        <v>723</v>
      </c>
      <c r="E357" s="794" t="e">
        <f>NC_DKDD!H792</f>
        <v>#VALUE!</v>
      </c>
      <c r="F357" s="911"/>
      <c r="G357" s="795"/>
      <c r="H357" s="911"/>
      <c r="I357" s="911"/>
      <c r="J357" s="911"/>
      <c r="K357" s="911"/>
      <c r="L357" s="911"/>
      <c r="M357" s="911"/>
      <c r="N357" s="911"/>
      <c r="O357" s="794">
        <f t="shared" si="49"/>
        <v>49.184615384615384</v>
      </c>
      <c r="P357" s="830">
        <f t="shared" si="50"/>
        <v>42.769230769230766</v>
      </c>
      <c r="Q357" s="830">
        <f t="shared" si="46"/>
        <v>6.4153846153846157</v>
      </c>
      <c r="R357" s="908">
        <f>NC_DKDD!G792</f>
        <v>8.0000000000000002E-3</v>
      </c>
      <c r="S357" s="832"/>
      <c r="T357" s="832"/>
      <c r="U357" s="832"/>
      <c r="V357" s="832"/>
      <c r="W357" s="832"/>
      <c r="X357" s="832"/>
      <c r="Y357" s="832"/>
      <c r="Z357" s="832"/>
      <c r="AA357" s="832"/>
      <c r="AB357" s="832"/>
      <c r="AC357" s="832"/>
      <c r="AD357" s="832"/>
      <c r="AE357" s="832"/>
      <c r="AF357" s="832"/>
      <c r="AG357" s="832"/>
      <c r="AH357" s="832"/>
      <c r="AI357" s="832"/>
      <c r="AJ357" s="832"/>
      <c r="AK357" s="832"/>
      <c r="AL357" s="832"/>
      <c r="AM357" s="832"/>
    </row>
    <row r="358" spans="1:39" s="907" customFormat="1" ht="30.75" customHeight="1">
      <c r="A358" s="798" t="s">
        <v>720</v>
      </c>
      <c r="B358" s="799" t="s">
        <v>861</v>
      </c>
      <c r="C358" s="798" t="s">
        <v>377</v>
      </c>
      <c r="D358" s="792" t="s">
        <v>723</v>
      </c>
      <c r="E358" s="794" t="e">
        <f>NC_DKDD!H793</f>
        <v>#VALUE!</v>
      </c>
      <c r="F358" s="911"/>
      <c r="G358" s="795"/>
      <c r="H358" s="911"/>
      <c r="I358" s="911"/>
      <c r="J358" s="911"/>
      <c r="K358" s="911"/>
      <c r="L358" s="911"/>
      <c r="M358" s="911"/>
      <c r="N358" s="911"/>
      <c r="O358" s="794">
        <f t="shared" si="49"/>
        <v>24.592307692307692</v>
      </c>
      <c r="P358" s="830">
        <f t="shared" si="50"/>
        <v>21.384615384615383</v>
      </c>
      <c r="Q358" s="830">
        <f t="shared" si="46"/>
        <v>3.2076923076923078</v>
      </c>
      <c r="R358" s="908">
        <f>NC_DKDD!G793</f>
        <v>4.0000000000000001E-3</v>
      </c>
      <c r="S358" s="832"/>
      <c r="T358" s="832"/>
      <c r="U358" s="832"/>
      <c r="V358" s="832"/>
      <c r="W358" s="832"/>
      <c r="X358" s="832"/>
      <c r="Y358" s="832"/>
      <c r="Z358" s="832"/>
      <c r="AA358" s="832"/>
      <c r="AB358" s="832"/>
      <c r="AC358" s="832"/>
      <c r="AD358" s="832"/>
      <c r="AE358" s="832"/>
      <c r="AF358" s="832"/>
      <c r="AG358" s="832"/>
      <c r="AH358" s="832"/>
      <c r="AI358" s="832"/>
      <c r="AJ358" s="832"/>
      <c r="AK358" s="832"/>
      <c r="AL358" s="832"/>
      <c r="AM358" s="832"/>
    </row>
    <row r="359" spans="1:39" s="907" customFormat="1" ht="27" customHeight="1">
      <c r="A359" s="798" t="s">
        <v>721</v>
      </c>
      <c r="B359" s="799" t="s">
        <v>863</v>
      </c>
      <c r="C359" s="798" t="s">
        <v>375</v>
      </c>
      <c r="D359" s="792" t="s">
        <v>723</v>
      </c>
      <c r="E359" s="794" t="e">
        <f>NC_DKDD!H794</f>
        <v>#VALUE!</v>
      </c>
      <c r="F359" s="911"/>
      <c r="G359" s="795"/>
      <c r="H359" s="911"/>
      <c r="I359" s="911"/>
      <c r="J359" s="911"/>
      <c r="K359" s="911"/>
      <c r="L359" s="911"/>
      <c r="M359" s="911"/>
      <c r="N359" s="911"/>
      <c r="O359" s="794">
        <f t="shared" si="49"/>
        <v>61.480769230769226</v>
      </c>
      <c r="P359" s="830">
        <f t="shared" si="50"/>
        <v>53.46153846153846</v>
      </c>
      <c r="Q359" s="830">
        <f t="shared" si="46"/>
        <v>8.0192307692307701</v>
      </c>
      <c r="R359" s="908">
        <f>NC_DKDD!G794</f>
        <v>0.01</v>
      </c>
      <c r="S359" s="832"/>
      <c r="T359" s="832"/>
      <c r="U359" s="832"/>
      <c r="V359" s="832"/>
      <c r="W359" s="832"/>
      <c r="X359" s="832"/>
      <c r="Y359" s="832"/>
      <c r="Z359" s="832"/>
      <c r="AA359" s="832"/>
      <c r="AB359" s="832"/>
      <c r="AC359" s="832"/>
      <c r="AD359" s="832"/>
      <c r="AE359" s="832"/>
      <c r="AF359" s="832"/>
      <c r="AG359" s="832"/>
      <c r="AH359" s="832"/>
      <c r="AI359" s="832"/>
      <c r="AJ359" s="832"/>
      <c r="AK359" s="832"/>
      <c r="AL359" s="832"/>
      <c r="AM359" s="832"/>
    </row>
    <row r="360" spans="1:39" s="907" customFormat="1" ht="57">
      <c r="A360" s="798">
        <v>12</v>
      </c>
      <c r="B360" s="799" t="s">
        <v>108</v>
      </c>
      <c r="C360" s="798" t="s">
        <v>532</v>
      </c>
      <c r="D360" s="792" t="s">
        <v>723</v>
      </c>
      <c r="E360" s="794" t="e">
        <f>NC_DKDD!H795</f>
        <v>#VALUE!</v>
      </c>
      <c r="F360" s="911"/>
      <c r="G360" s="795"/>
      <c r="H360" s="911"/>
      <c r="I360" s="911"/>
      <c r="J360" s="911"/>
      <c r="K360" s="911"/>
      <c r="L360" s="911"/>
      <c r="M360" s="911"/>
      <c r="N360" s="911"/>
      <c r="O360" s="794">
        <f t="shared" si="49"/>
        <v>307.40384615384619</v>
      </c>
      <c r="P360" s="830">
        <f t="shared" si="50"/>
        <v>267.30769230769232</v>
      </c>
      <c r="Q360" s="830">
        <f t="shared" si="46"/>
        <v>40.096153846153847</v>
      </c>
      <c r="R360" s="908">
        <f>NC_DKDD!G795</f>
        <v>0.05</v>
      </c>
      <c r="S360" s="832"/>
      <c r="T360" s="832"/>
      <c r="U360" s="832"/>
      <c r="V360" s="832"/>
      <c r="W360" s="832"/>
      <c r="X360" s="832"/>
      <c r="Y360" s="832"/>
      <c r="Z360" s="832"/>
      <c r="AA360" s="832"/>
      <c r="AB360" s="832"/>
      <c r="AC360" s="832"/>
      <c r="AD360" s="832"/>
      <c r="AE360" s="832"/>
      <c r="AF360" s="832"/>
      <c r="AG360" s="832"/>
      <c r="AH360" s="832"/>
      <c r="AI360" s="832"/>
      <c r="AJ360" s="832"/>
      <c r="AK360" s="832"/>
      <c r="AL360" s="832"/>
      <c r="AM360" s="832"/>
    </row>
    <row r="361" spans="1:39" s="907" customFormat="1" ht="27.75" customHeight="1">
      <c r="A361" s="798">
        <v>13</v>
      </c>
      <c r="B361" s="799" t="s">
        <v>109</v>
      </c>
      <c r="C361" s="798" t="s">
        <v>532</v>
      </c>
      <c r="D361" s="792" t="s">
        <v>723</v>
      </c>
      <c r="E361" s="794" t="e">
        <f>NC_DKDD!H796</f>
        <v>#VALUE!</v>
      </c>
      <c r="F361" s="911"/>
      <c r="G361" s="795"/>
      <c r="H361" s="911"/>
      <c r="I361" s="911"/>
      <c r="J361" s="911"/>
      <c r="K361" s="911"/>
      <c r="L361" s="911"/>
      <c r="M361" s="911"/>
      <c r="N361" s="911"/>
      <c r="O361" s="794">
        <f t="shared" si="49"/>
        <v>307.40384615384619</v>
      </c>
      <c r="P361" s="830">
        <f t="shared" si="50"/>
        <v>267.30769230769232</v>
      </c>
      <c r="Q361" s="830">
        <f t="shared" si="46"/>
        <v>40.096153846153847</v>
      </c>
      <c r="R361" s="908">
        <f>NC_DKDD!G796</f>
        <v>0.05</v>
      </c>
      <c r="S361" s="832"/>
      <c r="T361" s="832"/>
      <c r="U361" s="832"/>
      <c r="V361" s="832"/>
      <c r="W361" s="832"/>
      <c r="X361" s="832"/>
      <c r="Y361" s="832"/>
      <c r="Z361" s="832"/>
      <c r="AA361" s="832"/>
      <c r="AB361" s="832"/>
      <c r="AC361" s="832"/>
      <c r="AD361" s="832"/>
      <c r="AE361" s="832"/>
      <c r="AF361" s="832"/>
      <c r="AG361" s="832"/>
      <c r="AH361" s="832"/>
      <c r="AI361" s="832"/>
      <c r="AJ361" s="832"/>
      <c r="AK361" s="832"/>
      <c r="AL361" s="832"/>
      <c r="AM361" s="832"/>
    </row>
    <row r="362" spans="1:39" s="907" customFormat="1" ht="24.75" customHeight="1">
      <c r="A362" s="791" t="s">
        <v>1005</v>
      </c>
      <c r="B362" s="787" t="s">
        <v>582</v>
      </c>
      <c r="C362" s="798"/>
      <c r="D362" s="798"/>
      <c r="E362" s="793" t="e">
        <f>E363</f>
        <v>#VALUE!</v>
      </c>
      <c r="F362" s="911"/>
      <c r="G362" s="795"/>
      <c r="H362" s="911"/>
      <c r="I362" s="911"/>
      <c r="J362" s="911"/>
      <c r="K362" s="911"/>
      <c r="L362" s="796" t="e">
        <f>SUM(E362:K362)</f>
        <v>#VALUE!</v>
      </c>
      <c r="M362" s="796" t="e">
        <f>L362*'He so chung'!$D$17/100</f>
        <v>#VALUE!</v>
      </c>
      <c r="N362" s="796" t="e">
        <f>L362+M362</f>
        <v>#VALUE!</v>
      </c>
      <c r="O362" s="793">
        <f>O363</f>
        <v>122.96153846153845</v>
      </c>
      <c r="P362" s="830">
        <f t="shared" si="50"/>
        <v>0</v>
      </c>
      <c r="Q362" s="830">
        <f t="shared" si="46"/>
        <v>0</v>
      </c>
      <c r="R362" s="908">
        <f>NC_DKDD!G797</f>
        <v>0</v>
      </c>
      <c r="S362" s="832"/>
      <c r="T362" s="832"/>
      <c r="U362" s="832"/>
      <c r="V362" s="832"/>
      <c r="W362" s="832"/>
      <c r="X362" s="832"/>
      <c r="Y362" s="832"/>
      <c r="Z362" s="832"/>
      <c r="AA362" s="832"/>
      <c r="AB362" s="832"/>
      <c r="AC362" s="832"/>
      <c r="AD362" s="832"/>
      <c r="AE362" s="832"/>
      <c r="AF362" s="832"/>
      <c r="AG362" s="832"/>
      <c r="AH362" s="832"/>
      <c r="AI362" s="832"/>
      <c r="AJ362" s="832"/>
      <c r="AK362" s="832"/>
      <c r="AL362" s="832"/>
      <c r="AM362" s="832"/>
    </row>
    <row r="363" spans="1:39" s="907" customFormat="1" ht="29.25" customHeight="1">
      <c r="A363" s="798">
        <v>1</v>
      </c>
      <c r="B363" s="799" t="s">
        <v>626</v>
      </c>
      <c r="C363" s="798" t="s">
        <v>532</v>
      </c>
      <c r="D363" s="792" t="s">
        <v>723</v>
      </c>
      <c r="E363" s="794" t="e">
        <f>NC_DKDD!H798</f>
        <v>#VALUE!</v>
      </c>
      <c r="F363" s="911"/>
      <c r="G363" s="795"/>
      <c r="H363" s="911"/>
      <c r="I363" s="911"/>
      <c r="J363" s="911"/>
      <c r="K363" s="911"/>
      <c r="L363" s="911"/>
      <c r="M363" s="911"/>
      <c r="N363" s="911"/>
      <c r="O363" s="794">
        <f t="shared" si="49"/>
        <v>122.96153846153845</v>
      </c>
      <c r="P363" s="830">
        <f t="shared" si="50"/>
        <v>106.92307692307692</v>
      </c>
      <c r="Q363" s="830">
        <f t="shared" si="46"/>
        <v>16.03846153846154</v>
      </c>
      <c r="R363" s="908">
        <f>NC_DKDD!G798</f>
        <v>0.02</v>
      </c>
      <c r="S363" s="832"/>
      <c r="T363" s="832"/>
      <c r="U363" s="832"/>
      <c r="V363" s="832"/>
      <c r="W363" s="832"/>
      <c r="X363" s="832"/>
      <c r="Y363" s="832"/>
      <c r="Z363" s="832"/>
      <c r="AA363" s="832"/>
      <c r="AB363" s="832"/>
      <c r="AC363" s="832"/>
      <c r="AD363" s="832"/>
      <c r="AE363" s="832"/>
      <c r="AF363" s="832"/>
      <c r="AG363" s="832"/>
      <c r="AH363" s="832"/>
      <c r="AI363" s="832"/>
      <c r="AJ363" s="832"/>
      <c r="AK363" s="832"/>
      <c r="AL363" s="832"/>
      <c r="AM363" s="832"/>
    </row>
    <row r="364" spans="1:39" s="907" customFormat="1" ht="24" customHeight="1">
      <c r="A364" s="791" t="s">
        <v>755</v>
      </c>
      <c r="B364" s="787" t="s">
        <v>460</v>
      </c>
      <c r="C364" s="798"/>
      <c r="D364" s="909"/>
      <c r="E364" s="793" t="e">
        <f>E365</f>
        <v>#VALUE!</v>
      </c>
      <c r="F364" s="911"/>
      <c r="G364" s="795"/>
      <c r="H364" s="913">
        <f>'Dcu-DKDD'!$H$280</f>
        <v>93.74171153846153</v>
      </c>
      <c r="I364" s="911">
        <f>'VL-DKDD'!$F$283</f>
        <v>885.6</v>
      </c>
      <c r="J364" s="911"/>
      <c r="K364" s="911"/>
      <c r="L364" s="796" t="e">
        <f>SUM(E364:K364)</f>
        <v>#VALUE!</v>
      </c>
      <c r="M364" s="796" t="e">
        <f>L364*'He so chung'!$D$17/100</f>
        <v>#VALUE!</v>
      </c>
      <c r="N364" s="796" t="e">
        <f>L364+M364</f>
        <v>#VALUE!</v>
      </c>
      <c r="O364" s="793">
        <f>O365</f>
        <v>122.96153846153845</v>
      </c>
      <c r="P364" s="830">
        <f t="shared" si="50"/>
        <v>0</v>
      </c>
      <c r="Q364" s="830">
        <f t="shared" si="46"/>
        <v>0</v>
      </c>
      <c r="R364" s="908">
        <f>NC_DKDD!G799</f>
        <v>0</v>
      </c>
      <c r="S364" s="832"/>
      <c r="T364" s="832"/>
      <c r="U364" s="832"/>
      <c r="V364" s="832"/>
      <c r="W364" s="832"/>
      <c r="X364" s="832"/>
      <c r="Y364" s="832"/>
      <c r="Z364" s="832"/>
      <c r="AA364" s="832"/>
      <c r="AB364" s="832"/>
      <c r="AC364" s="832"/>
      <c r="AD364" s="832"/>
      <c r="AE364" s="832"/>
      <c r="AF364" s="832"/>
      <c r="AG364" s="832"/>
      <c r="AH364" s="832"/>
      <c r="AI364" s="832"/>
      <c r="AJ364" s="832"/>
      <c r="AK364" s="832"/>
      <c r="AL364" s="832"/>
      <c r="AM364" s="832"/>
    </row>
    <row r="365" spans="1:39" s="907" customFormat="1" ht="31.5" customHeight="1">
      <c r="A365" s="798">
        <v>1</v>
      </c>
      <c r="B365" s="799" t="s">
        <v>627</v>
      </c>
      <c r="C365" s="798" t="s">
        <v>532</v>
      </c>
      <c r="D365" s="792" t="s">
        <v>723</v>
      </c>
      <c r="E365" s="794" t="e">
        <f>NC_DKDD!H800</f>
        <v>#VALUE!</v>
      </c>
      <c r="F365" s="911"/>
      <c r="G365" s="795"/>
      <c r="H365" s="911"/>
      <c r="I365" s="911"/>
      <c r="J365" s="911"/>
      <c r="K365" s="911"/>
      <c r="L365" s="911"/>
      <c r="M365" s="911"/>
      <c r="N365" s="911"/>
      <c r="O365" s="794">
        <f t="shared" si="49"/>
        <v>122.96153846153845</v>
      </c>
      <c r="P365" s="830">
        <f t="shared" si="50"/>
        <v>106.92307692307692</v>
      </c>
      <c r="Q365" s="830">
        <f t="shared" si="46"/>
        <v>16.03846153846154</v>
      </c>
      <c r="R365" s="908">
        <f>NC_DKDD!G800</f>
        <v>0.02</v>
      </c>
      <c r="S365" s="832"/>
      <c r="T365" s="832"/>
      <c r="U365" s="832"/>
      <c r="V365" s="832"/>
      <c r="W365" s="832"/>
      <c r="X365" s="832"/>
      <c r="Y365" s="832"/>
      <c r="Z365" s="832"/>
      <c r="AA365" s="832"/>
      <c r="AB365" s="832"/>
      <c r="AC365" s="832"/>
      <c r="AD365" s="832"/>
      <c r="AE365" s="832"/>
      <c r="AF365" s="832"/>
      <c r="AG365" s="832"/>
      <c r="AH365" s="832"/>
      <c r="AI365" s="832"/>
      <c r="AJ365" s="832"/>
      <c r="AK365" s="832"/>
      <c r="AL365" s="832"/>
      <c r="AM365" s="832"/>
    </row>
    <row r="366" spans="1:39" ht="21.75" customHeight="1">
      <c r="B366" s="1073" t="s">
        <v>833</v>
      </c>
      <c r="C366" s="1073"/>
      <c r="D366" s="1073"/>
      <c r="E366" s="1073"/>
      <c r="F366" s="1073"/>
      <c r="G366" s="1073"/>
      <c r="H366" s="1073"/>
      <c r="I366" s="1073"/>
      <c r="J366" s="1073"/>
      <c r="K366" s="1073"/>
      <c r="L366" s="1073"/>
      <c r="M366" s="1073"/>
      <c r="N366" s="1073"/>
      <c r="O366" s="1073"/>
      <c r="R366" s="806"/>
    </row>
    <row r="367" spans="1:39" ht="21.75" customHeight="1">
      <c r="B367" s="1073" t="s">
        <v>513</v>
      </c>
      <c r="C367" s="1073"/>
      <c r="D367" s="1073"/>
      <c r="E367" s="1073"/>
      <c r="F367" s="1073"/>
      <c r="G367" s="1073"/>
      <c r="H367" s="1073"/>
      <c r="I367" s="1073"/>
      <c r="J367" s="1073"/>
      <c r="K367" s="1073"/>
      <c r="L367" s="1073"/>
      <c r="M367" s="1073"/>
      <c r="N367" s="1073"/>
      <c r="O367" s="1073"/>
      <c r="R367" s="806"/>
    </row>
    <row r="368" spans="1:39">
      <c r="R368" s="806"/>
    </row>
    <row r="369" spans="1:39" ht="30" customHeight="1">
      <c r="A369" s="1070" t="s">
        <v>137</v>
      </c>
      <c r="B369" s="1070"/>
      <c r="C369" s="1070"/>
      <c r="D369" s="1070"/>
      <c r="E369" s="1070"/>
      <c r="F369" s="1070"/>
      <c r="G369" s="1070"/>
      <c r="H369" s="1070"/>
      <c r="I369" s="1070"/>
      <c r="J369" s="1070"/>
      <c r="K369" s="1070"/>
      <c r="L369" s="1070"/>
      <c r="M369" s="1070"/>
      <c r="N369" s="1070"/>
      <c r="O369" s="1070"/>
      <c r="P369" s="420"/>
      <c r="Q369" s="420"/>
      <c r="R369" s="806"/>
    </row>
    <row r="370" spans="1:39" ht="21" customHeight="1">
      <c r="A370" s="414"/>
      <c r="B370" s="415"/>
      <c r="C370" s="776"/>
      <c r="D370" s="777" t="s">
        <v>430</v>
      </c>
      <c r="E370" s="419"/>
      <c r="F370" s="778"/>
      <c r="G370" s="779"/>
      <c r="H370" s="778"/>
      <c r="I370" s="780"/>
      <c r="J370" s="778"/>
      <c r="K370" s="778"/>
      <c r="L370" s="781" t="s">
        <v>262</v>
      </c>
      <c r="M370" s="778"/>
      <c r="N370" s="780"/>
      <c r="O370" s="419"/>
      <c r="P370" s="420"/>
      <c r="Q370" s="420"/>
      <c r="R370" s="820"/>
    </row>
    <row r="371" spans="1:39" s="907" customFormat="1" ht="27.75" customHeight="1">
      <c r="A371" s="1068" t="s">
        <v>718</v>
      </c>
      <c r="B371" s="1068" t="s">
        <v>198</v>
      </c>
      <c r="C371" s="1071" t="s">
        <v>263</v>
      </c>
      <c r="D371" s="1071" t="s">
        <v>264</v>
      </c>
      <c r="E371" s="1071" t="s">
        <v>683</v>
      </c>
      <c r="F371" s="1071"/>
      <c r="G371" s="1071"/>
      <c r="H371" s="1071"/>
      <c r="I371" s="1071"/>
      <c r="J371" s="1071"/>
      <c r="K371" s="1071"/>
      <c r="L371" s="1071"/>
      <c r="M371" s="1071" t="s">
        <v>435</v>
      </c>
      <c r="N371" s="1071" t="s">
        <v>684</v>
      </c>
      <c r="O371" s="1071" t="s">
        <v>685</v>
      </c>
      <c r="P371" s="830"/>
      <c r="Q371" s="830"/>
      <c r="R371" s="831"/>
      <c r="S371" s="832"/>
      <c r="T371" s="832"/>
      <c r="U371" s="832"/>
      <c r="V371" s="832"/>
      <c r="W371" s="832"/>
      <c r="X371" s="832"/>
      <c r="Y371" s="832"/>
      <c r="Z371" s="832"/>
      <c r="AA371" s="832"/>
      <c r="AB371" s="832"/>
      <c r="AC371" s="832"/>
      <c r="AD371" s="832"/>
      <c r="AE371" s="832"/>
      <c r="AF371" s="832"/>
      <c r="AG371" s="832"/>
      <c r="AH371" s="832"/>
      <c r="AI371" s="832"/>
      <c r="AJ371" s="832"/>
      <c r="AK371" s="832"/>
      <c r="AL371" s="832"/>
      <c r="AM371" s="832"/>
    </row>
    <row r="372" spans="1:39" s="907" customFormat="1" ht="31.5" customHeight="1">
      <c r="A372" s="1068"/>
      <c r="B372" s="1068"/>
      <c r="C372" s="1071"/>
      <c r="D372" s="1071"/>
      <c r="E372" s="783" t="s">
        <v>686</v>
      </c>
      <c r="F372" s="783" t="s">
        <v>687</v>
      </c>
      <c r="G372" s="784" t="s">
        <v>285</v>
      </c>
      <c r="H372" s="783" t="s">
        <v>499</v>
      </c>
      <c r="I372" s="783" t="s">
        <v>688</v>
      </c>
      <c r="J372" s="783" t="s">
        <v>531</v>
      </c>
      <c r="K372" s="783" t="s">
        <v>689</v>
      </c>
      <c r="L372" s="783" t="s">
        <v>690</v>
      </c>
      <c r="M372" s="1071"/>
      <c r="N372" s="1071"/>
      <c r="O372" s="1071"/>
      <c r="P372" s="830"/>
      <c r="Q372" s="830"/>
      <c r="R372" s="831"/>
      <c r="S372" s="832"/>
      <c r="T372" s="832"/>
      <c r="U372" s="832"/>
      <c r="V372" s="832"/>
      <c r="W372" s="832"/>
      <c r="X372" s="832"/>
      <c r="Y372" s="832"/>
      <c r="Z372" s="832"/>
      <c r="AA372" s="832"/>
      <c r="AB372" s="832"/>
      <c r="AC372" s="832"/>
      <c r="AD372" s="832"/>
      <c r="AE372" s="832"/>
      <c r="AF372" s="832"/>
      <c r="AG372" s="832"/>
      <c r="AH372" s="832"/>
      <c r="AI372" s="832"/>
      <c r="AJ372" s="832"/>
      <c r="AK372" s="832"/>
      <c r="AL372" s="832"/>
      <c r="AM372" s="832"/>
    </row>
    <row r="373" spans="1:39" s="907" customFormat="1" ht="34.5" customHeight="1">
      <c r="A373" s="785"/>
      <c r="B373" s="786" t="s">
        <v>35</v>
      </c>
      <c r="C373" s="783"/>
      <c r="D373" s="783"/>
      <c r="E373" s="783"/>
      <c r="F373" s="783"/>
      <c r="G373" s="784"/>
      <c r="H373" s="783"/>
      <c r="I373" s="783"/>
      <c r="J373" s="783"/>
      <c r="K373" s="783"/>
      <c r="L373" s="783"/>
      <c r="M373" s="783"/>
      <c r="N373" s="783"/>
      <c r="O373" s="783"/>
      <c r="P373" s="830"/>
      <c r="Q373" s="830"/>
      <c r="R373" s="831"/>
      <c r="S373" s="832"/>
      <c r="T373" s="832"/>
      <c r="U373" s="832"/>
      <c r="V373" s="832"/>
      <c r="W373" s="832"/>
      <c r="X373" s="832"/>
      <c r="Y373" s="832"/>
      <c r="Z373" s="832"/>
      <c r="AA373" s="832"/>
      <c r="AB373" s="832"/>
      <c r="AC373" s="832"/>
      <c r="AD373" s="832"/>
      <c r="AE373" s="832"/>
      <c r="AF373" s="832"/>
      <c r="AG373" s="832"/>
      <c r="AH373" s="832"/>
      <c r="AI373" s="832"/>
      <c r="AJ373" s="832"/>
      <c r="AK373" s="832"/>
      <c r="AL373" s="832"/>
      <c r="AM373" s="832"/>
    </row>
    <row r="374" spans="1:39" s="907" customFormat="1" ht="31.5" customHeight="1">
      <c r="A374" s="785"/>
      <c r="B374" s="787" t="s">
        <v>668</v>
      </c>
      <c r="C374" s="783" t="s">
        <v>532</v>
      </c>
      <c r="D374" s="785" t="s">
        <v>723</v>
      </c>
      <c r="E374" s="788" t="e">
        <f>E378+E405+E407</f>
        <v>#VALUE!</v>
      </c>
      <c r="F374" s="788">
        <f t="shared" ref="F374:N374" si="51">F378+F405+F407</f>
        <v>0</v>
      </c>
      <c r="G374" s="788">
        <f t="shared" si="51"/>
        <v>0</v>
      </c>
      <c r="H374" s="788">
        <f t="shared" si="51"/>
        <v>10556.157858974357</v>
      </c>
      <c r="I374" s="788">
        <f t="shared" si="51"/>
        <v>24167.16</v>
      </c>
      <c r="J374" s="788">
        <f t="shared" si="51"/>
        <v>9815.5200000000023</v>
      </c>
      <c r="K374" s="788">
        <f t="shared" si="51"/>
        <v>19428.108</v>
      </c>
      <c r="L374" s="788" t="e">
        <f t="shared" si="51"/>
        <v>#VALUE!</v>
      </c>
      <c r="M374" s="788" t="e">
        <f t="shared" si="51"/>
        <v>#VALUE!</v>
      </c>
      <c r="N374" s="788" t="e">
        <f t="shared" si="51"/>
        <v>#VALUE!</v>
      </c>
      <c r="O374" s="788">
        <f>O378+O405+O407</f>
        <v>17030.173076923078</v>
      </c>
      <c r="P374" s="830"/>
      <c r="Q374" s="830"/>
      <c r="R374" s="831"/>
      <c r="S374" s="832"/>
      <c r="T374" s="832"/>
      <c r="U374" s="832"/>
      <c r="V374" s="832"/>
      <c r="W374" s="832"/>
      <c r="X374" s="832"/>
      <c r="Y374" s="832"/>
      <c r="Z374" s="832"/>
      <c r="AA374" s="832"/>
      <c r="AB374" s="832"/>
      <c r="AC374" s="832"/>
      <c r="AD374" s="832"/>
      <c r="AE374" s="832"/>
      <c r="AF374" s="832"/>
      <c r="AG374" s="832"/>
      <c r="AH374" s="832"/>
      <c r="AI374" s="832"/>
      <c r="AJ374" s="832"/>
      <c r="AK374" s="832"/>
      <c r="AL374" s="832"/>
      <c r="AM374" s="832"/>
    </row>
    <row r="375" spans="1:39" s="907" customFormat="1" ht="30.75" customHeight="1">
      <c r="A375" s="785"/>
      <c r="B375" s="787" t="s">
        <v>669</v>
      </c>
      <c r="C375" s="783" t="s">
        <v>532</v>
      </c>
      <c r="D375" s="785" t="s">
        <v>723</v>
      </c>
      <c r="E375" s="788" t="e">
        <f>E379+E405+E407</f>
        <v>#VALUE!</v>
      </c>
      <c r="F375" s="788">
        <f t="shared" ref="F375:O375" si="52">F379+F405+F407</f>
        <v>0</v>
      </c>
      <c r="G375" s="788">
        <f t="shared" si="52"/>
        <v>0</v>
      </c>
      <c r="H375" s="788">
        <f t="shared" si="52"/>
        <v>10556.157858974357</v>
      </c>
      <c r="I375" s="788">
        <f t="shared" si="52"/>
        <v>24167.16</v>
      </c>
      <c r="J375" s="788">
        <f t="shared" si="52"/>
        <v>9815.5200000000023</v>
      </c>
      <c r="K375" s="788">
        <f t="shared" si="52"/>
        <v>19428.108</v>
      </c>
      <c r="L375" s="788" t="e">
        <f t="shared" si="52"/>
        <v>#VALUE!</v>
      </c>
      <c r="M375" s="788" t="e">
        <f t="shared" si="52"/>
        <v>#VALUE!</v>
      </c>
      <c r="N375" s="788" t="e">
        <f t="shared" si="52"/>
        <v>#VALUE!</v>
      </c>
      <c r="O375" s="788">
        <f t="shared" si="52"/>
        <v>16722.76923076923</v>
      </c>
      <c r="P375" s="830"/>
      <c r="Q375" s="830"/>
      <c r="R375" s="831"/>
      <c r="S375" s="832"/>
      <c r="T375" s="832"/>
      <c r="U375" s="832"/>
      <c r="V375" s="832"/>
      <c r="W375" s="832"/>
      <c r="X375" s="832"/>
      <c r="Y375" s="832"/>
      <c r="Z375" s="832"/>
      <c r="AA375" s="832"/>
      <c r="AB375" s="832"/>
      <c r="AC375" s="832"/>
      <c r="AD375" s="832"/>
      <c r="AE375" s="832"/>
      <c r="AF375" s="832"/>
      <c r="AG375" s="832"/>
      <c r="AH375" s="832"/>
      <c r="AI375" s="832"/>
      <c r="AJ375" s="832"/>
      <c r="AK375" s="832"/>
      <c r="AL375" s="832"/>
      <c r="AM375" s="832"/>
    </row>
    <row r="376" spans="1:39" s="907" customFormat="1" ht="21" customHeight="1">
      <c r="A376" s="785"/>
      <c r="B376" s="787"/>
      <c r="C376" s="787"/>
      <c r="D376" s="787"/>
      <c r="E376" s="788"/>
      <c r="F376" s="788"/>
      <c r="G376" s="788"/>
      <c r="H376" s="788"/>
      <c r="I376" s="788"/>
      <c r="J376" s="788"/>
      <c r="K376" s="788"/>
      <c r="L376" s="788"/>
      <c r="M376" s="788"/>
      <c r="N376" s="788"/>
      <c r="O376" s="788"/>
      <c r="P376" s="830"/>
      <c r="Q376" s="830"/>
      <c r="R376" s="831"/>
      <c r="S376" s="832"/>
      <c r="T376" s="832"/>
      <c r="U376" s="832"/>
      <c r="V376" s="832"/>
      <c r="W376" s="832"/>
      <c r="X376" s="832"/>
      <c r="Y376" s="832"/>
      <c r="Z376" s="832"/>
      <c r="AA376" s="832"/>
      <c r="AB376" s="832"/>
      <c r="AC376" s="832"/>
      <c r="AD376" s="832"/>
      <c r="AE376" s="832"/>
      <c r="AF376" s="832"/>
      <c r="AG376" s="832"/>
      <c r="AH376" s="832"/>
      <c r="AI376" s="832"/>
      <c r="AJ376" s="832"/>
      <c r="AK376" s="832"/>
      <c r="AL376" s="832"/>
      <c r="AM376" s="832"/>
    </row>
    <row r="377" spans="1:39" s="907" customFormat="1" ht="25.5" customHeight="1">
      <c r="A377" s="785" t="s">
        <v>1000</v>
      </c>
      <c r="B377" s="789" t="s">
        <v>339</v>
      </c>
      <c r="C377" s="787"/>
      <c r="D377" s="787"/>
      <c r="E377" s="783"/>
      <c r="F377" s="783"/>
      <c r="G377" s="784"/>
      <c r="H377" s="783"/>
      <c r="I377" s="783"/>
      <c r="J377" s="783"/>
      <c r="K377" s="783"/>
      <c r="L377" s="783"/>
      <c r="M377" s="783"/>
      <c r="N377" s="783"/>
      <c r="O377" s="783"/>
      <c r="P377" s="834">
        <f>'He so chung'!D$22</f>
        <v>5346.1538461538457</v>
      </c>
      <c r="Q377" s="834">
        <f>'He so chung'!D$23</f>
        <v>801.92307692307691</v>
      </c>
      <c r="R377" s="835"/>
      <c r="S377" s="832"/>
      <c r="T377" s="832"/>
      <c r="U377" s="832"/>
      <c r="V377" s="832"/>
      <c r="W377" s="832"/>
      <c r="X377" s="832"/>
      <c r="Y377" s="832"/>
      <c r="Z377" s="832"/>
      <c r="AA377" s="832"/>
      <c r="AB377" s="832"/>
      <c r="AC377" s="832"/>
      <c r="AD377" s="832"/>
      <c r="AE377" s="832"/>
      <c r="AF377" s="832"/>
      <c r="AG377" s="832"/>
      <c r="AH377" s="832"/>
      <c r="AI377" s="832"/>
      <c r="AJ377" s="832"/>
      <c r="AK377" s="832"/>
      <c r="AL377" s="832"/>
      <c r="AM377" s="832"/>
    </row>
    <row r="378" spans="1:39" s="907" customFormat="1" ht="24" customHeight="1">
      <c r="A378" s="791" t="s">
        <v>1008</v>
      </c>
      <c r="B378" s="787" t="s">
        <v>668</v>
      </c>
      <c r="C378" s="783" t="s">
        <v>532</v>
      </c>
      <c r="D378" s="481" t="s">
        <v>723</v>
      </c>
      <c r="E378" s="793" t="e">
        <f>E382+E384+E385+E386+E387+E391+E393+E395+E396+E399+E400+E401+E402+E403+E404</f>
        <v>#VALUE!</v>
      </c>
      <c r="F378" s="793">
        <f>F382+F384+F385+F386+F387+F391+F393+F395+F396+F399+F400+F401+F402+F403+F404</f>
        <v>0</v>
      </c>
      <c r="G378" s="795"/>
      <c r="H378" s="793">
        <f>'Dcu-DKDD'!$L$280</f>
        <v>10462.416147435895</v>
      </c>
      <c r="I378" s="910">
        <f>'VL-DKDD'!$J$283</f>
        <v>23281.56</v>
      </c>
      <c r="J378" s="910">
        <f>'TB-DKDD'!$M$159</f>
        <v>9815.5200000000023</v>
      </c>
      <c r="K378" s="910">
        <f>'NL-DKDD'!$J$108</f>
        <v>19428.108</v>
      </c>
      <c r="L378" s="796" t="e">
        <f>SUM(E378:K378)</f>
        <v>#VALUE!</v>
      </c>
      <c r="M378" s="796" t="e">
        <f>L378*'He so chung'!$D$17/100</f>
        <v>#VALUE!</v>
      </c>
      <c r="N378" s="796" t="e">
        <f>L378+M378</f>
        <v>#VALUE!</v>
      </c>
      <c r="O378" s="793">
        <f>O382+O384+O385+O386+O387+O391+O393+O395+O396+O399+O400+O401+O402+O403+O404</f>
        <v>16784.25</v>
      </c>
      <c r="P378" s="830"/>
      <c r="Q378" s="830"/>
      <c r="R378" s="908"/>
      <c r="S378" s="832"/>
      <c r="T378" s="832"/>
      <c r="U378" s="832"/>
      <c r="V378" s="832"/>
      <c r="W378" s="832"/>
      <c r="X378" s="832"/>
      <c r="Y378" s="832"/>
      <c r="Z378" s="832"/>
      <c r="AA378" s="832"/>
      <c r="AB378" s="832"/>
      <c r="AC378" s="832"/>
      <c r="AD378" s="832"/>
      <c r="AE378" s="832"/>
      <c r="AF378" s="832"/>
      <c r="AG378" s="832"/>
      <c r="AH378" s="832"/>
      <c r="AI378" s="832"/>
      <c r="AJ378" s="832"/>
      <c r="AK378" s="832"/>
      <c r="AL378" s="832"/>
      <c r="AM378" s="832"/>
    </row>
    <row r="379" spans="1:39" s="907" customFormat="1" ht="24" customHeight="1">
      <c r="A379" s="791" t="s">
        <v>1009</v>
      </c>
      <c r="B379" s="787" t="s">
        <v>669</v>
      </c>
      <c r="C379" s="783" t="s">
        <v>532</v>
      </c>
      <c r="D379" s="481" t="s">
        <v>723</v>
      </c>
      <c r="E379" s="793" t="e">
        <f>E383+E384+E385+E386+E387+E391+E393+E395+E396+E399+E400+E401+E402+E403+E404</f>
        <v>#VALUE!</v>
      </c>
      <c r="F379" s="793">
        <f>F383+F384+F385+F386+F387+F391+F393+F395+F396+F399+F400+F401+F402+F403+F404</f>
        <v>0</v>
      </c>
      <c r="G379" s="795"/>
      <c r="H379" s="793">
        <f>'Dcu-DKDD'!$L$280</f>
        <v>10462.416147435895</v>
      </c>
      <c r="I379" s="910">
        <f>'VL-DKDD'!$J$283</f>
        <v>23281.56</v>
      </c>
      <c r="J379" s="910">
        <f>'TB-DKDD'!$M$159</f>
        <v>9815.5200000000023</v>
      </c>
      <c r="K379" s="910">
        <f>'NL-DKDD'!$J$108</f>
        <v>19428.108</v>
      </c>
      <c r="L379" s="796" t="e">
        <f>SUM(E379:K379)</f>
        <v>#VALUE!</v>
      </c>
      <c r="M379" s="796" t="e">
        <f>L379*'He so chung'!$D$17/100</f>
        <v>#VALUE!</v>
      </c>
      <c r="N379" s="796" t="e">
        <f>L379+M379</f>
        <v>#VALUE!</v>
      </c>
      <c r="O379" s="793">
        <f>O383+O384+O385+O386+O387+O391+O393+O395+O396+O399+O400+O401+O402+O403+O404</f>
        <v>16476.846153846152</v>
      </c>
      <c r="P379" s="830"/>
      <c r="Q379" s="830"/>
      <c r="R379" s="908"/>
      <c r="S379" s="832"/>
      <c r="T379" s="832"/>
      <c r="U379" s="832"/>
      <c r="V379" s="832"/>
      <c r="W379" s="832"/>
      <c r="X379" s="832"/>
      <c r="Y379" s="832"/>
      <c r="Z379" s="832"/>
      <c r="AA379" s="832"/>
      <c r="AB379" s="832"/>
      <c r="AC379" s="832"/>
      <c r="AD379" s="832"/>
      <c r="AE379" s="832"/>
      <c r="AF379" s="832"/>
      <c r="AG379" s="832"/>
      <c r="AH379" s="832"/>
      <c r="AI379" s="832"/>
      <c r="AJ379" s="832"/>
      <c r="AK379" s="832"/>
      <c r="AL379" s="832"/>
      <c r="AM379" s="832"/>
    </row>
    <row r="380" spans="1:39" s="907" customFormat="1" ht="15">
      <c r="A380" s="791"/>
      <c r="B380" s="787"/>
      <c r="C380" s="912"/>
      <c r="D380" s="909"/>
      <c r="E380" s="793"/>
      <c r="F380" s="911"/>
      <c r="G380" s="795"/>
      <c r="H380" s="793"/>
      <c r="I380" s="910"/>
      <c r="J380" s="910"/>
      <c r="K380" s="910"/>
      <c r="L380" s="796"/>
      <c r="M380" s="796"/>
      <c r="N380" s="796"/>
      <c r="O380" s="793"/>
      <c r="P380" s="830"/>
      <c r="Q380" s="830"/>
      <c r="R380" s="908"/>
      <c r="S380" s="832"/>
      <c r="T380" s="832"/>
      <c r="U380" s="832"/>
      <c r="V380" s="832"/>
      <c r="W380" s="832"/>
      <c r="X380" s="832"/>
      <c r="Y380" s="832"/>
      <c r="Z380" s="832"/>
      <c r="AA380" s="832"/>
      <c r="AB380" s="832"/>
      <c r="AC380" s="832"/>
      <c r="AD380" s="832"/>
      <c r="AE380" s="832"/>
      <c r="AF380" s="832"/>
      <c r="AG380" s="832"/>
      <c r="AH380" s="832"/>
      <c r="AI380" s="832"/>
      <c r="AJ380" s="832"/>
      <c r="AK380" s="832"/>
      <c r="AL380" s="832"/>
      <c r="AM380" s="832"/>
    </row>
    <row r="381" spans="1:39" s="907" customFormat="1" ht="21" customHeight="1">
      <c r="A381" s="483">
        <v>1</v>
      </c>
      <c r="B381" s="911" t="s">
        <v>368</v>
      </c>
      <c r="C381" s="912"/>
      <c r="D381" s="909"/>
      <c r="E381" s="911"/>
      <c r="F381" s="911"/>
      <c r="G381" s="795"/>
      <c r="H381" s="911"/>
      <c r="I381" s="911"/>
      <c r="J381" s="911"/>
      <c r="K381" s="911"/>
      <c r="L381" s="911"/>
      <c r="M381" s="911"/>
      <c r="N381" s="911"/>
      <c r="O381" s="794"/>
      <c r="P381" s="830"/>
      <c r="Q381" s="830"/>
      <c r="R381" s="908"/>
      <c r="S381" s="832"/>
      <c r="T381" s="832"/>
      <c r="U381" s="832"/>
      <c r="V381" s="832"/>
      <c r="W381" s="832"/>
      <c r="X381" s="832"/>
      <c r="Y381" s="832"/>
      <c r="Z381" s="832"/>
      <c r="AA381" s="832"/>
      <c r="AB381" s="832"/>
      <c r="AC381" s="832"/>
      <c r="AD381" s="832"/>
      <c r="AE381" s="832"/>
      <c r="AF381" s="832"/>
      <c r="AG381" s="832"/>
      <c r="AH381" s="832"/>
      <c r="AI381" s="832"/>
      <c r="AJ381" s="832"/>
      <c r="AK381" s="832"/>
      <c r="AL381" s="832"/>
      <c r="AM381" s="832"/>
    </row>
    <row r="382" spans="1:39" s="907" customFormat="1" ht="21" customHeight="1">
      <c r="A382" s="483" t="s">
        <v>733</v>
      </c>
      <c r="B382" s="911" t="s">
        <v>846</v>
      </c>
      <c r="C382" s="483" t="s">
        <v>532</v>
      </c>
      <c r="D382" s="481" t="s">
        <v>723</v>
      </c>
      <c r="E382" s="794" t="e">
        <f>NC_DKDD!H808</f>
        <v>#VALUE!</v>
      </c>
      <c r="F382" s="911"/>
      <c r="G382" s="795"/>
      <c r="H382" s="911"/>
      <c r="I382" s="911"/>
      <c r="J382" s="911"/>
      <c r="K382" s="911"/>
      <c r="L382" s="911"/>
      <c r="M382" s="911"/>
      <c r="N382" s="911"/>
      <c r="O382" s="794">
        <f t="shared" ref="O382:O408" si="53">P382+Q382</f>
        <v>1537.0192307692307</v>
      </c>
      <c r="P382" s="830">
        <f t="shared" ref="P382:P408" si="54">R382*P$206</f>
        <v>1336.5384615384614</v>
      </c>
      <c r="Q382" s="830">
        <f t="shared" ref="Q382:Q408" si="55">R382*Q$206</f>
        <v>200.48076923076923</v>
      </c>
      <c r="R382" s="908">
        <f>NC_DKDD!G808</f>
        <v>0.25</v>
      </c>
      <c r="S382" s="832"/>
      <c r="T382" s="832"/>
      <c r="U382" s="832"/>
      <c r="V382" s="832"/>
      <c r="W382" s="832"/>
      <c r="X382" s="832"/>
      <c r="Y382" s="832"/>
      <c r="Z382" s="832"/>
      <c r="AA382" s="832"/>
      <c r="AB382" s="832"/>
      <c r="AC382" s="832"/>
      <c r="AD382" s="832"/>
      <c r="AE382" s="832"/>
      <c r="AF382" s="832"/>
      <c r="AG382" s="832"/>
      <c r="AH382" s="832"/>
      <c r="AI382" s="832"/>
      <c r="AJ382" s="832"/>
      <c r="AK382" s="832"/>
      <c r="AL382" s="832"/>
      <c r="AM382" s="832"/>
    </row>
    <row r="383" spans="1:39" s="907" customFormat="1" ht="21" customHeight="1">
      <c r="A383" s="483" t="s">
        <v>741</v>
      </c>
      <c r="B383" s="911" t="s">
        <v>849</v>
      </c>
      <c r="C383" s="483" t="s">
        <v>532</v>
      </c>
      <c r="D383" s="481" t="s">
        <v>723</v>
      </c>
      <c r="E383" s="794" t="e">
        <f>NC_DKDD!H809</f>
        <v>#VALUE!</v>
      </c>
      <c r="F383" s="911"/>
      <c r="G383" s="795"/>
      <c r="H383" s="911"/>
      <c r="I383" s="911"/>
      <c r="J383" s="911"/>
      <c r="K383" s="911"/>
      <c r="L383" s="911"/>
      <c r="M383" s="911"/>
      <c r="N383" s="911"/>
      <c r="O383" s="794">
        <f t="shared" si="53"/>
        <v>1229.6153846153848</v>
      </c>
      <c r="P383" s="830">
        <f t="shared" si="54"/>
        <v>1069.2307692307693</v>
      </c>
      <c r="Q383" s="830">
        <f t="shared" si="55"/>
        <v>160.38461538461539</v>
      </c>
      <c r="R383" s="908">
        <f>NC_DKDD!G809</f>
        <v>0.2</v>
      </c>
      <c r="S383" s="832"/>
      <c r="T383" s="832"/>
      <c r="U383" s="832"/>
      <c r="V383" s="832"/>
      <c r="W383" s="832"/>
      <c r="X383" s="832"/>
      <c r="Y383" s="832"/>
      <c r="Z383" s="832"/>
      <c r="AA383" s="832"/>
      <c r="AB383" s="832"/>
      <c r="AC383" s="832"/>
      <c r="AD383" s="832"/>
      <c r="AE383" s="832"/>
      <c r="AF383" s="832"/>
      <c r="AG383" s="832"/>
      <c r="AH383" s="832"/>
      <c r="AI383" s="832"/>
      <c r="AJ383" s="832"/>
      <c r="AK383" s="832"/>
      <c r="AL383" s="832"/>
      <c r="AM383" s="832"/>
    </row>
    <row r="384" spans="1:39" s="907" customFormat="1" ht="28.5">
      <c r="A384" s="483">
        <v>2</v>
      </c>
      <c r="B384" s="911" t="s">
        <v>797</v>
      </c>
      <c r="C384" s="483" t="s">
        <v>532</v>
      </c>
      <c r="D384" s="481" t="s">
        <v>723</v>
      </c>
      <c r="E384" s="794" t="e">
        <f>NC_DKDD!H810</f>
        <v>#VALUE!</v>
      </c>
      <c r="F384" s="911"/>
      <c r="G384" s="795"/>
      <c r="H384" s="911"/>
      <c r="I384" s="911"/>
      <c r="J384" s="911"/>
      <c r="K384" s="911"/>
      <c r="L384" s="911"/>
      <c r="M384" s="911"/>
      <c r="N384" s="911"/>
      <c r="O384" s="794">
        <f t="shared" si="53"/>
        <v>1229.6153846153848</v>
      </c>
      <c r="P384" s="830">
        <f t="shared" si="54"/>
        <v>1069.2307692307693</v>
      </c>
      <c r="Q384" s="830">
        <f t="shared" si="55"/>
        <v>160.38461538461539</v>
      </c>
      <c r="R384" s="908">
        <f>NC_DKDD!G810</f>
        <v>0.2</v>
      </c>
      <c r="S384" s="832"/>
      <c r="T384" s="832"/>
      <c r="U384" s="832"/>
      <c r="V384" s="832"/>
      <c r="W384" s="832"/>
      <c r="X384" s="832"/>
      <c r="Y384" s="832"/>
      <c r="Z384" s="832"/>
      <c r="AA384" s="832"/>
      <c r="AB384" s="832"/>
      <c r="AC384" s="832"/>
      <c r="AD384" s="832"/>
      <c r="AE384" s="832"/>
      <c r="AF384" s="832"/>
      <c r="AG384" s="832"/>
      <c r="AH384" s="832"/>
      <c r="AI384" s="832"/>
      <c r="AJ384" s="832"/>
      <c r="AK384" s="832"/>
      <c r="AL384" s="832"/>
      <c r="AM384" s="832"/>
    </row>
    <row r="385" spans="1:39" s="907" customFormat="1" ht="25.5" customHeight="1">
      <c r="A385" s="483">
        <v>3</v>
      </c>
      <c r="B385" s="911" t="s">
        <v>369</v>
      </c>
      <c r="C385" s="483" t="s">
        <v>375</v>
      </c>
      <c r="D385" s="481" t="s">
        <v>723</v>
      </c>
      <c r="E385" s="794" t="e">
        <f>NC_DKDD!H811</f>
        <v>#VALUE!</v>
      </c>
      <c r="F385" s="911"/>
      <c r="G385" s="795"/>
      <c r="H385" s="911"/>
      <c r="I385" s="911"/>
      <c r="J385" s="911"/>
      <c r="K385" s="911"/>
      <c r="L385" s="911"/>
      <c r="M385" s="911"/>
      <c r="N385" s="911"/>
      <c r="O385" s="794">
        <f t="shared" si="53"/>
        <v>202.88653846153844</v>
      </c>
      <c r="P385" s="830">
        <f t="shared" si="54"/>
        <v>176.42307692307691</v>
      </c>
      <c r="Q385" s="830">
        <f t="shared" si="55"/>
        <v>26.463461538461541</v>
      </c>
      <c r="R385" s="908">
        <f>NC_DKDD!G811</f>
        <v>3.3000000000000002E-2</v>
      </c>
      <c r="S385" s="832"/>
      <c r="T385" s="832"/>
      <c r="U385" s="832"/>
      <c r="V385" s="832"/>
      <c r="W385" s="832"/>
      <c r="X385" s="832"/>
      <c r="Y385" s="832"/>
      <c r="Z385" s="832"/>
      <c r="AA385" s="832"/>
      <c r="AB385" s="832"/>
      <c r="AC385" s="832"/>
      <c r="AD385" s="832"/>
      <c r="AE385" s="832"/>
      <c r="AF385" s="832"/>
      <c r="AG385" s="832"/>
      <c r="AH385" s="832"/>
      <c r="AI385" s="832"/>
      <c r="AJ385" s="832"/>
      <c r="AK385" s="832"/>
      <c r="AL385" s="832"/>
      <c r="AM385" s="832"/>
    </row>
    <row r="386" spans="1:39" s="907" customFormat="1" ht="28.5">
      <c r="A386" s="483">
        <v>4</v>
      </c>
      <c r="B386" s="911" t="s">
        <v>370</v>
      </c>
      <c r="C386" s="483" t="s">
        <v>532</v>
      </c>
      <c r="D386" s="481" t="s">
        <v>723</v>
      </c>
      <c r="E386" s="794" t="e">
        <f>NC_DKDD!H812</f>
        <v>#VALUE!</v>
      </c>
      <c r="F386" s="911"/>
      <c r="G386" s="795"/>
      <c r="H386" s="911"/>
      <c r="I386" s="911"/>
      <c r="J386" s="911"/>
      <c r="K386" s="911"/>
      <c r="L386" s="911"/>
      <c r="M386" s="911"/>
      <c r="N386" s="911"/>
      <c r="O386" s="794">
        <f t="shared" si="53"/>
        <v>6148.0769230769229</v>
      </c>
      <c r="P386" s="830">
        <f t="shared" si="54"/>
        <v>5346.1538461538457</v>
      </c>
      <c r="Q386" s="830">
        <f t="shared" si="55"/>
        <v>801.92307692307691</v>
      </c>
      <c r="R386" s="908">
        <f>NC_DKDD!G812</f>
        <v>1</v>
      </c>
      <c r="S386" s="832"/>
      <c r="T386" s="832"/>
      <c r="U386" s="832"/>
      <c r="V386" s="832"/>
      <c r="W386" s="832"/>
      <c r="X386" s="832"/>
      <c r="Y386" s="832"/>
      <c r="Z386" s="832"/>
      <c r="AA386" s="832"/>
      <c r="AB386" s="832"/>
      <c r="AC386" s="832"/>
      <c r="AD386" s="832"/>
      <c r="AE386" s="832"/>
      <c r="AF386" s="832"/>
      <c r="AG386" s="832"/>
      <c r="AH386" s="832"/>
      <c r="AI386" s="832"/>
      <c r="AJ386" s="832"/>
      <c r="AK386" s="832"/>
      <c r="AL386" s="832"/>
      <c r="AM386" s="832"/>
    </row>
    <row r="387" spans="1:39" s="907" customFormat="1" ht="14.25">
      <c r="A387" s="483">
        <v>5</v>
      </c>
      <c r="B387" s="911" t="s">
        <v>371</v>
      </c>
      <c r="C387" s="483" t="s">
        <v>375</v>
      </c>
      <c r="D387" s="481" t="s">
        <v>723</v>
      </c>
      <c r="E387" s="794" t="e">
        <f>NC_DKDD!H813</f>
        <v>#VALUE!</v>
      </c>
      <c r="F387" s="911"/>
      <c r="G387" s="795"/>
      <c r="H387" s="911"/>
      <c r="I387" s="911"/>
      <c r="J387" s="911"/>
      <c r="K387" s="911"/>
      <c r="L387" s="911"/>
      <c r="M387" s="911"/>
      <c r="N387" s="911"/>
      <c r="O387" s="794">
        <f t="shared" si="53"/>
        <v>36.888461538461534</v>
      </c>
      <c r="P387" s="830">
        <f t="shared" si="54"/>
        <v>32.076923076923073</v>
      </c>
      <c r="Q387" s="830">
        <f t="shared" si="55"/>
        <v>4.8115384615384613</v>
      </c>
      <c r="R387" s="908">
        <f>NC_DKDD!G813</f>
        <v>6.0000000000000001E-3</v>
      </c>
      <c r="S387" s="832"/>
      <c r="T387" s="832"/>
      <c r="U387" s="832"/>
      <c r="V387" s="832"/>
      <c r="W387" s="832"/>
      <c r="X387" s="832"/>
      <c r="Y387" s="832"/>
      <c r="Z387" s="832"/>
      <c r="AA387" s="832"/>
      <c r="AB387" s="832"/>
      <c r="AC387" s="832"/>
      <c r="AD387" s="832"/>
      <c r="AE387" s="832"/>
      <c r="AF387" s="832"/>
      <c r="AG387" s="832"/>
      <c r="AH387" s="832"/>
      <c r="AI387" s="832"/>
      <c r="AJ387" s="832"/>
      <c r="AK387" s="832"/>
      <c r="AL387" s="832"/>
      <c r="AM387" s="832"/>
    </row>
    <row r="388" spans="1:39" s="907" customFormat="1" ht="42.75">
      <c r="A388" s="483">
        <v>6</v>
      </c>
      <c r="B388" s="911" t="s">
        <v>802</v>
      </c>
      <c r="C388" s="483"/>
      <c r="D388" s="483"/>
      <c r="E388" s="794">
        <f>NC_DKDD!H814</f>
        <v>0</v>
      </c>
      <c r="F388" s="911"/>
      <c r="G388" s="795"/>
      <c r="H388" s="911"/>
      <c r="I388" s="911"/>
      <c r="J388" s="911"/>
      <c r="K388" s="911"/>
      <c r="L388" s="911"/>
      <c r="M388" s="911"/>
      <c r="N388" s="911"/>
      <c r="O388" s="794">
        <f t="shared" si="53"/>
        <v>0</v>
      </c>
      <c r="P388" s="830">
        <f t="shared" si="54"/>
        <v>0</v>
      </c>
      <c r="Q388" s="830">
        <f t="shared" si="55"/>
        <v>0</v>
      </c>
      <c r="R388" s="908">
        <f>NC_DKDD!G814</f>
        <v>0</v>
      </c>
      <c r="S388" s="832"/>
      <c r="T388" s="832"/>
      <c r="U388" s="832"/>
      <c r="V388" s="832"/>
      <c r="W388" s="832"/>
      <c r="X388" s="832"/>
      <c r="Y388" s="832"/>
      <c r="Z388" s="832"/>
      <c r="AA388" s="832"/>
      <c r="AB388" s="832"/>
      <c r="AC388" s="832"/>
      <c r="AD388" s="832"/>
      <c r="AE388" s="832"/>
      <c r="AF388" s="832"/>
      <c r="AG388" s="832"/>
      <c r="AH388" s="832"/>
      <c r="AI388" s="832"/>
      <c r="AJ388" s="832"/>
      <c r="AK388" s="832"/>
      <c r="AL388" s="832"/>
      <c r="AM388" s="832"/>
    </row>
    <row r="389" spans="1:39" s="907" customFormat="1" ht="22.5" customHeight="1">
      <c r="A389" s="483" t="s">
        <v>661</v>
      </c>
      <c r="B389" s="911" t="s">
        <v>587</v>
      </c>
      <c r="C389" s="483" t="s">
        <v>532</v>
      </c>
      <c r="D389" s="481" t="s">
        <v>723</v>
      </c>
      <c r="E389" s="794" t="e">
        <f>NC_DKDD!H815</f>
        <v>#VALUE!</v>
      </c>
      <c r="F389" s="911"/>
      <c r="G389" s="795"/>
      <c r="H389" s="911"/>
      <c r="I389" s="911"/>
      <c r="J389" s="911"/>
      <c r="K389" s="911"/>
      <c r="L389" s="911"/>
      <c r="M389" s="911"/>
      <c r="N389" s="911"/>
      <c r="O389" s="794">
        <f t="shared" si="53"/>
        <v>0</v>
      </c>
      <c r="P389" s="830">
        <f t="shared" si="54"/>
        <v>0</v>
      </c>
      <c r="Q389" s="830">
        <f t="shared" si="55"/>
        <v>0</v>
      </c>
      <c r="R389" s="908">
        <f>NC_DKDD!G815</f>
        <v>0</v>
      </c>
      <c r="S389" s="832"/>
      <c r="T389" s="832"/>
      <c r="U389" s="832"/>
      <c r="V389" s="832"/>
      <c r="W389" s="832"/>
      <c r="X389" s="832"/>
      <c r="Y389" s="832"/>
      <c r="Z389" s="832"/>
      <c r="AA389" s="832"/>
      <c r="AB389" s="832"/>
      <c r="AC389" s="832"/>
      <c r="AD389" s="832"/>
      <c r="AE389" s="832"/>
      <c r="AF389" s="832"/>
      <c r="AG389" s="832"/>
      <c r="AH389" s="832"/>
      <c r="AI389" s="832"/>
      <c r="AJ389" s="832"/>
      <c r="AK389" s="832"/>
      <c r="AL389" s="832"/>
      <c r="AM389" s="832"/>
    </row>
    <row r="390" spans="1:39" s="907" customFormat="1" ht="22.5" customHeight="1">
      <c r="A390" s="483" t="s">
        <v>662</v>
      </c>
      <c r="B390" s="911" t="s">
        <v>588</v>
      </c>
      <c r="C390" s="483" t="s">
        <v>532</v>
      </c>
      <c r="D390" s="481" t="s">
        <v>723</v>
      </c>
      <c r="E390" s="794" t="e">
        <f>NC_DKDD!H816</f>
        <v>#VALUE!</v>
      </c>
      <c r="F390" s="911"/>
      <c r="G390" s="795"/>
      <c r="H390" s="911"/>
      <c r="I390" s="911"/>
      <c r="J390" s="911"/>
      <c r="K390" s="911"/>
      <c r="L390" s="911"/>
      <c r="M390" s="911"/>
      <c r="N390" s="911"/>
      <c r="O390" s="794">
        <f t="shared" si="53"/>
        <v>0</v>
      </c>
      <c r="P390" s="830">
        <f t="shared" si="54"/>
        <v>0</v>
      </c>
      <c r="Q390" s="830">
        <f t="shared" si="55"/>
        <v>0</v>
      </c>
      <c r="R390" s="908">
        <f>NC_DKDD!G816</f>
        <v>0</v>
      </c>
      <c r="S390" s="832"/>
      <c r="T390" s="832"/>
      <c r="U390" s="832"/>
      <c r="V390" s="832"/>
      <c r="W390" s="832"/>
      <c r="X390" s="832"/>
      <c r="Y390" s="832"/>
      <c r="Z390" s="832"/>
      <c r="AA390" s="832"/>
      <c r="AB390" s="832"/>
      <c r="AC390" s="832"/>
      <c r="AD390" s="832"/>
      <c r="AE390" s="832"/>
      <c r="AF390" s="832"/>
      <c r="AG390" s="832"/>
      <c r="AH390" s="832"/>
      <c r="AI390" s="832"/>
      <c r="AJ390" s="832"/>
      <c r="AK390" s="832"/>
      <c r="AL390" s="832"/>
      <c r="AM390" s="832"/>
    </row>
    <row r="391" spans="1:39" s="907" customFormat="1" ht="14.25">
      <c r="A391" s="483">
        <v>7</v>
      </c>
      <c r="B391" s="911" t="s">
        <v>362</v>
      </c>
      <c r="C391" s="483" t="s">
        <v>375</v>
      </c>
      <c r="D391" s="481" t="s">
        <v>723</v>
      </c>
      <c r="E391" s="794" t="e">
        <f>NC_DKDD!H817</f>
        <v>#VALUE!</v>
      </c>
      <c r="F391" s="911"/>
      <c r="G391" s="795"/>
      <c r="H391" s="911"/>
      <c r="I391" s="911"/>
      <c r="J391" s="911"/>
      <c r="K391" s="911"/>
      <c r="L391" s="911"/>
      <c r="M391" s="911"/>
      <c r="N391" s="911"/>
      <c r="O391" s="794">
        <f t="shared" si="53"/>
        <v>202.88653846153844</v>
      </c>
      <c r="P391" s="830">
        <f t="shared" si="54"/>
        <v>176.42307692307691</v>
      </c>
      <c r="Q391" s="830">
        <f t="shared" si="55"/>
        <v>26.463461538461541</v>
      </c>
      <c r="R391" s="908">
        <f>NC_DKDD!G817</f>
        <v>3.3000000000000002E-2</v>
      </c>
      <c r="S391" s="832"/>
      <c r="T391" s="832"/>
      <c r="U391" s="832"/>
      <c r="V391" s="832"/>
      <c r="W391" s="832"/>
      <c r="X391" s="832"/>
      <c r="Y391" s="832"/>
      <c r="Z391" s="832"/>
      <c r="AA391" s="832"/>
      <c r="AB391" s="832"/>
      <c r="AC391" s="832"/>
      <c r="AD391" s="832"/>
      <c r="AE391" s="832"/>
      <c r="AF391" s="832"/>
      <c r="AG391" s="832"/>
      <c r="AH391" s="832"/>
      <c r="AI391" s="832"/>
      <c r="AJ391" s="832"/>
      <c r="AK391" s="832"/>
      <c r="AL391" s="832"/>
      <c r="AM391" s="832"/>
    </row>
    <row r="392" spans="1:39" s="907" customFormat="1" ht="17.25" customHeight="1">
      <c r="A392" s="483">
        <v>8</v>
      </c>
      <c r="B392" s="911" t="s">
        <v>80</v>
      </c>
      <c r="C392" s="483"/>
      <c r="D392" s="483"/>
      <c r="E392" s="794">
        <f>NC_DKDD!H818</f>
        <v>0</v>
      </c>
      <c r="F392" s="911"/>
      <c r="G392" s="795"/>
      <c r="H392" s="911"/>
      <c r="I392" s="911"/>
      <c r="J392" s="911"/>
      <c r="K392" s="911"/>
      <c r="L392" s="911"/>
      <c r="M392" s="911"/>
      <c r="N392" s="911"/>
      <c r="O392" s="794">
        <f t="shared" si="53"/>
        <v>0</v>
      </c>
      <c r="P392" s="830">
        <f t="shared" si="54"/>
        <v>0</v>
      </c>
      <c r="Q392" s="830">
        <f t="shared" si="55"/>
        <v>0</v>
      </c>
      <c r="R392" s="908">
        <f>NC_DKDD!G818</f>
        <v>0</v>
      </c>
      <c r="S392" s="832"/>
      <c r="T392" s="832"/>
      <c r="U392" s="832"/>
      <c r="V392" s="832"/>
      <c r="W392" s="832"/>
      <c r="X392" s="832"/>
      <c r="Y392" s="832"/>
      <c r="Z392" s="832"/>
      <c r="AA392" s="832"/>
      <c r="AB392" s="832"/>
      <c r="AC392" s="832"/>
      <c r="AD392" s="832"/>
      <c r="AE392" s="832"/>
      <c r="AF392" s="832"/>
      <c r="AG392" s="832"/>
      <c r="AH392" s="832"/>
      <c r="AI392" s="832"/>
      <c r="AJ392" s="832"/>
      <c r="AK392" s="832"/>
      <c r="AL392" s="832"/>
      <c r="AM392" s="832"/>
    </row>
    <row r="393" spans="1:39" s="907" customFormat="1" ht="17.25" customHeight="1">
      <c r="A393" s="483" t="s">
        <v>191</v>
      </c>
      <c r="B393" s="911" t="s">
        <v>82</v>
      </c>
      <c r="C393" s="483" t="s">
        <v>559</v>
      </c>
      <c r="D393" s="481" t="s">
        <v>723</v>
      </c>
      <c r="E393" s="794" t="e">
        <f>NC_DKDD!H819</f>
        <v>#VALUE!</v>
      </c>
      <c r="F393" s="911"/>
      <c r="G393" s="795"/>
      <c r="H393" s="911"/>
      <c r="I393" s="911"/>
      <c r="J393" s="911"/>
      <c r="K393" s="911"/>
      <c r="L393" s="911"/>
      <c r="M393" s="911"/>
      <c r="N393" s="911"/>
      <c r="O393" s="794">
        <f t="shared" si="53"/>
        <v>614.80769230769238</v>
      </c>
      <c r="P393" s="830">
        <f t="shared" si="54"/>
        <v>534.61538461538464</v>
      </c>
      <c r="Q393" s="830">
        <f t="shared" si="55"/>
        <v>80.192307692307693</v>
      </c>
      <c r="R393" s="908">
        <f>NC_DKDD!G819</f>
        <v>0.1</v>
      </c>
      <c r="S393" s="832"/>
      <c r="T393" s="832"/>
      <c r="U393" s="832"/>
      <c r="V393" s="832"/>
      <c r="W393" s="832"/>
      <c r="X393" s="832"/>
      <c r="Y393" s="832"/>
      <c r="Z393" s="832"/>
      <c r="AA393" s="832"/>
      <c r="AB393" s="832"/>
      <c r="AC393" s="832"/>
      <c r="AD393" s="832"/>
      <c r="AE393" s="832"/>
      <c r="AF393" s="832"/>
      <c r="AG393" s="832"/>
      <c r="AH393" s="832"/>
      <c r="AI393" s="832"/>
      <c r="AJ393" s="832"/>
      <c r="AK393" s="832"/>
      <c r="AL393" s="832"/>
      <c r="AM393" s="832"/>
    </row>
    <row r="394" spans="1:39" s="907" customFormat="1" ht="17.25" customHeight="1">
      <c r="A394" s="483" t="s">
        <v>192</v>
      </c>
      <c r="B394" s="911" t="s">
        <v>84</v>
      </c>
      <c r="C394" s="483" t="s">
        <v>559</v>
      </c>
      <c r="D394" s="481" t="s">
        <v>723</v>
      </c>
      <c r="E394" s="794" t="e">
        <f>NC_DKDD!H820</f>
        <v>#VALUE!</v>
      </c>
      <c r="F394" s="911"/>
      <c r="G394" s="795"/>
      <c r="H394" s="911"/>
      <c r="I394" s="911"/>
      <c r="J394" s="911"/>
      <c r="K394" s="911"/>
      <c r="L394" s="911"/>
      <c r="M394" s="911"/>
      <c r="N394" s="911"/>
      <c r="O394" s="794">
        <f t="shared" si="53"/>
        <v>1229.6153846153848</v>
      </c>
      <c r="P394" s="830">
        <f t="shared" si="54"/>
        <v>1069.2307692307693</v>
      </c>
      <c r="Q394" s="830">
        <f t="shared" si="55"/>
        <v>160.38461538461539</v>
      </c>
      <c r="R394" s="908">
        <f>NC_DKDD!G820</f>
        <v>0.2</v>
      </c>
      <c r="S394" s="832"/>
      <c r="T394" s="832"/>
      <c r="U394" s="832"/>
      <c r="V394" s="832"/>
      <c r="W394" s="832"/>
      <c r="X394" s="832"/>
      <c r="Y394" s="832"/>
      <c r="Z394" s="832"/>
      <c r="AA394" s="832"/>
      <c r="AB394" s="832"/>
      <c r="AC394" s="832"/>
      <c r="AD394" s="832"/>
      <c r="AE394" s="832"/>
      <c r="AF394" s="832"/>
      <c r="AG394" s="832"/>
      <c r="AH394" s="832"/>
      <c r="AI394" s="832"/>
      <c r="AJ394" s="832"/>
      <c r="AK394" s="832"/>
      <c r="AL394" s="832"/>
      <c r="AM394" s="832"/>
    </row>
    <row r="395" spans="1:39" s="907" customFormat="1" ht="42.75">
      <c r="A395" s="483">
        <v>9</v>
      </c>
      <c r="B395" s="911" t="s">
        <v>372</v>
      </c>
      <c r="C395" s="483" t="s">
        <v>532</v>
      </c>
      <c r="D395" s="481" t="s">
        <v>723</v>
      </c>
      <c r="E395" s="794" t="e">
        <f>NC_DKDD!H821</f>
        <v>#VALUE!</v>
      </c>
      <c r="F395" s="911"/>
      <c r="G395" s="795"/>
      <c r="H395" s="911"/>
      <c r="I395" s="911"/>
      <c r="J395" s="911"/>
      <c r="K395" s="911"/>
      <c r="L395" s="911"/>
      <c r="M395" s="911"/>
      <c r="N395" s="911"/>
      <c r="O395" s="794">
        <f t="shared" si="53"/>
        <v>3074.0384615384614</v>
      </c>
      <c r="P395" s="830">
        <f t="shared" si="54"/>
        <v>2673.0769230769229</v>
      </c>
      <c r="Q395" s="830">
        <f t="shared" si="55"/>
        <v>400.96153846153845</v>
      </c>
      <c r="R395" s="908">
        <f>NC_DKDD!G821</f>
        <v>0.5</v>
      </c>
      <c r="S395" s="832"/>
      <c r="T395" s="832"/>
      <c r="U395" s="832"/>
      <c r="V395" s="832"/>
      <c r="W395" s="832"/>
      <c r="X395" s="832"/>
      <c r="Y395" s="832"/>
      <c r="Z395" s="832"/>
      <c r="AA395" s="832"/>
      <c r="AB395" s="832"/>
      <c r="AC395" s="832"/>
      <c r="AD395" s="832"/>
      <c r="AE395" s="832"/>
      <c r="AF395" s="832"/>
      <c r="AG395" s="832"/>
      <c r="AH395" s="832"/>
      <c r="AI395" s="832"/>
      <c r="AJ395" s="832"/>
      <c r="AK395" s="832"/>
      <c r="AL395" s="832"/>
      <c r="AM395" s="832"/>
    </row>
    <row r="396" spans="1:39" s="907" customFormat="1" ht="42.75">
      <c r="A396" s="483">
        <v>10</v>
      </c>
      <c r="B396" s="911" t="s">
        <v>699</v>
      </c>
      <c r="C396" s="483" t="s">
        <v>532</v>
      </c>
      <c r="D396" s="481" t="s">
        <v>723</v>
      </c>
      <c r="E396" s="794" t="e">
        <f>NC_DKDD!H822</f>
        <v>#VALUE!</v>
      </c>
      <c r="F396" s="911"/>
      <c r="G396" s="795"/>
      <c r="H396" s="911"/>
      <c r="I396" s="911"/>
      <c r="J396" s="911"/>
      <c r="K396" s="911"/>
      <c r="L396" s="911"/>
      <c r="M396" s="911"/>
      <c r="N396" s="911"/>
      <c r="O396" s="794">
        <f t="shared" si="53"/>
        <v>2889.5961538461534</v>
      </c>
      <c r="P396" s="830">
        <f t="shared" si="54"/>
        <v>2512.6923076923072</v>
      </c>
      <c r="Q396" s="830">
        <f t="shared" si="55"/>
        <v>376.90384615384613</v>
      </c>
      <c r="R396" s="908">
        <f>NC_DKDD!G822</f>
        <v>0.47</v>
      </c>
      <c r="S396" s="832"/>
      <c r="T396" s="832"/>
      <c r="U396" s="832"/>
      <c r="V396" s="832"/>
      <c r="W396" s="832"/>
      <c r="X396" s="832"/>
      <c r="Y396" s="832"/>
      <c r="Z396" s="832"/>
      <c r="AA396" s="832"/>
      <c r="AB396" s="832"/>
      <c r="AC396" s="832"/>
      <c r="AD396" s="832"/>
      <c r="AE396" s="832"/>
      <c r="AF396" s="832"/>
      <c r="AG396" s="832"/>
      <c r="AH396" s="832"/>
      <c r="AI396" s="832"/>
      <c r="AJ396" s="832"/>
      <c r="AK396" s="832"/>
      <c r="AL396" s="832"/>
      <c r="AM396" s="832"/>
    </row>
    <row r="397" spans="1:39" s="907" customFormat="1" ht="21.75" customHeight="1">
      <c r="A397" s="483">
        <v>11</v>
      </c>
      <c r="B397" s="911" t="s">
        <v>88</v>
      </c>
      <c r="C397" s="483"/>
      <c r="D397" s="483"/>
      <c r="E397" s="794">
        <f>NC_DKDD!H823</f>
        <v>0</v>
      </c>
      <c r="F397" s="911"/>
      <c r="G397" s="795"/>
      <c r="H397" s="911"/>
      <c r="I397" s="911"/>
      <c r="J397" s="911"/>
      <c r="K397" s="911"/>
      <c r="L397" s="911"/>
      <c r="M397" s="911"/>
      <c r="N397" s="911"/>
      <c r="O397" s="794">
        <f t="shared" si="53"/>
        <v>0</v>
      </c>
      <c r="P397" s="830">
        <f t="shared" si="54"/>
        <v>0</v>
      </c>
      <c r="Q397" s="830">
        <f t="shared" si="55"/>
        <v>0</v>
      </c>
      <c r="R397" s="908">
        <f>NC_DKDD!G823</f>
        <v>0</v>
      </c>
      <c r="S397" s="832"/>
      <c r="T397" s="832"/>
      <c r="U397" s="832"/>
      <c r="V397" s="832"/>
      <c r="W397" s="832"/>
      <c r="X397" s="832"/>
      <c r="Y397" s="832"/>
      <c r="Z397" s="832"/>
      <c r="AA397" s="832"/>
      <c r="AB397" s="832"/>
      <c r="AC397" s="832"/>
      <c r="AD397" s="832"/>
      <c r="AE397" s="832"/>
      <c r="AF397" s="832"/>
      <c r="AG397" s="832"/>
      <c r="AH397" s="832"/>
      <c r="AI397" s="832"/>
      <c r="AJ397" s="832"/>
      <c r="AK397" s="832"/>
      <c r="AL397" s="832"/>
      <c r="AM397" s="832"/>
    </row>
    <row r="398" spans="1:39" s="907" customFormat="1" ht="32.25" customHeight="1">
      <c r="A398" s="483" t="s">
        <v>719</v>
      </c>
      <c r="B398" s="911" t="s">
        <v>775</v>
      </c>
      <c r="C398" s="483"/>
      <c r="D398" s="483"/>
      <c r="E398" s="794">
        <f>NC_DKDD!H824</f>
        <v>0</v>
      </c>
      <c r="F398" s="911"/>
      <c r="G398" s="795"/>
      <c r="H398" s="911"/>
      <c r="I398" s="911"/>
      <c r="J398" s="911"/>
      <c r="K398" s="911"/>
      <c r="L398" s="911"/>
      <c r="M398" s="911"/>
      <c r="N398" s="911"/>
      <c r="O398" s="794">
        <f t="shared" si="53"/>
        <v>0</v>
      </c>
      <c r="P398" s="830">
        <f t="shared" si="54"/>
        <v>0</v>
      </c>
      <c r="Q398" s="830">
        <f t="shared" si="55"/>
        <v>0</v>
      </c>
      <c r="R398" s="908">
        <f>NC_DKDD!G824</f>
        <v>0</v>
      </c>
      <c r="S398" s="832"/>
      <c r="T398" s="832"/>
      <c r="U398" s="832"/>
      <c r="V398" s="832"/>
      <c r="W398" s="832"/>
      <c r="X398" s="832"/>
      <c r="Y398" s="832"/>
      <c r="Z398" s="832"/>
      <c r="AA398" s="832"/>
      <c r="AB398" s="832"/>
      <c r="AC398" s="832"/>
      <c r="AD398" s="832"/>
      <c r="AE398" s="832"/>
      <c r="AF398" s="832"/>
      <c r="AG398" s="832"/>
      <c r="AH398" s="832"/>
      <c r="AI398" s="832"/>
      <c r="AJ398" s="832"/>
      <c r="AK398" s="832"/>
      <c r="AL398" s="832"/>
      <c r="AM398" s="832"/>
    </row>
    <row r="399" spans="1:39" s="907" customFormat="1" ht="19.5" customHeight="1">
      <c r="A399" s="483" t="s">
        <v>365</v>
      </c>
      <c r="B399" s="911" t="s">
        <v>777</v>
      </c>
      <c r="C399" s="483" t="s">
        <v>377</v>
      </c>
      <c r="D399" s="481" t="s">
        <v>723</v>
      </c>
      <c r="E399" s="794" t="e">
        <f>NC_DKDD!H825</f>
        <v>#VALUE!</v>
      </c>
      <c r="F399" s="911"/>
      <c r="G399" s="795"/>
      <c r="H399" s="911"/>
      <c r="I399" s="911"/>
      <c r="J399" s="911"/>
      <c r="K399" s="911"/>
      <c r="L399" s="911"/>
      <c r="M399" s="911"/>
      <c r="N399" s="911"/>
      <c r="O399" s="794">
        <f t="shared" si="53"/>
        <v>98.369230769230768</v>
      </c>
      <c r="P399" s="830">
        <f t="shared" si="54"/>
        <v>85.538461538461533</v>
      </c>
      <c r="Q399" s="830">
        <f t="shared" si="55"/>
        <v>12.830769230769231</v>
      </c>
      <c r="R399" s="908">
        <f>NC_DKDD!G825</f>
        <v>1.6E-2</v>
      </c>
      <c r="S399" s="832"/>
      <c r="T399" s="832"/>
      <c r="U399" s="832"/>
      <c r="V399" s="832"/>
      <c r="W399" s="832"/>
      <c r="X399" s="832"/>
      <c r="Y399" s="832"/>
      <c r="Z399" s="832"/>
      <c r="AA399" s="832"/>
      <c r="AB399" s="832"/>
      <c r="AC399" s="832"/>
      <c r="AD399" s="832"/>
      <c r="AE399" s="832"/>
      <c r="AF399" s="832"/>
      <c r="AG399" s="832"/>
      <c r="AH399" s="832"/>
      <c r="AI399" s="832"/>
      <c r="AJ399" s="832"/>
      <c r="AK399" s="832"/>
      <c r="AL399" s="832"/>
      <c r="AM399" s="832"/>
    </row>
    <row r="400" spans="1:39" s="907" customFormat="1" ht="19.5" customHeight="1">
      <c r="A400" s="483" t="s">
        <v>366</v>
      </c>
      <c r="B400" s="911" t="s">
        <v>781</v>
      </c>
      <c r="C400" s="483" t="s">
        <v>377</v>
      </c>
      <c r="D400" s="481" t="s">
        <v>723</v>
      </c>
      <c r="E400" s="794" t="e">
        <f>NC_DKDD!H826</f>
        <v>#VALUE!</v>
      </c>
      <c r="F400" s="911"/>
      <c r="G400" s="795"/>
      <c r="H400" s="911"/>
      <c r="I400" s="911"/>
      <c r="J400" s="911"/>
      <c r="K400" s="911"/>
      <c r="L400" s="911"/>
      <c r="M400" s="911"/>
      <c r="N400" s="911"/>
      <c r="O400" s="794">
        <f t="shared" si="53"/>
        <v>49.184615384615384</v>
      </c>
      <c r="P400" s="830">
        <f t="shared" si="54"/>
        <v>42.769230769230766</v>
      </c>
      <c r="Q400" s="830">
        <f t="shared" si="55"/>
        <v>6.4153846153846157</v>
      </c>
      <c r="R400" s="908">
        <f>NC_DKDD!G826</f>
        <v>8.0000000000000002E-3</v>
      </c>
      <c r="S400" s="832"/>
      <c r="T400" s="832"/>
      <c r="U400" s="832"/>
      <c r="V400" s="832"/>
      <c r="W400" s="832"/>
      <c r="X400" s="832"/>
      <c r="Y400" s="832"/>
      <c r="Z400" s="832"/>
      <c r="AA400" s="832"/>
      <c r="AB400" s="832"/>
      <c r="AC400" s="832"/>
      <c r="AD400" s="832"/>
      <c r="AE400" s="832"/>
      <c r="AF400" s="832"/>
      <c r="AG400" s="832"/>
      <c r="AH400" s="832"/>
      <c r="AI400" s="832"/>
      <c r="AJ400" s="832"/>
      <c r="AK400" s="832"/>
      <c r="AL400" s="832"/>
      <c r="AM400" s="832"/>
    </row>
    <row r="401" spans="1:39" s="907" customFormat="1" ht="28.5">
      <c r="A401" s="483" t="s">
        <v>720</v>
      </c>
      <c r="B401" s="911" t="s">
        <v>861</v>
      </c>
      <c r="C401" s="483" t="s">
        <v>377</v>
      </c>
      <c r="D401" s="481" t="s">
        <v>723</v>
      </c>
      <c r="E401" s="794" t="e">
        <f>NC_DKDD!H827</f>
        <v>#VALUE!</v>
      </c>
      <c r="F401" s="911"/>
      <c r="G401" s="795"/>
      <c r="H401" s="911"/>
      <c r="I401" s="911"/>
      <c r="J401" s="911"/>
      <c r="K401" s="911"/>
      <c r="L401" s="911"/>
      <c r="M401" s="911"/>
      <c r="N401" s="911"/>
      <c r="O401" s="794">
        <f t="shared" si="53"/>
        <v>24.592307692307692</v>
      </c>
      <c r="P401" s="830">
        <f t="shared" si="54"/>
        <v>21.384615384615383</v>
      </c>
      <c r="Q401" s="830">
        <f t="shared" si="55"/>
        <v>3.2076923076923078</v>
      </c>
      <c r="R401" s="908">
        <f>NC_DKDD!G827</f>
        <v>4.0000000000000001E-3</v>
      </c>
      <c r="S401" s="832"/>
      <c r="T401" s="832"/>
      <c r="U401" s="832"/>
      <c r="V401" s="832"/>
      <c r="W401" s="832"/>
      <c r="X401" s="832"/>
      <c r="Y401" s="832"/>
      <c r="Z401" s="832"/>
      <c r="AA401" s="832"/>
      <c r="AB401" s="832"/>
      <c r="AC401" s="832"/>
      <c r="AD401" s="832"/>
      <c r="AE401" s="832"/>
      <c r="AF401" s="832"/>
      <c r="AG401" s="832"/>
      <c r="AH401" s="832"/>
      <c r="AI401" s="832"/>
      <c r="AJ401" s="832"/>
      <c r="AK401" s="832"/>
      <c r="AL401" s="832"/>
      <c r="AM401" s="832"/>
    </row>
    <row r="402" spans="1:39" s="907" customFormat="1" ht="21" customHeight="1">
      <c r="A402" s="483" t="s">
        <v>721</v>
      </c>
      <c r="B402" s="911" t="s">
        <v>863</v>
      </c>
      <c r="C402" s="483" t="s">
        <v>375</v>
      </c>
      <c r="D402" s="481" t="s">
        <v>723</v>
      </c>
      <c r="E402" s="794" t="e">
        <f>NC_DKDD!H828</f>
        <v>#VALUE!</v>
      </c>
      <c r="F402" s="911"/>
      <c r="G402" s="795"/>
      <c r="H402" s="911"/>
      <c r="I402" s="911"/>
      <c r="J402" s="911"/>
      <c r="K402" s="911"/>
      <c r="L402" s="911"/>
      <c r="M402" s="911"/>
      <c r="N402" s="911"/>
      <c r="O402" s="794">
        <f t="shared" si="53"/>
        <v>61.480769230769226</v>
      </c>
      <c r="P402" s="830">
        <f t="shared" si="54"/>
        <v>53.46153846153846</v>
      </c>
      <c r="Q402" s="830">
        <f t="shared" si="55"/>
        <v>8.0192307692307701</v>
      </c>
      <c r="R402" s="908">
        <f>NC_DKDD!G828</f>
        <v>0.01</v>
      </c>
      <c r="S402" s="832"/>
      <c r="T402" s="832"/>
      <c r="U402" s="832"/>
      <c r="V402" s="832"/>
      <c r="W402" s="832"/>
      <c r="X402" s="832"/>
      <c r="Y402" s="832"/>
      <c r="Z402" s="832"/>
      <c r="AA402" s="832"/>
      <c r="AB402" s="832"/>
      <c r="AC402" s="832"/>
      <c r="AD402" s="832"/>
      <c r="AE402" s="832"/>
      <c r="AF402" s="832"/>
      <c r="AG402" s="832"/>
      <c r="AH402" s="832"/>
      <c r="AI402" s="832"/>
      <c r="AJ402" s="832"/>
      <c r="AK402" s="832"/>
      <c r="AL402" s="832"/>
      <c r="AM402" s="832"/>
    </row>
    <row r="403" spans="1:39" s="907" customFormat="1" ht="59.25" customHeight="1">
      <c r="A403" s="483">
        <v>12</v>
      </c>
      <c r="B403" s="911" t="s">
        <v>108</v>
      </c>
      <c r="C403" s="483" t="s">
        <v>532</v>
      </c>
      <c r="D403" s="481" t="s">
        <v>723</v>
      </c>
      <c r="E403" s="794" t="e">
        <f>NC_DKDD!H829</f>
        <v>#VALUE!</v>
      </c>
      <c r="F403" s="911"/>
      <c r="G403" s="795"/>
      <c r="H403" s="911"/>
      <c r="I403" s="911"/>
      <c r="J403" s="911"/>
      <c r="K403" s="911"/>
      <c r="L403" s="911"/>
      <c r="M403" s="911"/>
      <c r="N403" s="911"/>
      <c r="O403" s="794">
        <f t="shared" si="53"/>
        <v>307.40384615384619</v>
      </c>
      <c r="P403" s="830">
        <f t="shared" si="54"/>
        <v>267.30769230769232</v>
      </c>
      <c r="Q403" s="830">
        <f t="shared" si="55"/>
        <v>40.096153846153847</v>
      </c>
      <c r="R403" s="908">
        <f>NC_DKDD!G829</f>
        <v>0.05</v>
      </c>
      <c r="S403" s="832"/>
      <c r="T403" s="832"/>
      <c r="U403" s="832"/>
      <c r="V403" s="832"/>
      <c r="W403" s="832"/>
      <c r="X403" s="832"/>
      <c r="Y403" s="832"/>
      <c r="Z403" s="832"/>
      <c r="AA403" s="832"/>
      <c r="AB403" s="832"/>
      <c r="AC403" s="832"/>
      <c r="AD403" s="832"/>
      <c r="AE403" s="832"/>
      <c r="AF403" s="832"/>
      <c r="AG403" s="832"/>
      <c r="AH403" s="832"/>
      <c r="AI403" s="832"/>
      <c r="AJ403" s="832"/>
      <c r="AK403" s="832"/>
      <c r="AL403" s="832"/>
      <c r="AM403" s="832"/>
    </row>
    <row r="404" spans="1:39" s="907" customFormat="1" ht="29.25" customHeight="1">
      <c r="A404" s="483">
        <v>13</v>
      </c>
      <c r="B404" s="911" t="s">
        <v>109</v>
      </c>
      <c r="C404" s="483" t="s">
        <v>532</v>
      </c>
      <c r="D404" s="481" t="s">
        <v>723</v>
      </c>
      <c r="E404" s="794" t="e">
        <f>NC_DKDD!H830</f>
        <v>#VALUE!</v>
      </c>
      <c r="F404" s="911"/>
      <c r="G404" s="795"/>
      <c r="H404" s="911"/>
      <c r="I404" s="911"/>
      <c r="J404" s="911"/>
      <c r="K404" s="911"/>
      <c r="L404" s="911"/>
      <c r="M404" s="911"/>
      <c r="N404" s="911"/>
      <c r="O404" s="794">
        <f t="shared" si="53"/>
        <v>307.40384615384619</v>
      </c>
      <c r="P404" s="830">
        <f t="shared" si="54"/>
        <v>267.30769230769232</v>
      </c>
      <c r="Q404" s="830">
        <f t="shared" si="55"/>
        <v>40.096153846153847</v>
      </c>
      <c r="R404" s="908">
        <f>NC_DKDD!G830</f>
        <v>0.05</v>
      </c>
      <c r="S404" s="832"/>
      <c r="T404" s="832"/>
      <c r="U404" s="832"/>
      <c r="V404" s="832"/>
      <c r="W404" s="832"/>
      <c r="X404" s="832"/>
      <c r="Y404" s="832"/>
      <c r="Z404" s="832"/>
      <c r="AA404" s="832"/>
      <c r="AB404" s="832"/>
      <c r="AC404" s="832"/>
      <c r="AD404" s="832"/>
      <c r="AE404" s="832"/>
      <c r="AF404" s="832"/>
      <c r="AG404" s="832"/>
      <c r="AH404" s="832"/>
      <c r="AI404" s="832"/>
      <c r="AJ404" s="832"/>
      <c r="AK404" s="832"/>
      <c r="AL404" s="832"/>
      <c r="AM404" s="832"/>
    </row>
    <row r="405" spans="1:39" s="907" customFormat="1" ht="26.25" customHeight="1">
      <c r="A405" s="791" t="s">
        <v>1005</v>
      </c>
      <c r="B405" s="787" t="s">
        <v>582</v>
      </c>
      <c r="C405" s="798"/>
      <c r="D405" s="798"/>
      <c r="E405" s="793" t="e">
        <f>E406</f>
        <v>#VALUE!</v>
      </c>
      <c r="F405" s="911"/>
      <c r="G405" s="795"/>
      <c r="H405" s="911"/>
      <c r="I405" s="911"/>
      <c r="J405" s="911"/>
      <c r="K405" s="911"/>
      <c r="L405" s="796" t="e">
        <f>SUM(E405:K405)</f>
        <v>#VALUE!</v>
      </c>
      <c r="M405" s="796" t="e">
        <f>L405*'He so chung'!$D$17/100</f>
        <v>#VALUE!</v>
      </c>
      <c r="N405" s="796" t="e">
        <f>L405+M405</f>
        <v>#VALUE!</v>
      </c>
      <c r="O405" s="793">
        <f>O406</f>
        <v>122.96153846153845</v>
      </c>
      <c r="P405" s="830">
        <f t="shared" si="54"/>
        <v>0</v>
      </c>
      <c r="Q405" s="830">
        <f t="shared" si="55"/>
        <v>0</v>
      </c>
      <c r="R405" s="908">
        <f>NC_DKDD!G831</f>
        <v>0</v>
      </c>
      <c r="S405" s="832"/>
      <c r="T405" s="832"/>
      <c r="U405" s="832"/>
      <c r="V405" s="832"/>
      <c r="W405" s="832"/>
      <c r="X405" s="832"/>
      <c r="Y405" s="832"/>
      <c r="Z405" s="832"/>
      <c r="AA405" s="832"/>
      <c r="AB405" s="832"/>
      <c r="AC405" s="832"/>
      <c r="AD405" s="832"/>
      <c r="AE405" s="832"/>
      <c r="AF405" s="832"/>
      <c r="AG405" s="832"/>
      <c r="AH405" s="832"/>
      <c r="AI405" s="832"/>
      <c r="AJ405" s="832"/>
      <c r="AK405" s="832"/>
      <c r="AL405" s="832"/>
      <c r="AM405" s="832"/>
    </row>
    <row r="406" spans="1:39" s="907" customFormat="1" ht="23.25" customHeight="1">
      <c r="A406" s="798">
        <v>1</v>
      </c>
      <c r="B406" s="799" t="s">
        <v>626</v>
      </c>
      <c r="C406" s="798" t="s">
        <v>532</v>
      </c>
      <c r="D406" s="792" t="s">
        <v>723</v>
      </c>
      <c r="E406" s="794" t="e">
        <f>NC_DKDD!H832</f>
        <v>#VALUE!</v>
      </c>
      <c r="F406" s="911"/>
      <c r="G406" s="795"/>
      <c r="H406" s="911"/>
      <c r="I406" s="911"/>
      <c r="J406" s="911"/>
      <c r="K406" s="911"/>
      <c r="L406" s="911"/>
      <c r="M406" s="911"/>
      <c r="N406" s="911"/>
      <c r="O406" s="794">
        <f t="shared" si="53"/>
        <v>122.96153846153845</v>
      </c>
      <c r="P406" s="830">
        <f t="shared" si="54"/>
        <v>106.92307692307692</v>
      </c>
      <c r="Q406" s="830">
        <f t="shared" si="55"/>
        <v>16.03846153846154</v>
      </c>
      <c r="R406" s="908">
        <f>NC_DKDD!G832</f>
        <v>0.02</v>
      </c>
      <c r="S406" s="832"/>
      <c r="T406" s="832"/>
      <c r="U406" s="832"/>
      <c r="V406" s="832"/>
      <c r="W406" s="832"/>
      <c r="X406" s="832"/>
      <c r="Y406" s="832"/>
      <c r="Z406" s="832"/>
      <c r="AA406" s="832"/>
      <c r="AB406" s="832"/>
      <c r="AC406" s="832"/>
      <c r="AD406" s="832"/>
      <c r="AE406" s="832"/>
      <c r="AF406" s="832"/>
      <c r="AG406" s="832"/>
      <c r="AH406" s="832"/>
      <c r="AI406" s="832"/>
      <c r="AJ406" s="832"/>
      <c r="AK406" s="832"/>
      <c r="AL406" s="832"/>
      <c r="AM406" s="832"/>
    </row>
    <row r="407" spans="1:39" s="907" customFormat="1" ht="26.25" customHeight="1">
      <c r="A407" s="791" t="s">
        <v>755</v>
      </c>
      <c r="B407" s="787" t="s">
        <v>460</v>
      </c>
      <c r="C407" s="798"/>
      <c r="D407" s="909"/>
      <c r="E407" s="793" t="e">
        <f>E408</f>
        <v>#VALUE!</v>
      </c>
      <c r="F407" s="911"/>
      <c r="G407" s="795"/>
      <c r="H407" s="913">
        <f>'Dcu-DKDD'!$H$280</f>
        <v>93.74171153846153</v>
      </c>
      <c r="I407" s="911">
        <f>'VL-DKDD'!$F$283</f>
        <v>885.6</v>
      </c>
      <c r="J407" s="911"/>
      <c r="K407" s="911"/>
      <c r="L407" s="796" t="e">
        <f>SUM(E407:K407)</f>
        <v>#VALUE!</v>
      </c>
      <c r="M407" s="796" t="e">
        <f>L407*'He so chung'!$D$17/100</f>
        <v>#VALUE!</v>
      </c>
      <c r="N407" s="796" t="e">
        <f>L407+M407</f>
        <v>#VALUE!</v>
      </c>
      <c r="O407" s="793">
        <f>O408</f>
        <v>122.96153846153845</v>
      </c>
      <c r="P407" s="830">
        <f t="shared" si="54"/>
        <v>0</v>
      </c>
      <c r="Q407" s="830">
        <f t="shared" si="55"/>
        <v>0</v>
      </c>
      <c r="R407" s="908">
        <f>NC_DKDD!G833</f>
        <v>0</v>
      </c>
      <c r="S407" s="832"/>
      <c r="T407" s="832"/>
      <c r="U407" s="832"/>
      <c r="V407" s="832"/>
      <c r="W407" s="832"/>
      <c r="X407" s="832"/>
      <c r="Y407" s="832"/>
      <c r="Z407" s="832"/>
      <c r="AA407" s="832"/>
      <c r="AB407" s="832"/>
      <c r="AC407" s="832"/>
      <c r="AD407" s="832"/>
      <c r="AE407" s="832"/>
      <c r="AF407" s="832"/>
      <c r="AG407" s="832"/>
      <c r="AH407" s="832"/>
      <c r="AI407" s="832"/>
      <c r="AJ407" s="832"/>
      <c r="AK407" s="832"/>
      <c r="AL407" s="832"/>
      <c r="AM407" s="832"/>
    </row>
    <row r="408" spans="1:39" s="907" customFormat="1" ht="28.5">
      <c r="A408" s="798">
        <v>1</v>
      </c>
      <c r="B408" s="799" t="s">
        <v>627</v>
      </c>
      <c r="C408" s="798" t="s">
        <v>532</v>
      </c>
      <c r="D408" s="792" t="s">
        <v>723</v>
      </c>
      <c r="E408" s="794" t="e">
        <f>NC_DKDD!H834</f>
        <v>#VALUE!</v>
      </c>
      <c r="F408" s="911"/>
      <c r="G408" s="795"/>
      <c r="H408" s="911"/>
      <c r="I408" s="911"/>
      <c r="J408" s="911"/>
      <c r="K408" s="911"/>
      <c r="L408" s="911"/>
      <c r="M408" s="911"/>
      <c r="N408" s="911"/>
      <c r="O408" s="794">
        <f t="shared" si="53"/>
        <v>122.96153846153845</v>
      </c>
      <c r="P408" s="830">
        <f t="shared" si="54"/>
        <v>106.92307692307692</v>
      </c>
      <c r="Q408" s="830">
        <f t="shared" si="55"/>
        <v>16.03846153846154</v>
      </c>
      <c r="R408" s="908">
        <f>NC_DKDD!G834</f>
        <v>0.02</v>
      </c>
      <c r="S408" s="832"/>
      <c r="T408" s="832"/>
      <c r="U408" s="832"/>
      <c r="V408" s="832"/>
      <c r="W408" s="832"/>
      <c r="X408" s="832"/>
      <c r="Y408" s="832"/>
      <c r="Z408" s="832"/>
      <c r="AA408" s="832"/>
      <c r="AB408" s="832"/>
      <c r="AC408" s="832"/>
      <c r="AD408" s="832"/>
      <c r="AE408" s="832"/>
      <c r="AF408" s="832"/>
      <c r="AG408" s="832"/>
      <c r="AH408" s="832"/>
      <c r="AI408" s="832"/>
      <c r="AJ408" s="832"/>
      <c r="AK408" s="832"/>
      <c r="AL408" s="832"/>
      <c r="AM408" s="832"/>
    </row>
    <row r="409" spans="1:39" ht="23.25" customHeight="1">
      <c r="B409" s="1073" t="s">
        <v>833</v>
      </c>
      <c r="C409" s="1073"/>
      <c r="D409" s="1073"/>
      <c r="E409" s="1073"/>
      <c r="F409" s="1073"/>
      <c r="G409" s="1073"/>
      <c r="H409" s="1073"/>
      <c r="I409" s="1073"/>
      <c r="J409" s="1073"/>
      <c r="K409" s="1073"/>
      <c r="L409" s="1073"/>
      <c r="M409" s="1073"/>
      <c r="N409" s="1073"/>
      <c r="O409" s="1073"/>
      <c r="R409" s="806"/>
    </row>
    <row r="410" spans="1:39" ht="23.25" customHeight="1">
      <c r="B410" s="1073" t="s">
        <v>513</v>
      </c>
      <c r="C410" s="1073"/>
      <c r="D410" s="1073"/>
      <c r="E410" s="1073"/>
      <c r="F410" s="1073"/>
      <c r="G410" s="1073"/>
      <c r="H410" s="1073"/>
      <c r="I410" s="1073"/>
      <c r="J410" s="1073"/>
      <c r="K410" s="1073"/>
      <c r="L410" s="1073"/>
      <c r="M410" s="1073"/>
      <c r="N410" s="1073"/>
      <c r="O410" s="1073"/>
      <c r="R410" s="806"/>
    </row>
    <row r="411" spans="1:39" ht="30" customHeight="1">
      <c r="A411" s="1070" t="s">
        <v>138</v>
      </c>
      <c r="B411" s="1070"/>
      <c r="C411" s="1070"/>
      <c r="D411" s="1070"/>
      <c r="E411" s="1070"/>
      <c r="F411" s="1070"/>
      <c r="G411" s="1070"/>
      <c r="H411" s="1070"/>
      <c r="I411" s="1070"/>
      <c r="J411" s="1070"/>
      <c r="K411" s="1070"/>
      <c r="L411" s="1070"/>
      <c r="M411" s="1070"/>
      <c r="N411" s="1070"/>
      <c r="O411" s="1070"/>
      <c r="P411" s="420"/>
      <c r="Q411" s="420"/>
      <c r="R411" s="806"/>
    </row>
    <row r="412" spans="1:39" ht="21" customHeight="1">
      <c r="A412" s="414"/>
      <c r="B412" s="415"/>
      <c r="C412" s="776"/>
      <c r="D412" s="777" t="s">
        <v>430</v>
      </c>
      <c r="E412" s="419"/>
      <c r="F412" s="778"/>
      <c r="G412" s="779"/>
      <c r="H412" s="778"/>
      <c r="I412" s="780"/>
      <c r="J412" s="778"/>
      <c r="K412" s="778"/>
      <c r="L412" s="781" t="s">
        <v>262</v>
      </c>
      <c r="M412" s="778"/>
      <c r="N412" s="780"/>
      <c r="O412" s="419"/>
      <c r="P412" s="420"/>
      <c r="Q412" s="420"/>
      <c r="R412" s="820"/>
    </row>
    <row r="413" spans="1:39" ht="27.75" customHeight="1">
      <c r="A413" s="1068" t="s">
        <v>718</v>
      </c>
      <c r="B413" s="1068" t="s">
        <v>198</v>
      </c>
      <c r="C413" s="1071" t="s">
        <v>263</v>
      </c>
      <c r="D413" s="1071" t="s">
        <v>264</v>
      </c>
      <c r="E413" s="1071" t="s">
        <v>683</v>
      </c>
      <c r="F413" s="1071"/>
      <c r="G413" s="1071"/>
      <c r="H413" s="1071"/>
      <c r="I413" s="1071"/>
      <c r="J413" s="1071"/>
      <c r="K413" s="1071"/>
      <c r="L413" s="1071"/>
      <c r="M413" s="1071" t="s">
        <v>435</v>
      </c>
      <c r="N413" s="1071" t="s">
        <v>684</v>
      </c>
      <c r="O413" s="1140" t="s">
        <v>685</v>
      </c>
      <c r="P413" s="782"/>
      <c r="Q413" s="782"/>
      <c r="R413" s="820"/>
    </row>
    <row r="414" spans="1:39" ht="31.5" customHeight="1">
      <c r="A414" s="1068"/>
      <c r="B414" s="1068"/>
      <c r="C414" s="1071"/>
      <c r="D414" s="1071"/>
      <c r="E414" s="783" t="s">
        <v>686</v>
      </c>
      <c r="F414" s="783" t="s">
        <v>687</v>
      </c>
      <c r="G414" s="784" t="s">
        <v>285</v>
      </c>
      <c r="H414" s="783" t="s">
        <v>499</v>
      </c>
      <c r="I414" s="783" t="s">
        <v>688</v>
      </c>
      <c r="J414" s="783" t="s">
        <v>531</v>
      </c>
      <c r="K414" s="783" t="s">
        <v>689</v>
      </c>
      <c r="L414" s="783" t="s">
        <v>690</v>
      </c>
      <c r="M414" s="1071"/>
      <c r="N414" s="1071"/>
      <c r="O414" s="1141"/>
      <c r="P414" s="782"/>
      <c r="Q414" s="782"/>
      <c r="R414" s="820"/>
    </row>
    <row r="415" spans="1:39" ht="41.25" customHeight="1">
      <c r="A415" s="785"/>
      <c r="B415" s="839" t="s">
        <v>36</v>
      </c>
      <c r="C415" s="783"/>
      <c r="D415" s="783"/>
      <c r="E415" s="783"/>
      <c r="F415" s="783"/>
      <c r="G415" s="784"/>
      <c r="H415" s="783"/>
      <c r="I415" s="783"/>
      <c r="J415" s="783"/>
      <c r="K415" s="783"/>
      <c r="L415" s="783"/>
      <c r="M415" s="783"/>
      <c r="N415" s="783"/>
      <c r="O415" s="914"/>
      <c r="P415" s="782"/>
      <c r="Q415" s="782"/>
      <c r="R415" s="820"/>
    </row>
    <row r="416" spans="1:39" ht="23.25" customHeight="1">
      <c r="A416" s="785"/>
      <c r="B416" s="787" t="s">
        <v>668</v>
      </c>
      <c r="C416" s="783" t="s">
        <v>532</v>
      </c>
      <c r="D416" s="785" t="s">
        <v>723</v>
      </c>
      <c r="E416" s="788" t="e">
        <f>E420+E446+E448</f>
        <v>#VALUE!</v>
      </c>
      <c r="F416" s="788">
        <f t="shared" ref="F416:N416" si="56">F420+F446+F448</f>
        <v>0</v>
      </c>
      <c r="G416" s="788">
        <f t="shared" si="56"/>
        <v>0</v>
      </c>
      <c r="H416" s="788">
        <f t="shared" si="56"/>
        <v>13723.005216666663</v>
      </c>
      <c r="I416" s="788">
        <f t="shared" si="56"/>
        <v>24167.16</v>
      </c>
      <c r="J416" s="788">
        <f t="shared" si="56"/>
        <v>12760.176000000003</v>
      </c>
      <c r="K416" s="788">
        <f t="shared" si="56"/>
        <v>25256.540400000002</v>
      </c>
      <c r="L416" s="788" t="e">
        <f t="shared" si="56"/>
        <v>#VALUE!</v>
      </c>
      <c r="M416" s="788" t="e">
        <f t="shared" si="56"/>
        <v>#VALUE!</v>
      </c>
      <c r="N416" s="788" t="e">
        <f t="shared" si="56"/>
        <v>#VALUE!</v>
      </c>
      <c r="O416" s="915">
        <f>O420+O446+O448</f>
        <v>23706.984615384608</v>
      </c>
      <c r="P416" s="782"/>
      <c r="Q416" s="782"/>
      <c r="R416" s="820"/>
    </row>
    <row r="417" spans="1:18" ht="23.25" customHeight="1">
      <c r="A417" s="785"/>
      <c r="B417" s="787" t="s">
        <v>669</v>
      </c>
      <c r="C417" s="783" t="s">
        <v>532</v>
      </c>
      <c r="D417" s="785" t="s">
        <v>723</v>
      </c>
      <c r="E417" s="788" t="e">
        <f>E421+E446+E448</f>
        <v>#VALUE!</v>
      </c>
      <c r="F417" s="788">
        <f t="shared" ref="F417:O417" si="57">F421+F446+F448</f>
        <v>0</v>
      </c>
      <c r="G417" s="788">
        <f t="shared" si="57"/>
        <v>0</v>
      </c>
      <c r="H417" s="788">
        <f t="shared" si="57"/>
        <v>13723.005216666663</v>
      </c>
      <c r="I417" s="788">
        <f t="shared" si="57"/>
        <v>24167.16</v>
      </c>
      <c r="J417" s="788">
        <f t="shared" si="57"/>
        <v>12760.176000000003</v>
      </c>
      <c r="K417" s="788">
        <f t="shared" si="57"/>
        <v>25256.540400000002</v>
      </c>
      <c r="L417" s="788" t="e">
        <f t="shared" si="57"/>
        <v>#VALUE!</v>
      </c>
      <c r="M417" s="788" t="e">
        <f t="shared" si="57"/>
        <v>#VALUE!</v>
      </c>
      <c r="N417" s="788" t="e">
        <f t="shared" si="57"/>
        <v>#VALUE!</v>
      </c>
      <c r="O417" s="915">
        <f t="shared" si="57"/>
        <v>23307.359615384608</v>
      </c>
      <c r="P417" s="790">
        <f>'He so chung'!D$22</f>
        <v>5346.1538461538457</v>
      </c>
      <c r="Q417" s="790">
        <f>'He so chung'!D$23</f>
        <v>801.92307692307691</v>
      </c>
      <c r="R417" s="840"/>
    </row>
    <row r="418" spans="1:18" ht="19.5" customHeight="1">
      <c r="A418" s="785"/>
      <c r="B418" s="787"/>
      <c r="C418" s="783"/>
      <c r="D418" s="783"/>
      <c r="E418" s="783"/>
      <c r="F418" s="783"/>
      <c r="G418" s="784"/>
      <c r="H418" s="783"/>
      <c r="I418" s="783"/>
      <c r="J418" s="783"/>
      <c r="K418" s="783"/>
      <c r="L418" s="783"/>
      <c r="M418" s="783"/>
      <c r="N418" s="783"/>
      <c r="O418" s="914"/>
      <c r="P418" s="790"/>
      <c r="Q418" s="790"/>
      <c r="R418" s="840"/>
    </row>
    <row r="419" spans="1:18" ht="25.5" customHeight="1">
      <c r="A419" s="785" t="s">
        <v>1000</v>
      </c>
      <c r="B419" s="789" t="s">
        <v>339</v>
      </c>
      <c r="C419" s="783"/>
      <c r="D419" s="783"/>
      <c r="E419" s="783"/>
      <c r="F419" s="783"/>
      <c r="G419" s="784"/>
      <c r="H419" s="783"/>
      <c r="I419" s="783"/>
      <c r="J419" s="783"/>
      <c r="K419" s="783"/>
      <c r="L419" s="783"/>
      <c r="M419" s="783"/>
      <c r="N419" s="783"/>
      <c r="O419" s="914"/>
      <c r="P419" s="790"/>
      <c r="Q419" s="790"/>
      <c r="R419" s="840"/>
    </row>
    <row r="420" spans="1:18" ht="20.25" customHeight="1">
      <c r="A420" s="791" t="s">
        <v>1008</v>
      </c>
      <c r="B420" s="787" t="s">
        <v>668</v>
      </c>
      <c r="C420" s="783" t="s">
        <v>532</v>
      </c>
      <c r="D420" s="909"/>
      <c r="E420" s="793" t="e">
        <f>E423+E425+E426+E427+E428+E430+E432+E434+E436+E437+E440+E441+E442+E443+E444+E445</f>
        <v>#VALUE!</v>
      </c>
      <c r="F420" s="911"/>
      <c r="G420" s="795"/>
      <c r="H420" s="793">
        <f>'Dcu-DKDD'!$L$280*1.3</f>
        <v>13601.140991666663</v>
      </c>
      <c r="I420" s="793">
        <f>'VL-DKDD'!$J$283</f>
        <v>23281.56</v>
      </c>
      <c r="J420" s="793">
        <f>'TB-DKDD'!$M$159*1.3</f>
        <v>12760.176000000003</v>
      </c>
      <c r="K420" s="793">
        <f>'NL-DKDD'!$J$108*1.3</f>
        <v>25256.540400000002</v>
      </c>
      <c r="L420" s="793" t="e">
        <f>SUM(E420:K420)</f>
        <v>#VALUE!</v>
      </c>
      <c r="M420" s="793" t="e">
        <f>L420*'He so chung'!$D$17/100</f>
        <v>#VALUE!</v>
      </c>
      <c r="N420" s="793" t="e">
        <f>L420+M420</f>
        <v>#VALUE!</v>
      </c>
      <c r="O420" s="793">
        <f>O423+O425+O426+O427+O428+O430+O432+O434+O436+O437+O440+O441+O442+O443+O444+O445</f>
        <v>23387.284615384611</v>
      </c>
      <c r="P420" s="782"/>
      <c r="Q420" s="782"/>
      <c r="R420" s="801"/>
    </row>
    <row r="421" spans="1:18" ht="20.25" customHeight="1">
      <c r="A421" s="791" t="s">
        <v>1009</v>
      </c>
      <c r="B421" s="787" t="s">
        <v>669</v>
      </c>
      <c r="C421" s="783" t="s">
        <v>532</v>
      </c>
      <c r="D421" s="909"/>
      <c r="E421" s="793" t="e">
        <f>E424+E425+E426+E427+E428+E430+E432+E434+E436+E437+E440+E441+E442+E443+E444+E445</f>
        <v>#VALUE!</v>
      </c>
      <c r="F421" s="911"/>
      <c r="G421" s="795"/>
      <c r="H421" s="793">
        <f>'Dcu-DKDD'!$L$280*1.3</f>
        <v>13601.140991666663</v>
      </c>
      <c r="I421" s="793">
        <f>'VL-DKDD'!$J$283</f>
        <v>23281.56</v>
      </c>
      <c r="J421" s="793">
        <f>'TB-DKDD'!$M$159*1.3</f>
        <v>12760.176000000003</v>
      </c>
      <c r="K421" s="793">
        <f>'NL-DKDD'!$J$108*1.3</f>
        <v>25256.540400000002</v>
      </c>
      <c r="L421" s="793" t="e">
        <f>SUM(E421:K421)</f>
        <v>#VALUE!</v>
      </c>
      <c r="M421" s="793" t="e">
        <f>L421*'He so chung'!$D$17/100</f>
        <v>#VALUE!</v>
      </c>
      <c r="N421" s="793" t="e">
        <f>L421+M421</f>
        <v>#VALUE!</v>
      </c>
      <c r="O421" s="793">
        <f>O424+O425+O426+O427+O428+O430+O432+O434+O436+O437+O440+O441+O442+O443+O444+O445</f>
        <v>22987.659615384611</v>
      </c>
      <c r="P421" s="782"/>
      <c r="Q421" s="782"/>
      <c r="R421" s="801"/>
    </row>
    <row r="422" spans="1:18" ht="19.5" customHeight="1">
      <c r="A422" s="798">
        <v>1</v>
      </c>
      <c r="B422" s="799" t="s">
        <v>368</v>
      </c>
      <c r="C422" s="912"/>
      <c r="D422" s="909"/>
      <c r="E422" s="911"/>
      <c r="F422" s="911"/>
      <c r="G422" s="795"/>
      <c r="H422" s="911"/>
      <c r="I422" s="911"/>
      <c r="J422" s="911"/>
      <c r="K422" s="911"/>
      <c r="L422" s="911"/>
      <c r="M422" s="911"/>
      <c r="N422" s="911"/>
      <c r="O422" s="916"/>
      <c r="P422" s="782"/>
      <c r="Q422" s="782"/>
      <c r="R422" s="801"/>
    </row>
    <row r="423" spans="1:18" ht="22.5" customHeight="1">
      <c r="A423" s="798" t="s">
        <v>733</v>
      </c>
      <c r="B423" s="799" t="s">
        <v>846</v>
      </c>
      <c r="C423" s="798" t="s">
        <v>532</v>
      </c>
      <c r="D423" s="792" t="s">
        <v>723</v>
      </c>
      <c r="E423" s="794" t="e">
        <f>NC_DKDD!H840</f>
        <v>#VALUE!</v>
      </c>
      <c r="F423" s="911"/>
      <c r="G423" s="795"/>
      <c r="H423" s="911"/>
      <c r="I423" s="911"/>
      <c r="J423" s="911"/>
      <c r="K423" s="911"/>
      <c r="L423" s="911"/>
      <c r="M423" s="911"/>
      <c r="N423" s="911"/>
      <c r="O423" s="916">
        <f t="shared" ref="O423:O449" si="58">P423+Q423</f>
        <v>1998.125</v>
      </c>
      <c r="P423" s="782">
        <f t="shared" ref="P423:P449" si="59">R423*P$206</f>
        <v>1737.5</v>
      </c>
      <c r="Q423" s="782">
        <f t="shared" ref="Q423:Q449" si="60">R423*Q$206</f>
        <v>260.625</v>
      </c>
      <c r="R423" s="801">
        <f>NC_DKDD!G840</f>
        <v>0.32500000000000001</v>
      </c>
    </row>
    <row r="424" spans="1:18" ht="22.5" customHeight="1">
      <c r="A424" s="798" t="s">
        <v>741</v>
      </c>
      <c r="B424" s="799" t="s">
        <v>849</v>
      </c>
      <c r="C424" s="798" t="s">
        <v>532</v>
      </c>
      <c r="D424" s="792" t="s">
        <v>723</v>
      </c>
      <c r="E424" s="794" t="e">
        <f>NC_DKDD!H841</f>
        <v>#VALUE!</v>
      </c>
      <c r="F424" s="911"/>
      <c r="G424" s="795"/>
      <c r="H424" s="911"/>
      <c r="I424" s="911"/>
      <c r="J424" s="911"/>
      <c r="K424" s="911"/>
      <c r="L424" s="911"/>
      <c r="M424" s="911"/>
      <c r="N424" s="911"/>
      <c r="O424" s="916">
        <f t="shared" si="58"/>
        <v>1598.5</v>
      </c>
      <c r="P424" s="782">
        <f t="shared" si="59"/>
        <v>1390</v>
      </c>
      <c r="Q424" s="782">
        <f t="shared" si="60"/>
        <v>208.5</v>
      </c>
      <c r="R424" s="801">
        <f>NC_DKDD!G841</f>
        <v>0.26</v>
      </c>
    </row>
    <row r="425" spans="1:18" ht="28.5">
      <c r="A425" s="798">
        <v>2</v>
      </c>
      <c r="B425" s="799" t="s">
        <v>797</v>
      </c>
      <c r="C425" s="798" t="s">
        <v>532</v>
      </c>
      <c r="D425" s="792" t="s">
        <v>723</v>
      </c>
      <c r="E425" s="794" t="e">
        <f>NC_DKDD!H842</f>
        <v>#VALUE!</v>
      </c>
      <c r="F425" s="911"/>
      <c r="G425" s="795"/>
      <c r="H425" s="911"/>
      <c r="I425" s="911"/>
      <c r="J425" s="911"/>
      <c r="K425" s="911"/>
      <c r="L425" s="911"/>
      <c r="M425" s="911"/>
      <c r="N425" s="911"/>
      <c r="O425" s="916">
        <f t="shared" si="58"/>
        <v>1598.5</v>
      </c>
      <c r="P425" s="782">
        <f t="shared" si="59"/>
        <v>1390</v>
      </c>
      <c r="Q425" s="782">
        <f t="shared" si="60"/>
        <v>208.5</v>
      </c>
      <c r="R425" s="801">
        <f>NC_DKDD!G842</f>
        <v>0.26</v>
      </c>
    </row>
    <row r="426" spans="1:18" ht="28.5">
      <c r="A426" s="798">
        <v>3</v>
      </c>
      <c r="B426" s="799" t="s">
        <v>369</v>
      </c>
      <c r="C426" s="798" t="s">
        <v>375</v>
      </c>
      <c r="D426" s="792" t="s">
        <v>723</v>
      </c>
      <c r="E426" s="794" t="e">
        <f>NC_DKDD!H843</f>
        <v>#VALUE!</v>
      </c>
      <c r="F426" s="911"/>
      <c r="G426" s="795"/>
      <c r="H426" s="911"/>
      <c r="I426" s="911"/>
      <c r="J426" s="911"/>
      <c r="K426" s="911"/>
      <c r="L426" s="911"/>
      <c r="M426" s="911"/>
      <c r="N426" s="911"/>
      <c r="O426" s="916">
        <f t="shared" si="58"/>
        <v>1026.728846153846</v>
      </c>
      <c r="P426" s="782">
        <f t="shared" si="59"/>
        <v>892.80769230769226</v>
      </c>
      <c r="Q426" s="782">
        <f t="shared" si="60"/>
        <v>133.92115384615386</v>
      </c>
      <c r="R426" s="801">
        <f>NC_DKDD!G843</f>
        <v>0.16700000000000001</v>
      </c>
    </row>
    <row r="427" spans="1:18" ht="28.5">
      <c r="A427" s="798">
        <v>4</v>
      </c>
      <c r="B427" s="799" t="s">
        <v>370</v>
      </c>
      <c r="C427" s="798" t="s">
        <v>532</v>
      </c>
      <c r="D427" s="792" t="s">
        <v>723</v>
      </c>
      <c r="E427" s="794" t="e">
        <f>NC_DKDD!H844</f>
        <v>#VALUE!</v>
      </c>
      <c r="F427" s="911"/>
      <c r="G427" s="795"/>
      <c r="H427" s="911"/>
      <c r="I427" s="911"/>
      <c r="J427" s="911"/>
      <c r="K427" s="911"/>
      <c r="L427" s="911"/>
      <c r="M427" s="911"/>
      <c r="N427" s="911"/>
      <c r="O427" s="916">
        <f t="shared" si="58"/>
        <v>7992.5</v>
      </c>
      <c r="P427" s="782">
        <f t="shared" si="59"/>
        <v>6950</v>
      </c>
      <c r="Q427" s="782">
        <f t="shared" si="60"/>
        <v>1042.5</v>
      </c>
      <c r="R427" s="801">
        <f>NC_DKDD!G844</f>
        <v>1.3</v>
      </c>
    </row>
    <row r="428" spans="1:18" ht="29.25" customHeight="1">
      <c r="A428" s="798">
        <v>5</v>
      </c>
      <c r="B428" s="799" t="s">
        <v>371</v>
      </c>
      <c r="C428" s="798" t="s">
        <v>375</v>
      </c>
      <c r="D428" s="792" t="s">
        <v>723</v>
      </c>
      <c r="E428" s="794" t="e">
        <f>NC_DKDD!H845</f>
        <v>#VALUE!</v>
      </c>
      <c r="F428" s="911"/>
      <c r="G428" s="795"/>
      <c r="H428" s="911"/>
      <c r="I428" s="911"/>
      <c r="J428" s="911"/>
      <c r="K428" s="911"/>
      <c r="L428" s="911"/>
      <c r="M428" s="911"/>
      <c r="N428" s="911"/>
      <c r="O428" s="916">
        <f t="shared" si="58"/>
        <v>36.888461538461534</v>
      </c>
      <c r="P428" s="782">
        <f t="shared" si="59"/>
        <v>32.076923076923073</v>
      </c>
      <c r="Q428" s="782">
        <f t="shared" si="60"/>
        <v>4.8115384615384613</v>
      </c>
      <c r="R428" s="801">
        <f>NC_DKDD!G845</f>
        <v>6.0000000000000001E-3</v>
      </c>
    </row>
    <row r="429" spans="1:18" ht="42.75">
      <c r="A429" s="798">
        <v>6</v>
      </c>
      <c r="B429" s="799" t="s">
        <v>802</v>
      </c>
      <c r="C429" s="798"/>
      <c r="D429" s="798"/>
      <c r="E429" s="794">
        <f>NC_DKDD!H846</f>
        <v>0</v>
      </c>
      <c r="F429" s="911"/>
      <c r="G429" s="795"/>
      <c r="H429" s="911"/>
      <c r="I429" s="911"/>
      <c r="J429" s="911"/>
      <c r="K429" s="911"/>
      <c r="L429" s="911"/>
      <c r="M429" s="911"/>
      <c r="N429" s="911"/>
      <c r="O429" s="916">
        <f t="shared" si="58"/>
        <v>0</v>
      </c>
      <c r="P429" s="782">
        <f t="shared" si="59"/>
        <v>0</v>
      </c>
      <c r="Q429" s="782">
        <f t="shared" si="60"/>
        <v>0</v>
      </c>
      <c r="R429" s="801">
        <f>NC_DKDD!G846</f>
        <v>0</v>
      </c>
    </row>
    <row r="430" spans="1:18" ht="22.5" customHeight="1">
      <c r="A430" s="798" t="s">
        <v>661</v>
      </c>
      <c r="B430" s="799" t="s">
        <v>587</v>
      </c>
      <c r="C430" s="798" t="s">
        <v>532</v>
      </c>
      <c r="D430" s="792" t="s">
        <v>723</v>
      </c>
      <c r="E430" s="794" t="e">
        <f>NC_DKDD!H847</f>
        <v>#VALUE!</v>
      </c>
      <c r="F430" s="911"/>
      <c r="G430" s="795"/>
      <c r="H430" s="911"/>
      <c r="I430" s="911"/>
      <c r="J430" s="911"/>
      <c r="K430" s="911"/>
      <c r="L430" s="911"/>
      <c r="M430" s="911"/>
      <c r="N430" s="911"/>
      <c r="O430" s="916">
        <f t="shared" si="58"/>
        <v>307.40384615384619</v>
      </c>
      <c r="P430" s="782">
        <f t="shared" si="59"/>
        <v>267.30769230769232</v>
      </c>
      <c r="Q430" s="782">
        <f t="shared" si="60"/>
        <v>40.096153846153847</v>
      </c>
      <c r="R430" s="801">
        <f>NC_DKDD!G847</f>
        <v>0.05</v>
      </c>
    </row>
    <row r="431" spans="1:18" ht="22.5" customHeight="1">
      <c r="A431" s="798" t="s">
        <v>662</v>
      </c>
      <c r="B431" s="799" t="s">
        <v>588</v>
      </c>
      <c r="C431" s="798" t="s">
        <v>532</v>
      </c>
      <c r="D431" s="792" t="s">
        <v>723</v>
      </c>
      <c r="E431" s="794" t="e">
        <f>NC_DKDD!H848</f>
        <v>#VALUE!</v>
      </c>
      <c r="F431" s="911"/>
      <c r="G431" s="795"/>
      <c r="H431" s="911"/>
      <c r="I431" s="911"/>
      <c r="J431" s="911"/>
      <c r="K431" s="911"/>
      <c r="L431" s="911"/>
      <c r="M431" s="911"/>
      <c r="N431" s="911"/>
      <c r="O431" s="916">
        <f t="shared" si="58"/>
        <v>614.80769230769238</v>
      </c>
      <c r="P431" s="782">
        <f t="shared" si="59"/>
        <v>534.61538461538464</v>
      </c>
      <c r="Q431" s="782">
        <f t="shared" si="60"/>
        <v>80.192307692307693</v>
      </c>
      <c r="R431" s="801">
        <f>NC_DKDD!G848</f>
        <v>0.1</v>
      </c>
    </row>
    <row r="432" spans="1:18">
      <c r="A432" s="798">
        <v>7</v>
      </c>
      <c r="B432" s="799" t="s">
        <v>362</v>
      </c>
      <c r="C432" s="798" t="s">
        <v>375</v>
      </c>
      <c r="D432" s="792" t="s">
        <v>723</v>
      </c>
      <c r="E432" s="794" t="e">
        <f>NC_DKDD!H849</f>
        <v>#VALUE!</v>
      </c>
      <c r="F432" s="911"/>
      <c r="G432" s="795"/>
      <c r="H432" s="911"/>
      <c r="I432" s="911"/>
      <c r="J432" s="911"/>
      <c r="K432" s="911"/>
      <c r="L432" s="911"/>
      <c r="M432" s="911"/>
      <c r="N432" s="911"/>
      <c r="O432" s="916">
        <f t="shared" si="58"/>
        <v>1026.728846153846</v>
      </c>
      <c r="P432" s="782">
        <f t="shared" si="59"/>
        <v>892.80769230769226</v>
      </c>
      <c r="Q432" s="782">
        <f t="shared" si="60"/>
        <v>133.92115384615386</v>
      </c>
      <c r="R432" s="801">
        <f>NC_DKDD!G849</f>
        <v>0.16700000000000001</v>
      </c>
    </row>
    <row r="433" spans="1:18" ht="19.5" customHeight="1">
      <c r="A433" s="798">
        <v>8</v>
      </c>
      <c r="B433" s="799" t="s">
        <v>80</v>
      </c>
      <c r="C433" s="798"/>
      <c r="D433" s="798"/>
      <c r="E433" s="794">
        <f>NC_DKDD!H850</f>
        <v>0</v>
      </c>
      <c r="F433" s="911"/>
      <c r="G433" s="795"/>
      <c r="H433" s="911"/>
      <c r="I433" s="911"/>
      <c r="J433" s="911"/>
      <c r="K433" s="911"/>
      <c r="L433" s="911"/>
      <c r="M433" s="911"/>
      <c r="N433" s="911"/>
      <c r="O433" s="916">
        <f t="shared" si="58"/>
        <v>0</v>
      </c>
      <c r="P433" s="782">
        <f t="shared" si="59"/>
        <v>0</v>
      </c>
      <c r="Q433" s="782">
        <f t="shared" si="60"/>
        <v>0</v>
      </c>
      <c r="R433" s="801">
        <f>NC_DKDD!G850</f>
        <v>0</v>
      </c>
    </row>
    <row r="434" spans="1:18" ht="28.5" customHeight="1">
      <c r="A434" s="798" t="s">
        <v>191</v>
      </c>
      <c r="B434" s="799" t="s">
        <v>82</v>
      </c>
      <c r="C434" s="798" t="s">
        <v>559</v>
      </c>
      <c r="D434" s="792" t="s">
        <v>723</v>
      </c>
      <c r="E434" s="794" t="e">
        <f>NC_DKDD!H851</f>
        <v>#VALUE!</v>
      </c>
      <c r="F434" s="911"/>
      <c r="G434" s="795"/>
      <c r="H434" s="911"/>
      <c r="I434" s="911"/>
      <c r="J434" s="911"/>
      <c r="K434" s="911"/>
      <c r="L434" s="911"/>
      <c r="M434" s="911"/>
      <c r="N434" s="911"/>
      <c r="O434" s="916">
        <f t="shared" si="58"/>
        <v>614.80769230769238</v>
      </c>
      <c r="P434" s="782">
        <f t="shared" si="59"/>
        <v>534.61538461538464</v>
      </c>
      <c r="Q434" s="782">
        <f t="shared" si="60"/>
        <v>80.192307692307693</v>
      </c>
      <c r="R434" s="801">
        <f>NC_DKDD!G851</f>
        <v>0.1</v>
      </c>
    </row>
    <row r="435" spans="1:18" ht="24.75" customHeight="1">
      <c r="A435" s="798" t="s">
        <v>192</v>
      </c>
      <c r="B435" s="799" t="s">
        <v>84</v>
      </c>
      <c r="C435" s="798" t="s">
        <v>559</v>
      </c>
      <c r="D435" s="792" t="s">
        <v>723</v>
      </c>
      <c r="E435" s="794" t="e">
        <f>NC_DKDD!H852</f>
        <v>#VALUE!</v>
      </c>
      <c r="F435" s="911"/>
      <c r="G435" s="795"/>
      <c r="H435" s="911"/>
      <c r="I435" s="911"/>
      <c r="J435" s="911"/>
      <c r="K435" s="911"/>
      <c r="L435" s="911"/>
      <c r="M435" s="911"/>
      <c r="N435" s="911"/>
      <c r="O435" s="916">
        <f t="shared" si="58"/>
        <v>1229.6153846153848</v>
      </c>
      <c r="P435" s="782">
        <f t="shared" si="59"/>
        <v>1069.2307692307693</v>
      </c>
      <c r="Q435" s="782">
        <f t="shared" si="60"/>
        <v>160.38461538461539</v>
      </c>
      <c r="R435" s="801">
        <f>NC_DKDD!G852</f>
        <v>0.2</v>
      </c>
    </row>
    <row r="436" spans="1:18" ht="42.75">
      <c r="A436" s="798">
        <v>9</v>
      </c>
      <c r="B436" s="799" t="s">
        <v>372</v>
      </c>
      <c r="C436" s="798" t="s">
        <v>532</v>
      </c>
      <c r="D436" s="792" t="s">
        <v>723</v>
      </c>
      <c r="E436" s="794" t="e">
        <f>NC_DKDD!H853</f>
        <v>#VALUE!</v>
      </c>
      <c r="F436" s="911"/>
      <c r="G436" s="795"/>
      <c r="H436" s="911"/>
      <c r="I436" s="911"/>
      <c r="J436" s="911"/>
      <c r="K436" s="911"/>
      <c r="L436" s="911"/>
      <c r="M436" s="911"/>
      <c r="N436" s="911"/>
      <c r="O436" s="916">
        <f t="shared" si="58"/>
        <v>3996.25</v>
      </c>
      <c r="P436" s="782">
        <f t="shared" si="59"/>
        <v>3475</v>
      </c>
      <c r="Q436" s="782">
        <f t="shared" si="60"/>
        <v>521.25</v>
      </c>
      <c r="R436" s="801">
        <f>NC_DKDD!G853</f>
        <v>0.65</v>
      </c>
    </row>
    <row r="437" spans="1:18" ht="42.75">
      <c r="A437" s="798">
        <v>10</v>
      </c>
      <c r="B437" s="799" t="s">
        <v>699</v>
      </c>
      <c r="C437" s="798" t="s">
        <v>532</v>
      </c>
      <c r="D437" s="792" t="s">
        <v>723</v>
      </c>
      <c r="E437" s="794" t="e">
        <f>NC_DKDD!H854</f>
        <v>#VALUE!</v>
      </c>
      <c r="F437" s="911"/>
      <c r="G437" s="795"/>
      <c r="H437" s="911"/>
      <c r="I437" s="911"/>
      <c r="J437" s="911"/>
      <c r="K437" s="911"/>
      <c r="L437" s="911"/>
      <c r="M437" s="911"/>
      <c r="N437" s="911"/>
      <c r="O437" s="916">
        <f t="shared" si="58"/>
        <v>3756.4749999999995</v>
      </c>
      <c r="P437" s="782">
        <f t="shared" si="59"/>
        <v>3266.4999999999995</v>
      </c>
      <c r="Q437" s="782">
        <f t="shared" si="60"/>
        <v>489.97499999999997</v>
      </c>
      <c r="R437" s="801">
        <f>NC_DKDD!G854</f>
        <v>0.61099999999999999</v>
      </c>
    </row>
    <row r="438" spans="1:18" ht="20.25" customHeight="1">
      <c r="A438" s="798">
        <v>11</v>
      </c>
      <c r="B438" s="799" t="s">
        <v>88</v>
      </c>
      <c r="C438" s="798"/>
      <c r="D438" s="798"/>
      <c r="E438" s="794">
        <f>NC_DKDD!H855</f>
        <v>0</v>
      </c>
      <c r="F438" s="911"/>
      <c r="G438" s="795"/>
      <c r="H438" s="911"/>
      <c r="I438" s="911"/>
      <c r="J438" s="911"/>
      <c r="K438" s="911"/>
      <c r="L438" s="911"/>
      <c r="M438" s="911"/>
      <c r="N438" s="911"/>
      <c r="O438" s="916">
        <f t="shared" si="58"/>
        <v>0</v>
      </c>
      <c r="P438" s="782">
        <f t="shared" si="59"/>
        <v>0</v>
      </c>
      <c r="Q438" s="782">
        <f t="shared" si="60"/>
        <v>0</v>
      </c>
      <c r="R438" s="801">
        <f>NC_DKDD!G855</f>
        <v>0</v>
      </c>
    </row>
    <row r="439" spans="1:18" ht="28.5">
      <c r="A439" s="798" t="s">
        <v>719</v>
      </c>
      <c r="B439" s="799" t="s">
        <v>775</v>
      </c>
      <c r="C439" s="798"/>
      <c r="D439" s="798"/>
      <c r="E439" s="794">
        <f>NC_DKDD!H856</f>
        <v>0</v>
      </c>
      <c r="F439" s="911"/>
      <c r="G439" s="795"/>
      <c r="H439" s="911"/>
      <c r="I439" s="911"/>
      <c r="J439" s="911"/>
      <c r="K439" s="911"/>
      <c r="L439" s="911"/>
      <c r="M439" s="911"/>
      <c r="N439" s="911"/>
      <c r="O439" s="916">
        <f t="shared" si="58"/>
        <v>0</v>
      </c>
      <c r="P439" s="782">
        <f t="shared" si="59"/>
        <v>0</v>
      </c>
      <c r="Q439" s="782">
        <f t="shared" si="60"/>
        <v>0</v>
      </c>
      <c r="R439" s="801">
        <f>NC_DKDD!G856</f>
        <v>0</v>
      </c>
    </row>
    <row r="440" spans="1:18" ht="19.5" customHeight="1">
      <c r="A440" s="798" t="s">
        <v>365</v>
      </c>
      <c r="B440" s="799" t="s">
        <v>777</v>
      </c>
      <c r="C440" s="798" t="s">
        <v>377</v>
      </c>
      <c r="D440" s="792" t="s">
        <v>723</v>
      </c>
      <c r="E440" s="794" t="e">
        <f>NC_DKDD!H857</f>
        <v>#VALUE!</v>
      </c>
      <c r="F440" s="911"/>
      <c r="G440" s="795"/>
      <c r="H440" s="911"/>
      <c r="I440" s="911"/>
      <c r="J440" s="911"/>
      <c r="K440" s="911"/>
      <c r="L440" s="911"/>
      <c r="M440" s="911"/>
      <c r="N440" s="911"/>
      <c r="O440" s="916">
        <f t="shared" si="58"/>
        <v>98.369230769230768</v>
      </c>
      <c r="P440" s="782">
        <f t="shared" si="59"/>
        <v>85.538461538461533</v>
      </c>
      <c r="Q440" s="782">
        <f t="shared" si="60"/>
        <v>12.830769230769231</v>
      </c>
      <c r="R440" s="801">
        <f>NC_DKDD!G857</f>
        <v>1.6E-2</v>
      </c>
    </row>
    <row r="441" spans="1:18" ht="19.5" customHeight="1">
      <c r="A441" s="798" t="s">
        <v>366</v>
      </c>
      <c r="B441" s="799" t="s">
        <v>781</v>
      </c>
      <c r="C441" s="798" t="s">
        <v>377</v>
      </c>
      <c r="D441" s="792" t="s">
        <v>723</v>
      </c>
      <c r="E441" s="794" t="e">
        <f>NC_DKDD!H858</f>
        <v>#VALUE!</v>
      </c>
      <c r="F441" s="911"/>
      <c r="G441" s="795"/>
      <c r="H441" s="911"/>
      <c r="I441" s="911"/>
      <c r="J441" s="911"/>
      <c r="K441" s="911"/>
      <c r="L441" s="911"/>
      <c r="M441" s="911"/>
      <c r="N441" s="911"/>
      <c r="O441" s="916">
        <f t="shared" si="58"/>
        <v>49.184615384615384</v>
      </c>
      <c r="P441" s="782">
        <f t="shared" si="59"/>
        <v>42.769230769230766</v>
      </c>
      <c r="Q441" s="782">
        <f t="shared" si="60"/>
        <v>6.4153846153846157</v>
      </c>
      <c r="R441" s="801">
        <f>NC_DKDD!G858</f>
        <v>8.0000000000000002E-3</v>
      </c>
    </row>
    <row r="442" spans="1:18" ht="28.5">
      <c r="A442" s="798" t="s">
        <v>720</v>
      </c>
      <c r="B442" s="799" t="s">
        <v>861</v>
      </c>
      <c r="C442" s="798" t="s">
        <v>377</v>
      </c>
      <c r="D442" s="792" t="s">
        <v>723</v>
      </c>
      <c r="E442" s="794" t="e">
        <f>NC_DKDD!H859</f>
        <v>#VALUE!</v>
      </c>
      <c r="F442" s="911"/>
      <c r="G442" s="795"/>
      <c r="H442" s="911"/>
      <c r="I442" s="911"/>
      <c r="J442" s="911"/>
      <c r="K442" s="911"/>
      <c r="L442" s="911"/>
      <c r="M442" s="911"/>
      <c r="N442" s="911"/>
      <c r="O442" s="916">
        <f t="shared" si="58"/>
        <v>24.592307692307692</v>
      </c>
      <c r="P442" s="782">
        <f t="shared" si="59"/>
        <v>21.384615384615383</v>
      </c>
      <c r="Q442" s="782">
        <f t="shared" si="60"/>
        <v>3.2076923076923078</v>
      </c>
      <c r="R442" s="801">
        <f>NC_DKDD!G859</f>
        <v>4.0000000000000001E-3</v>
      </c>
    </row>
    <row r="443" spans="1:18" ht="21" customHeight="1">
      <c r="A443" s="798" t="s">
        <v>721</v>
      </c>
      <c r="B443" s="799" t="s">
        <v>863</v>
      </c>
      <c r="C443" s="798" t="s">
        <v>375</v>
      </c>
      <c r="D443" s="792" t="s">
        <v>723</v>
      </c>
      <c r="E443" s="794" t="e">
        <f>NC_DKDD!H860</f>
        <v>#VALUE!</v>
      </c>
      <c r="F443" s="911"/>
      <c r="G443" s="795"/>
      <c r="H443" s="911"/>
      <c r="I443" s="911"/>
      <c r="J443" s="911"/>
      <c r="K443" s="911"/>
      <c r="L443" s="911"/>
      <c r="M443" s="911"/>
      <c r="N443" s="911"/>
      <c r="O443" s="916">
        <f t="shared" si="58"/>
        <v>61.480769230769226</v>
      </c>
      <c r="P443" s="782">
        <f t="shared" si="59"/>
        <v>53.46153846153846</v>
      </c>
      <c r="Q443" s="782">
        <f t="shared" si="60"/>
        <v>8.0192307692307701</v>
      </c>
      <c r="R443" s="801">
        <f>NC_DKDD!G860</f>
        <v>0.01</v>
      </c>
    </row>
    <row r="444" spans="1:18" ht="57">
      <c r="A444" s="798">
        <v>12</v>
      </c>
      <c r="B444" s="799" t="s">
        <v>108</v>
      </c>
      <c r="C444" s="798" t="s">
        <v>532</v>
      </c>
      <c r="D444" s="792" t="s">
        <v>723</v>
      </c>
      <c r="E444" s="794" t="e">
        <f>NC_DKDD!H861</f>
        <v>#VALUE!</v>
      </c>
      <c r="F444" s="911"/>
      <c r="G444" s="795"/>
      <c r="H444" s="911"/>
      <c r="I444" s="911"/>
      <c r="J444" s="911"/>
      <c r="K444" s="911"/>
      <c r="L444" s="911"/>
      <c r="M444" s="911"/>
      <c r="N444" s="911"/>
      <c r="O444" s="916">
        <f t="shared" si="58"/>
        <v>399.625</v>
      </c>
      <c r="P444" s="782">
        <f t="shared" si="59"/>
        <v>347.5</v>
      </c>
      <c r="Q444" s="782">
        <f t="shared" si="60"/>
        <v>52.125</v>
      </c>
      <c r="R444" s="801">
        <f>NC_DKDD!G861</f>
        <v>6.5000000000000002E-2</v>
      </c>
    </row>
    <row r="445" spans="1:18" ht="32.25" customHeight="1">
      <c r="A445" s="798">
        <v>13</v>
      </c>
      <c r="B445" s="799" t="s">
        <v>109</v>
      </c>
      <c r="C445" s="798" t="s">
        <v>532</v>
      </c>
      <c r="D445" s="792" t="s">
        <v>723</v>
      </c>
      <c r="E445" s="794" t="e">
        <f>NC_DKDD!H862</f>
        <v>#VALUE!</v>
      </c>
      <c r="F445" s="911"/>
      <c r="G445" s="795"/>
      <c r="H445" s="911"/>
      <c r="I445" s="911"/>
      <c r="J445" s="911"/>
      <c r="K445" s="911"/>
      <c r="L445" s="911"/>
      <c r="M445" s="911"/>
      <c r="N445" s="911"/>
      <c r="O445" s="916">
        <f t="shared" si="58"/>
        <v>399.625</v>
      </c>
      <c r="P445" s="782">
        <f t="shared" si="59"/>
        <v>347.5</v>
      </c>
      <c r="Q445" s="782">
        <f t="shared" si="60"/>
        <v>52.125</v>
      </c>
      <c r="R445" s="801">
        <f>NC_DKDD!G862</f>
        <v>6.5000000000000002E-2</v>
      </c>
    </row>
    <row r="446" spans="1:18" ht="19.5" customHeight="1">
      <c r="A446" s="791" t="s">
        <v>1005</v>
      </c>
      <c r="B446" s="787" t="s">
        <v>582</v>
      </c>
      <c r="C446" s="798"/>
      <c r="D446" s="798"/>
      <c r="E446" s="793" t="e">
        <f>E447</f>
        <v>#VALUE!</v>
      </c>
      <c r="F446" s="911"/>
      <c r="G446" s="795"/>
      <c r="H446" s="911"/>
      <c r="I446" s="911"/>
      <c r="J446" s="911"/>
      <c r="K446" s="911"/>
      <c r="L446" s="796" t="e">
        <f>SUM(E446:K446)</f>
        <v>#VALUE!</v>
      </c>
      <c r="M446" s="796" t="e">
        <f>L446*'He so chung'!$D$17/100</f>
        <v>#VALUE!</v>
      </c>
      <c r="N446" s="796" t="e">
        <f>L446+M446</f>
        <v>#VALUE!</v>
      </c>
      <c r="O446" s="808">
        <f>O447</f>
        <v>159.84999999999997</v>
      </c>
      <c r="P446" s="782">
        <f t="shared" si="59"/>
        <v>0</v>
      </c>
      <c r="Q446" s="782">
        <f t="shared" si="60"/>
        <v>0</v>
      </c>
      <c r="R446" s="801">
        <f>NC_DKDD!G863</f>
        <v>0</v>
      </c>
    </row>
    <row r="447" spans="1:18" ht="24" customHeight="1">
      <c r="A447" s="798">
        <v>1</v>
      </c>
      <c r="B447" s="799" t="s">
        <v>626</v>
      </c>
      <c r="C447" s="798" t="s">
        <v>532</v>
      </c>
      <c r="D447" s="792" t="s">
        <v>723</v>
      </c>
      <c r="E447" s="794" t="e">
        <f>NC_DKDD!H864</f>
        <v>#VALUE!</v>
      </c>
      <c r="F447" s="911"/>
      <c r="G447" s="795"/>
      <c r="H447" s="911"/>
      <c r="I447" s="911"/>
      <c r="J447" s="911"/>
      <c r="K447" s="911"/>
      <c r="L447" s="911"/>
      <c r="M447" s="911"/>
      <c r="N447" s="911"/>
      <c r="O447" s="916">
        <f t="shared" si="58"/>
        <v>159.84999999999997</v>
      </c>
      <c r="P447" s="782">
        <f t="shared" si="59"/>
        <v>138.99999999999997</v>
      </c>
      <c r="Q447" s="782">
        <f t="shared" si="60"/>
        <v>20.849999999999998</v>
      </c>
      <c r="R447" s="801">
        <f>NC_DKDD!G864</f>
        <v>2.5999999999999999E-2</v>
      </c>
    </row>
    <row r="448" spans="1:18" ht="19.5" customHeight="1">
      <c r="A448" s="791" t="s">
        <v>755</v>
      </c>
      <c r="B448" s="787" t="s">
        <v>460</v>
      </c>
      <c r="C448" s="798"/>
      <c r="D448" s="909"/>
      <c r="E448" s="793" t="e">
        <f>E449</f>
        <v>#VALUE!</v>
      </c>
      <c r="F448" s="911"/>
      <c r="G448" s="795"/>
      <c r="H448" s="913">
        <f>'Dcu-DKDD'!$H$280*1.3</f>
        <v>121.86422499999999</v>
      </c>
      <c r="I448" s="913">
        <f>'VL-DKDD'!$F$283</f>
        <v>885.6</v>
      </c>
      <c r="J448" s="911"/>
      <c r="K448" s="911"/>
      <c r="L448" s="796" t="e">
        <f>SUM(E448:K448)</f>
        <v>#VALUE!</v>
      </c>
      <c r="M448" s="796" t="e">
        <f>L448*'He so chung'!$D$17/100</f>
        <v>#VALUE!</v>
      </c>
      <c r="N448" s="796" t="e">
        <f>L448+M448</f>
        <v>#VALUE!</v>
      </c>
      <c r="O448" s="808">
        <f>O449</f>
        <v>159.84999999999997</v>
      </c>
      <c r="P448" s="782">
        <f t="shared" si="59"/>
        <v>0</v>
      </c>
      <c r="Q448" s="782">
        <f t="shared" si="60"/>
        <v>0</v>
      </c>
      <c r="R448" s="801">
        <f>NC_DKDD!G865</f>
        <v>0</v>
      </c>
    </row>
    <row r="449" spans="1:18" ht="28.5">
      <c r="A449" s="798">
        <v>1</v>
      </c>
      <c r="B449" s="799" t="s">
        <v>627</v>
      </c>
      <c r="C449" s="798" t="s">
        <v>532</v>
      </c>
      <c r="D449" s="792" t="s">
        <v>723</v>
      </c>
      <c r="E449" s="794" t="e">
        <f>NC_DKDD!H866</f>
        <v>#VALUE!</v>
      </c>
      <c r="F449" s="911"/>
      <c r="G449" s="795"/>
      <c r="H449" s="911"/>
      <c r="I449" s="911"/>
      <c r="J449" s="911"/>
      <c r="K449" s="911"/>
      <c r="L449" s="911"/>
      <c r="M449" s="911"/>
      <c r="N449" s="911"/>
      <c r="O449" s="916">
        <f t="shared" si="58"/>
        <v>159.84999999999997</v>
      </c>
      <c r="P449" s="782">
        <f t="shared" si="59"/>
        <v>138.99999999999997</v>
      </c>
      <c r="Q449" s="782">
        <f t="shared" si="60"/>
        <v>20.849999999999998</v>
      </c>
      <c r="R449" s="801">
        <f>NC_DKDD!G866</f>
        <v>2.5999999999999999E-2</v>
      </c>
    </row>
    <row r="451" spans="1:18" ht="23.25" customHeight="1">
      <c r="B451" s="1073" t="s">
        <v>833</v>
      </c>
      <c r="C451" s="1073"/>
      <c r="D451" s="1073"/>
      <c r="E451" s="1073"/>
      <c r="F451" s="1073"/>
      <c r="G451" s="1073"/>
      <c r="H451" s="1073"/>
      <c r="I451" s="1073"/>
      <c r="J451" s="1073"/>
      <c r="K451" s="1073"/>
      <c r="L451" s="1073"/>
      <c r="M451" s="1073"/>
      <c r="N451" s="1073"/>
      <c r="O451" s="1073"/>
    </row>
    <row r="452" spans="1:18" ht="23.25" customHeight="1">
      <c r="B452" s="1073" t="s">
        <v>513</v>
      </c>
      <c r="C452" s="1073"/>
      <c r="D452" s="1073"/>
      <c r="E452" s="1073"/>
      <c r="F452" s="1073"/>
      <c r="G452" s="1073"/>
      <c r="H452" s="1073"/>
      <c r="I452" s="1073"/>
      <c r="J452" s="1073"/>
      <c r="K452" s="1073"/>
      <c r="L452" s="1073"/>
      <c r="M452" s="1073"/>
      <c r="N452" s="1073"/>
      <c r="O452" s="1073"/>
    </row>
  </sheetData>
  <mergeCells count="134">
    <mergeCell ref="N371:N372"/>
    <mergeCell ref="A411:O411"/>
    <mergeCell ref="D413:D414"/>
    <mergeCell ref="E371:L371"/>
    <mergeCell ref="A413:A414"/>
    <mergeCell ref="B113:B116"/>
    <mergeCell ref="A117:A120"/>
    <mergeCell ref="D287:D288"/>
    <mergeCell ref="B326:O326"/>
    <mergeCell ref="O329:O330"/>
    <mergeCell ref="B451:O451"/>
    <mergeCell ref="M413:M414"/>
    <mergeCell ref="N413:N414"/>
    <mergeCell ref="E413:L413"/>
    <mergeCell ref="M371:M372"/>
    <mergeCell ref="A113:A116"/>
    <mergeCell ref="C113:C116"/>
    <mergeCell ref="A371:A372"/>
    <mergeCell ref="C371:C372"/>
    <mergeCell ref="D371:D372"/>
    <mergeCell ref="B452:O452"/>
    <mergeCell ref="B366:O366"/>
    <mergeCell ref="B367:O367"/>
    <mergeCell ref="B409:O409"/>
    <mergeCell ref="B410:O410"/>
    <mergeCell ref="O413:O414"/>
    <mergeCell ref="B413:B414"/>
    <mergeCell ref="C413:C414"/>
    <mergeCell ref="O371:O372"/>
    <mergeCell ref="B371:B372"/>
    <mergeCell ref="A107:A110"/>
    <mergeCell ref="B117:B120"/>
    <mergeCell ref="C117:C120"/>
    <mergeCell ref="C107:C110"/>
    <mergeCell ref="B107:B110"/>
    <mergeCell ref="A369:O369"/>
    <mergeCell ref="C329:C330"/>
    <mergeCell ref="D329:D330"/>
    <mergeCell ref="E329:L329"/>
    <mergeCell ref="M329:M330"/>
    <mergeCell ref="B323:O323"/>
    <mergeCell ref="B324:O324"/>
    <mergeCell ref="B325:O325"/>
    <mergeCell ref="A327:O327"/>
    <mergeCell ref="B282:O282"/>
    <mergeCell ref="B283:O283"/>
    <mergeCell ref="A329:A330"/>
    <mergeCell ref="B329:B330"/>
    <mergeCell ref="N329:N330"/>
    <mergeCell ref="O287:O288"/>
    <mergeCell ref="N287:N288"/>
    <mergeCell ref="E287:L287"/>
    <mergeCell ref="M287:M288"/>
    <mergeCell ref="A287:A288"/>
    <mergeCell ref="B287:B288"/>
    <mergeCell ref="C287:C288"/>
    <mergeCell ref="B280:O280"/>
    <mergeCell ref="B281:O281"/>
    <mergeCell ref="A284:O284"/>
    <mergeCell ref="A245:A246"/>
    <mergeCell ref="C245:C246"/>
    <mergeCell ref="N245:N246"/>
    <mergeCell ref="M245:M246"/>
    <mergeCell ref="D245:D246"/>
    <mergeCell ref="E245:L245"/>
    <mergeCell ref="B245:B246"/>
    <mergeCell ref="B239:O239"/>
    <mergeCell ref="B197:O197"/>
    <mergeCell ref="A199:O199"/>
    <mergeCell ref="C202:C203"/>
    <mergeCell ref="N202:N203"/>
    <mergeCell ref="B238:O238"/>
    <mergeCell ref="O202:O203"/>
    <mergeCell ref="M202:M203"/>
    <mergeCell ref="B237:O237"/>
    <mergeCell ref="D202:D203"/>
    <mergeCell ref="A242:O242"/>
    <mergeCell ref="O245:O246"/>
    <mergeCell ref="A103:A106"/>
    <mergeCell ref="B103:B106"/>
    <mergeCell ref="C103:C106"/>
    <mergeCell ref="B240:O240"/>
    <mergeCell ref="A130:A133"/>
    <mergeCell ref="B130:B133"/>
    <mergeCell ref="E202:L202"/>
    <mergeCell ref="C130:C133"/>
    <mergeCell ref="B30:B32"/>
    <mergeCell ref="C30:C32"/>
    <mergeCell ref="B89:O89"/>
    <mergeCell ref="B93:O93"/>
    <mergeCell ref="A97:O97"/>
    <mergeCell ref="A100:A101"/>
    <mergeCell ref="B94:O94"/>
    <mergeCell ref="O100:O101"/>
    <mergeCell ref="D100:D101"/>
    <mergeCell ref="E100:L100"/>
    <mergeCell ref="A8:A10"/>
    <mergeCell ref="B8:B10"/>
    <mergeCell ref="C8:C10"/>
    <mergeCell ref="A15:A17"/>
    <mergeCell ref="B15:B17"/>
    <mergeCell ref="C15:C17"/>
    <mergeCell ref="B11:B13"/>
    <mergeCell ref="C11:C13"/>
    <mergeCell ref="A1:O1"/>
    <mergeCell ref="A2:O2"/>
    <mergeCell ref="A5:A6"/>
    <mergeCell ref="B5:B6"/>
    <mergeCell ref="C5:C6"/>
    <mergeCell ref="D5:D6"/>
    <mergeCell ref="E5:L5"/>
    <mergeCell ref="M5:M6"/>
    <mergeCell ref="N5:N6"/>
    <mergeCell ref="O5:O6"/>
    <mergeCell ref="B92:O92"/>
    <mergeCell ref="B91:O91"/>
    <mergeCell ref="B192:O192"/>
    <mergeCell ref="B193:O193"/>
    <mergeCell ref="B195:O195"/>
    <mergeCell ref="B196:O196"/>
    <mergeCell ref="N100:N101"/>
    <mergeCell ref="B100:B101"/>
    <mergeCell ref="C100:C101"/>
    <mergeCell ref="M100:M101"/>
    <mergeCell ref="A30:A32"/>
    <mergeCell ref="B191:O191"/>
    <mergeCell ref="A202:A203"/>
    <mergeCell ref="B202:B203"/>
    <mergeCell ref="B194:O194"/>
    <mergeCell ref="A18:A20"/>
    <mergeCell ref="B18:B20"/>
    <mergeCell ref="C18:C20"/>
    <mergeCell ref="B95:O95"/>
    <mergeCell ref="B90:O90"/>
  </mergeCells>
  <phoneticPr fontId="45" type="noConversion"/>
  <printOptions horizontalCentered="1"/>
  <pageMargins left="0.51" right="0.24" top="0.78740157480314998" bottom="0.41" header="0.26" footer="0.24"/>
  <pageSetup paperSize="9" scale="60" firstPageNumber="141" fitToHeight="0" orientation="landscape" useFirstPageNumber="1" r:id="rId1"/>
  <headerFooter alignWithMargins="0">
    <oddFooter>&amp;C&amp;P</oddFooter>
  </headerFooter>
  <rowBreaks count="6" manualBreakCount="6">
    <brk id="87" max="16383" man="1"/>
    <brk id="96" max="16383" man="1"/>
    <brk id="189" max="16383" man="1"/>
    <brk id="198" max="16383" man="1"/>
    <brk id="280" max="16383" man="1"/>
    <brk id="283"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S382"/>
  <sheetViews>
    <sheetView showZeros="0" topLeftCell="A88" zoomScale="75" zoomScaleNormal="85" workbookViewId="0">
      <selection activeCell="I96" sqref="I96"/>
    </sheetView>
  </sheetViews>
  <sheetFormatPr defaultRowHeight="16.5"/>
  <cols>
    <col min="1" max="1" width="7.88671875" style="841" customWidth="1"/>
    <col min="2" max="2" width="60.33203125" style="842" customWidth="1"/>
    <col min="3" max="3" width="8.6640625" style="843" customWidth="1"/>
    <col min="4" max="4" width="7.6640625" style="844" customWidth="1"/>
    <col min="5" max="5" width="9" style="459" customWidth="1"/>
    <col min="6" max="6" width="8.109375" style="459" customWidth="1"/>
    <col min="7" max="7" width="7.109375" style="845" hidden="1" customWidth="1"/>
    <col min="8" max="8" width="7.88671875" style="459" customWidth="1"/>
    <col min="9" max="9" width="9.44140625" style="459" customWidth="1"/>
    <col min="10" max="10" width="8.5546875" style="459" customWidth="1"/>
    <col min="11" max="11" width="9.21875" style="459" customWidth="1"/>
    <col min="12" max="12" width="8.33203125" style="459" customWidth="1"/>
    <col min="13" max="13" width="8.6640625" style="459" customWidth="1"/>
    <col min="14" max="14" width="9.88671875" style="459" customWidth="1"/>
    <col min="15" max="15" width="10" style="459" customWidth="1"/>
    <col min="16" max="19" width="0" style="409" hidden="1" customWidth="1"/>
    <col min="20" max="16384" width="8.88671875" style="527"/>
  </cols>
  <sheetData>
    <row r="1" spans="1:19" ht="18" customHeight="1">
      <c r="A1" s="1085" t="s">
        <v>832</v>
      </c>
      <c r="B1" s="1132"/>
      <c r="C1" s="1132"/>
      <c r="D1" s="1132"/>
      <c r="E1" s="1132"/>
      <c r="F1" s="1132"/>
      <c r="G1" s="1132"/>
      <c r="H1" s="1132"/>
      <c r="I1" s="1132"/>
      <c r="J1" s="1132"/>
      <c r="K1" s="1132"/>
      <c r="L1" s="1132"/>
      <c r="M1" s="1132"/>
      <c r="N1" s="1132"/>
      <c r="O1" s="1132"/>
      <c r="P1" s="774" t="s">
        <v>607</v>
      </c>
      <c r="Q1" s="775">
        <v>0</v>
      </c>
    </row>
    <row r="2" spans="1:19" ht="31.9" customHeight="1">
      <c r="A2" s="1070" t="s">
        <v>514</v>
      </c>
      <c r="B2" s="1070"/>
      <c r="C2" s="1070"/>
      <c r="D2" s="1070"/>
      <c r="E2" s="1070"/>
      <c r="F2" s="1070"/>
      <c r="G2" s="1070"/>
      <c r="H2" s="1070"/>
      <c r="I2" s="1070"/>
      <c r="J2" s="1070"/>
      <c r="K2" s="1070"/>
      <c r="L2" s="1070"/>
      <c r="M2" s="1070"/>
      <c r="N2" s="1070"/>
      <c r="O2" s="1070"/>
    </row>
    <row r="3" spans="1:19" s="421" customFormat="1" ht="13.5" customHeight="1">
      <c r="A3" s="414"/>
      <c r="B3" s="415"/>
      <c r="C3" s="776"/>
      <c r="D3" s="777" t="s">
        <v>430</v>
      </c>
      <c r="E3" s="419"/>
      <c r="F3" s="778"/>
      <c r="G3" s="779"/>
      <c r="H3" s="778"/>
      <c r="I3" s="780"/>
      <c r="J3" s="778"/>
      <c r="K3" s="778"/>
      <c r="L3" s="781" t="s">
        <v>262</v>
      </c>
      <c r="M3" s="778"/>
      <c r="N3" s="780"/>
      <c r="O3" s="419"/>
      <c r="P3" s="420"/>
      <c r="Q3" s="420"/>
      <c r="R3" s="420"/>
      <c r="S3" s="420"/>
    </row>
    <row r="4" spans="1:19" s="421" customFormat="1" ht="29.45" customHeight="1">
      <c r="A4" s="1068" t="s">
        <v>718</v>
      </c>
      <c r="B4" s="1068" t="s">
        <v>198</v>
      </c>
      <c r="C4" s="1071" t="s">
        <v>263</v>
      </c>
      <c r="D4" s="1071" t="s">
        <v>264</v>
      </c>
      <c r="E4" s="1071" t="s">
        <v>683</v>
      </c>
      <c r="F4" s="1071"/>
      <c r="G4" s="1071"/>
      <c r="H4" s="1071"/>
      <c r="I4" s="1071"/>
      <c r="J4" s="1071"/>
      <c r="K4" s="1071"/>
      <c r="L4" s="1071"/>
      <c r="M4" s="1071" t="s">
        <v>435</v>
      </c>
      <c r="N4" s="1071" t="s">
        <v>68</v>
      </c>
      <c r="O4" s="1071" t="s">
        <v>67</v>
      </c>
      <c r="P4" s="782"/>
      <c r="Q4" s="782"/>
      <c r="R4" s="420"/>
      <c r="S4" s="420"/>
    </row>
    <row r="5" spans="1:19" s="421" customFormat="1" ht="36" customHeight="1">
      <c r="A5" s="1068"/>
      <c r="B5" s="1068"/>
      <c r="C5" s="1071"/>
      <c r="D5" s="1071"/>
      <c r="E5" s="783" t="s">
        <v>686</v>
      </c>
      <c r="F5" s="783" t="s">
        <v>687</v>
      </c>
      <c r="G5" s="784" t="s">
        <v>285</v>
      </c>
      <c r="H5" s="783" t="s">
        <v>499</v>
      </c>
      <c r="I5" s="783" t="s">
        <v>379</v>
      </c>
      <c r="J5" s="783" t="s">
        <v>531</v>
      </c>
      <c r="K5" s="783" t="s">
        <v>689</v>
      </c>
      <c r="L5" s="783" t="s">
        <v>690</v>
      </c>
      <c r="M5" s="1071"/>
      <c r="N5" s="1071"/>
      <c r="O5" s="1071"/>
      <c r="P5" s="782"/>
      <c r="Q5" s="782"/>
      <c r="R5" s="420"/>
      <c r="S5" s="420"/>
    </row>
    <row r="6" spans="1:19" s="421" customFormat="1" ht="36" customHeight="1">
      <c r="A6" s="785"/>
      <c r="B6" s="786" t="s">
        <v>515</v>
      </c>
      <c r="C6" s="783"/>
      <c r="D6" s="783"/>
      <c r="E6" s="783"/>
      <c r="F6" s="783"/>
      <c r="G6" s="784"/>
      <c r="H6" s="783"/>
      <c r="I6" s="783"/>
      <c r="J6" s="783"/>
      <c r="K6" s="783"/>
      <c r="L6" s="783"/>
      <c r="M6" s="783"/>
      <c r="N6" s="783"/>
      <c r="O6" s="783"/>
      <c r="P6" s="782"/>
      <c r="Q6" s="782"/>
      <c r="R6" s="420"/>
      <c r="S6" s="420"/>
    </row>
    <row r="7" spans="1:19" s="421" customFormat="1" ht="23.25" customHeight="1">
      <c r="A7" s="785"/>
      <c r="B7" s="787" t="s">
        <v>668</v>
      </c>
      <c r="C7" s="783" t="s">
        <v>532</v>
      </c>
      <c r="D7" s="785" t="s">
        <v>723</v>
      </c>
      <c r="E7" s="788" t="e">
        <f>E11+E38+E40</f>
        <v>#VALUE!</v>
      </c>
      <c r="F7" s="788">
        <f t="shared" ref="F7:N7" si="0">F11+F38+F40</f>
        <v>0</v>
      </c>
      <c r="G7" s="788">
        <f t="shared" si="0"/>
        <v>0</v>
      </c>
      <c r="H7" s="788">
        <f t="shared" si="0"/>
        <v>11608.515759615384</v>
      </c>
      <c r="I7" s="788">
        <f t="shared" si="0"/>
        <v>27022.14</v>
      </c>
      <c r="J7" s="788">
        <f t="shared" si="0"/>
        <v>6565.7200000000012</v>
      </c>
      <c r="K7" s="788">
        <f t="shared" si="0"/>
        <v>12941.712</v>
      </c>
      <c r="L7" s="788" t="e">
        <f t="shared" si="0"/>
        <v>#VALUE!</v>
      </c>
      <c r="M7" s="788" t="e">
        <f t="shared" si="0"/>
        <v>#VALUE!</v>
      </c>
      <c r="N7" s="788" t="e">
        <f t="shared" si="0"/>
        <v>#VALUE!</v>
      </c>
      <c r="O7" s="788">
        <f>O11+O38+O40</f>
        <v>22034.707692307689</v>
      </c>
      <c r="P7" s="782"/>
      <c r="Q7" s="782"/>
      <c r="R7" s="420"/>
      <c r="S7" s="420"/>
    </row>
    <row r="8" spans="1:19" s="421" customFormat="1" ht="23.25" customHeight="1">
      <c r="A8" s="785"/>
      <c r="B8" s="787" t="s">
        <v>669</v>
      </c>
      <c r="C8" s="783" t="s">
        <v>532</v>
      </c>
      <c r="D8" s="785" t="s">
        <v>723</v>
      </c>
      <c r="E8" s="788" t="e">
        <f>E12+E38+E40</f>
        <v>#VALUE!</v>
      </c>
      <c r="F8" s="788">
        <f t="shared" ref="F8:O8" si="1">F12+F38+F40</f>
        <v>0</v>
      </c>
      <c r="G8" s="788">
        <f t="shared" si="1"/>
        <v>0</v>
      </c>
      <c r="H8" s="788">
        <f t="shared" si="1"/>
        <v>11608.515759615384</v>
      </c>
      <c r="I8" s="788">
        <f t="shared" si="1"/>
        <v>27022.14</v>
      </c>
      <c r="J8" s="788">
        <f t="shared" si="1"/>
        <v>6565.7200000000012</v>
      </c>
      <c r="K8" s="788">
        <f t="shared" si="1"/>
        <v>12941.712</v>
      </c>
      <c r="L8" s="788" t="e">
        <f t="shared" si="1"/>
        <v>#VALUE!</v>
      </c>
      <c r="M8" s="788" t="e">
        <f t="shared" si="1"/>
        <v>#VALUE!</v>
      </c>
      <c r="N8" s="788" t="e">
        <f t="shared" si="1"/>
        <v>#VALUE!</v>
      </c>
      <c r="O8" s="788">
        <f t="shared" si="1"/>
        <v>21727.303846153842</v>
      </c>
      <c r="P8" s="782"/>
      <c r="Q8" s="782"/>
      <c r="R8" s="420"/>
      <c r="S8" s="420"/>
    </row>
    <row r="9" spans="1:19" s="421" customFormat="1" ht="22.5" customHeight="1">
      <c r="A9" s="785"/>
      <c r="B9" s="789"/>
      <c r="C9" s="783"/>
      <c r="D9" s="783"/>
      <c r="E9" s="783"/>
      <c r="F9" s="783"/>
      <c r="G9" s="784"/>
      <c r="H9" s="783"/>
      <c r="I9" s="783"/>
      <c r="J9" s="783"/>
      <c r="K9" s="783"/>
      <c r="L9" s="783"/>
      <c r="M9" s="783"/>
      <c r="N9" s="783"/>
      <c r="O9" s="783"/>
      <c r="P9" s="790">
        <f>'He so chung'!D$22</f>
        <v>5346.1538461538457</v>
      </c>
      <c r="Q9" s="790">
        <f>'He so chung'!D$23</f>
        <v>801.92307692307691</v>
      </c>
      <c r="R9" s="689"/>
      <c r="S9" s="420"/>
    </row>
    <row r="10" spans="1:19" s="421" customFormat="1" ht="26.25" customHeight="1">
      <c r="A10" s="785" t="s">
        <v>1000</v>
      </c>
      <c r="B10" s="789" t="s">
        <v>582</v>
      </c>
      <c r="C10" s="783"/>
      <c r="D10" s="783"/>
      <c r="E10" s="783"/>
      <c r="F10" s="783"/>
      <c r="G10" s="784"/>
      <c r="H10" s="783"/>
      <c r="I10" s="783"/>
      <c r="J10" s="783"/>
      <c r="K10" s="783"/>
      <c r="L10" s="783"/>
      <c r="M10" s="783"/>
      <c r="N10" s="783"/>
      <c r="O10" s="783"/>
      <c r="P10" s="790"/>
      <c r="Q10" s="790"/>
      <c r="R10" s="689"/>
      <c r="S10" s="420"/>
    </row>
    <row r="11" spans="1:19" s="797" customFormat="1" ht="23.25" customHeight="1">
      <c r="A11" s="791" t="s">
        <v>1008</v>
      </c>
      <c r="B11" s="787" t="s">
        <v>668</v>
      </c>
      <c r="C11" s="783" t="s">
        <v>532</v>
      </c>
      <c r="D11" s="792" t="s">
        <v>723</v>
      </c>
      <c r="E11" s="793" t="e">
        <f>E14+E16+E17+E18+E19+E21+E23+E24+E26+E28+E29+E30+E31+E34+E35+E36+E37</f>
        <v>#VALUE!</v>
      </c>
      <c r="F11" s="794"/>
      <c r="G11" s="795"/>
      <c r="H11" s="794">
        <f>'Dcu-DKDD'!$J$309</f>
        <v>9785.5934615384613</v>
      </c>
      <c r="I11" s="794">
        <f>'VL-DKDD'!$H$312</f>
        <v>23921.46</v>
      </c>
      <c r="J11" s="794">
        <f>'TB-DKDD'!$K$176</f>
        <v>6431.0400000000009</v>
      </c>
      <c r="K11" s="794">
        <f>'NL-DKDD'!$H$120</f>
        <v>12648.005999999999</v>
      </c>
      <c r="L11" s="796" t="e">
        <f>SUM(E11:K11)</f>
        <v>#VALUE!</v>
      </c>
      <c r="M11" s="796" t="e">
        <f>L11*'He so chung'!$D$17/100</f>
        <v>#VALUE!</v>
      </c>
      <c r="N11" s="796" t="e">
        <f>L11+M11</f>
        <v>#VALUE!</v>
      </c>
      <c r="O11" s="793">
        <f>O14+O16+O17+O18+O19+O21+O23+O24+O26+O28+O29+O30+O31+O34+O35+O36+O37</f>
        <v>18960.669230769228</v>
      </c>
      <c r="P11" s="782"/>
      <c r="Q11" s="782"/>
      <c r="R11" s="420"/>
      <c r="S11" s="689"/>
    </row>
    <row r="12" spans="1:19" s="797" customFormat="1" ht="23.25" customHeight="1">
      <c r="A12" s="791" t="s">
        <v>1009</v>
      </c>
      <c r="B12" s="787" t="s">
        <v>669</v>
      </c>
      <c r="C12" s="783" t="s">
        <v>532</v>
      </c>
      <c r="D12" s="792" t="s">
        <v>723</v>
      </c>
      <c r="E12" s="793" t="e">
        <f>E15+E16+E17+E18+E19+E21+E23+E24+E26+E28+E29+E30+E31+E34+E35+E36+E37</f>
        <v>#VALUE!</v>
      </c>
      <c r="F12" s="794"/>
      <c r="G12" s="795"/>
      <c r="H12" s="794">
        <f>'Dcu-DKDD'!$J$309</f>
        <v>9785.5934615384613</v>
      </c>
      <c r="I12" s="794">
        <f>'VL-DKDD'!$H$312</f>
        <v>23921.46</v>
      </c>
      <c r="J12" s="794">
        <f>'TB-DKDD'!$K$176</f>
        <v>6431.0400000000009</v>
      </c>
      <c r="K12" s="794">
        <f>'NL-DKDD'!$H$120</f>
        <v>12648.005999999999</v>
      </c>
      <c r="L12" s="796" t="e">
        <f>SUM(E12:K12)</f>
        <v>#VALUE!</v>
      </c>
      <c r="M12" s="796" t="e">
        <f>L12*'He so chung'!$D$17/100</f>
        <v>#VALUE!</v>
      </c>
      <c r="N12" s="796" t="e">
        <f>L12+M12</f>
        <v>#VALUE!</v>
      </c>
      <c r="O12" s="793">
        <f>O15+O16+O17+O18+O19+O21+O23+O24+O26+O28+O29+O30+O31+O34+O35+O36+O37</f>
        <v>18653.265384615381</v>
      </c>
      <c r="P12" s="782"/>
      <c r="Q12" s="782"/>
      <c r="R12" s="420"/>
      <c r="S12" s="689"/>
    </row>
    <row r="13" spans="1:19" s="797" customFormat="1" ht="29.25" customHeight="1">
      <c r="A13" s="798">
        <v>1</v>
      </c>
      <c r="B13" s="799" t="s">
        <v>816</v>
      </c>
      <c r="C13" s="794"/>
      <c r="D13" s="800"/>
      <c r="E13" s="794"/>
      <c r="F13" s="794"/>
      <c r="G13" s="795"/>
      <c r="H13" s="794"/>
      <c r="I13" s="794"/>
      <c r="J13" s="794"/>
      <c r="K13" s="794"/>
      <c r="L13" s="794"/>
      <c r="M13" s="794"/>
      <c r="N13" s="794"/>
      <c r="O13" s="794">
        <f t="shared" ref="O13:O21" si="2">P13+Q13</f>
        <v>0</v>
      </c>
      <c r="P13" s="782"/>
      <c r="Q13" s="782"/>
      <c r="R13" s="420"/>
      <c r="S13" s="689"/>
    </row>
    <row r="14" spans="1:19" s="797" customFormat="1" ht="25.5" customHeight="1">
      <c r="A14" s="798" t="s">
        <v>733</v>
      </c>
      <c r="B14" s="799" t="s">
        <v>846</v>
      </c>
      <c r="C14" s="798" t="s">
        <v>532</v>
      </c>
      <c r="D14" s="792" t="s">
        <v>723</v>
      </c>
      <c r="E14" s="794" t="e">
        <f>NC_DKDD!H873</f>
        <v>#VALUE!</v>
      </c>
      <c r="F14" s="794"/>
      <c r="G14" s="795"/>
      <c r="H14" s="794"/>
      <c r="I14" s="794"/>
      <c r="J14" s="794"/>
      <c r="K14" s="794"/>
      <c r="L14" s="794"/>
      <c r="M14" s="794"/>
      <c r="N14" s="794"/>
      <c r="O14" s="794">
        <f t="shared" si="2"/>
        <v>1229.6153846153848</v>
      </c>
      <c r="P14" s="782">
        <f t="shared" ref="P14:P21" si="3">R14*P$9</f>
        <v>1069.2307692307693</v>
      </c>
      <c r="Q14" s="782">
        <f t="shared" ref="Q14:Q41" si="4">R14*Q$9</f>
        <v>160.38461538461539</v>
      </c>
      <c r="R14" s="801">
        <f>NC_DKDD!G873</f>
        <v>0.2</v>
      </c>
      <c r="S14" s="689"/>
    </row>
    <row r="15" spans="1:19" s="797" customFormat="1" ht="25.5" customHeight="1">
      <c r="A15" s="798" t="s">
        <v>741</v>
      </c>
      <c r="B15" s="799" t="s">
        <v>849</v>
      </c>
      <c r="C15" s="798" t="s">
        <v>532</v>
      </c>
      <c r="D15" s="792" t="s">
        <v>723</v>
      </c>
      <c r="E15" s="794" t="e">
        <f>NC_DKDD!H874</f>
        <v>#VALUE!</v>
      </c>
      <c r="F15" s="794"/>
      <c r="G15" s="795"/>
      <c r="H15" s="794"/>
      <c r="I15" s="794"/>
      <c r="J15" s="794"/>
      <c r="K15" s="794"/>
      <c r="L15" s="794"/>
      <c r="M15" s="794"/>
      <c r="N15" s="794"/>
      <c r="O15" s="794">
        <f t="shared" si="2"/>
        <v>922.21153846153834</v>
      </c>
      <c r="P15" s="782">
        <f t="shared" si="3"/>
        <v>801.92307692307679</v>
      </c>
      <c r="Q15" s="782">
        <f t="shared" si="4"/>
        <v>120.28846153846153</v>
      </c>
      <c r="R15" s="801">
        <f>NC_DKDD!G874</f>
        <v>0.15</v>
      </c>
      <c r="S15" s="689"/>
    </row>
    <row r="16" spans="1:19" s="797" customFormat="1" ht="33.75" customHeight="1">
      <c r="A16" s="798">
        <v>2</v>
      </c>
      <c r="B16" s="799" t="s">
        <v>797</v>
      </c>
      <c r="C16" s="798" t="s">
        <v>532</v>
      </c>
      <c r="D16" s="792" t="s">
        <v>723</v>
      </c>
      <c r="E16" s="794" t="e">
        <f>NC_DKDD!H875</f>
        <v>#VALUE!</v>
      </c>
      <c r="F16" s="794"/>
      <c r="G16" s="795"/>
      <c r="H16" s="794"/>
      <c r="I16" s="794"/>
      <c r="J16" s="794"/>
      <c r="K16" s="794"/>
      <c r="L16" s="794"/>
      <c r="M16" s="794"/>
      <c r="N16" s="794"/>
      <c r="O16" s="794">
        <f t="shared" si="2"/>
        <v>1537.0192307692307</v>
      </c>
      <c r="P16" s="782">
        <f t="shared" si="3"/>
        <v>1336.5384615384614</v>
      </c>
      <c r="Q16" s="782">
        <f t="shared" si="4"/>
        <v>200.48076923076923</v>
      </c>
      <c r="R16" s="801">
        <f>NC_DKDD!G875</f>
        <v>0.25</v>
      </c>
      <c r="S16" s="689"/>
    </row>
    <row r="17" spans="1:19" s="797" customFormat="1" ht="34.5" customHeight="1">
      <c r="A17" s="798">
        <v>3</v>
      </c>
      <c r="B17" s="799" t="s">
        <v>851</v>
      </c>
      <c r="C17" s="798" t="s">
        <v>375</v>
      </c>
      <c r="D17" s="792" t="s">
        <v>723</v>
      </c>
      <c r="E17" s="794" t="e">
        <f>NC_DKDD!H876</f>
        <v>#VALUE!</v>
      </c>
      <c r="F17" s="794"/>
      <c r="G17" s="795"/>
      <c r="H17" s="794"/>
      <c r="I17" s="794"/>
      <c r="J17" s="794"/>
      <c r="K17" s="794"/>
      <c r="L17" s="794"/>
      <c r="M17" s="794"/>
      <c r="N17" s="794"/>
      <c r="O17" s="794">
        <f t="shared" si="2"/>
        <v>657.84423076923065</v>
      </c>
      <c r="P17" s="782">
        <f t="shared" si="3"/>
        <v>572.03846153846143</v>
      </c>
      <c r="Q17" s="782">
        <f t="shared" si="4"/>
        <v>85.805769230769229</v>
      </c>
      <c r="R17" s="801">
        <f>NC_DKDD!G876</f>
        <v>0.107</v>
      </c>
      <c r="S17" s="689"/>
    </row>
    <row r="18" spans="1:19" s="797" customFormat="1" ht="71.25">
      <c r="A18" s="798">
        <v>4</v>
      </c>
      <c r="B18" s="799" t="s">
        <v>700</v>
      </c>
      <c r="C18" s="798" t="s">
        <v>532</v>
      </c>
      <c r="D18" s="792" t="s">
        <v>723</v>
      </c>
      <c r="E18" s="794" t="e">
        <f>NC_DKDD!H877</f>
        <v>#VALUE!</v>
      </c>
      <c r="F18" s="794"/>
      <c r="G18" s="795"/>
      <c r="H18" s="794"/>
      <c r="I18" s="794"/>
      <c r="J18" s="794"/>
      <c r="K18" s="794"/>
      <c r="L18" s="794"/>
      <c r="M18" s="794"/>
      <c r="N18" s="794"/>
      <c r="O18" s="794">
        <f t="shared" si="2"/>
        <v>7377.6923076923067</v>
      </c>
      <c r="P18" s="782">
        <f t="shared" si="3"/>
        <v>6415.3846153846143</v>
      </c>
      <c r="Q18" s="782">
        <f t="shared" si="4"/>
        <v>962.30769230769226</v>
      </c>
      <c r="R18" s="801">
        <f>NC_DKDD!G877</f>
        <v>1.2</v>
      </c>
      <c r="S18" s="689"/>
    </row>
    <row r="19" spans="1:19" s="797" customFormat="1" ht="25.5" customHeight="1">
      <c r="A19" s="798">
        <v>5</v>
      </c>
      <c r="B19" s="799" t="s">
        <v>2</v>
      </c>
      <c r="C19" s="798" t="s">
        <v>375</v>
      </c>
      <c r="D19" s="792" t="s">
        <v>723</v>
      </c>
      <c r="E19" s="794" t="e">
        <f>NC_DKDD!H878</f>
        <v>#VALUE!</v>
      </c>
      <c r="F19" s="794"/>
      <c r="G19" s="795"/>
      <c r="H19" s="794"/>
      <c r="I19" s="794"/>
      <c r="J19" s="794"/>
      <c r="K19" s="794"/>
      <c r="L19" s="794"/>
      <c r="M19" s="794"/>
      <c r="N19" s="794"/>
      <c r="O19" s="794">
        <f t="shared" si="2"/>
        <v>36.888461538461534</v>
      </c>
      <c r="P19" s="782">
        <f t="shared" si="3"/>
        <v>32.076923076923073</v>
      </c>
      <c r="Q19" s="782">
        <f t="shared" si="4"/>
        <v>4.8115384615384613</v>
      </c>
      <c r="R19" s="801">
        <f>NC_DKDD!G878</f>
        <v>6.0000000000000001E-3</v>
      </c>
      <c r="S19" s="689"/>
    </row>
    <row r="20" spans="1:19" s="797" customFormat="1" ht="45.75" customHeight="1">
      <c r="A20" s="798">
        <v>6</v>
      </c>
      <c r="B20" s="799" t="s">
        <v>702</v>
      </c>
      <c r="C20" s="798"/>
      <c r="D20" s="798"/>
      <c r="E20" s="794">
        <f>NC_DKDD!H879</f>
        <v>0</v>
      </c>
      <c r="F20" s="794"/>
      <c r="G20" s="795"/>
      <c r="H20" s="794"/>
      <c r="I20" s="794"/>
      <c r="J20" s="794"/>
      <c r="K20" s="794"/>
      <c r="L20" s="794"/>
      <c r="M20" s="794"/>
      <c r="N20" s="794"/>
      <c r="O20" s="794">
        <f t="shared" si="2"/>
        <v>0</v>
      </c>
      <c r="P20" s="782">
        <f t="shared" si="3"/>
        <v>0</v>
      </c>
      <c r="Q20" s="782">
        <f t="shared" si="4"/>
        <v>0</v>
      </c>
      <c r="R20" s="801">
        <f>NC_DKDD!G879</f>
        <v>0</v>
      </c>
      <c r="S20" s="689"/>
    </row>
    <row r="21" spans="1:19" s="797" customFormat="1" ht="25.5" customHeight="1">
      <c r="A21" s="798" t="s">
        <v>661</v>
      </c>
      <c r="B21" s="799" t="s">
        <v>587</v>
      </c>
      <c r="C21" s="798" t="s">
        <v>532</v>
      </c>
      <c r="D21" s="792" t="s">
        <v>723</v>
      </c>
      <c r="E21" s="794" t="e">
        <f>NC_DKDD!H880</f>
        <v>#VALUE!</v>
      </c>
      <c r="F21" s="794"/>
      <c r="G21" s="795"/>
      <c r="H21" s="794"/>
      <c r="I21" s="794"/>
      <c r="J21" s="794"/>
      <c r="K21" s="794"/>
      <c r="L21" s="794"/>
      <c r="M21" s="794"/>
      <c r="N21" s="794"/>
      <c r="O21" s="794">
        <f t="shared" si="2"/>
        <v>307.40384615384619</v>
      </c>
      <c r="P21" s="782">
        <f t="shared" si="3"/>
        <v>267.30769230769232</v>
      </c>
      <c r="Q21" s="782">
        <f t="shared" si="4"/>
        <v>40.096153846153847</v>
      </c>
      <c r="R21" s="801">
        <f>NC_DKDD!G880</f>
        <v>0.05</v>
      </c>
      <c r="S21" s="689"/>
    </row>
    <row r="22" spans="1:19" s="797" customFormat="1" ht="25.5" customHeight="1">
      <c r="A22" s="798" t="s">
        <v>662</v>
      </c>
      <c r="B22" s="799" t="s">
        <v>588</v>
      </c>
      <c r="C22" s="798" t="s">
        <v>532</v>
      </c>
      <c r="D22" s="792" t="s">
        <v>723</v>
      </c>
      <c r="E22" s="794" t="e">
        <f>NC_DKDD!H881</f>
        <v>#VALUE!</v>
      </c>
      <c r="F22" s="794"/>
      <c r="G22" s="795"/>
      <c r="H22" s="794"/>
      <c r="I22" s="794"/>
      <c r="J22" s="794"/>
      <c r="K22" s="794"/>
      <c r="L22" s="794"/>
      <c r="M22" s="794"/>
      <c r="N22" s="794"/>
      <c r="O22" s="794">
        <f t="shared" ref="O22:O41" si="5">P22+Q22</f>
        <v>614.80769230769238</v>
      </c>
      <c r="P22" s="782">
        <f t="shared" ref="P22:P41" si="6">R22*P$9</f>
        <v>534.61538461538464</v>
      </c>
      <c r="Q22" s="782">
        <f t="shared" si="4"/>
        <v>80.192307692307693</v>
      </c>
      <c r="R22" s="801">
        <f>NC_DKDD!G881</f>
        <v>0.1</v>
      </c>
      <c r="S22" s="689"/>
    </row>
    <row r="23" spans="1:19" s="797" customFormat="1" ht="28.5">
      <c r="A23" s="798">
        <v>7</v>
      </c>
      <c r="B23" s="799" t="s">
        <v>408</v>
      </c>
      <c r="C23" s="798" t="s">
        <v>532</v>
      </c>
      <c r="D23" s="792" t="s">
        <v>723</v>
      </c>
      <c r="E23" s="794" t="e">
        <f>NC_DKDD!H882</f>
        <v>#VALUE!</v>
      </c>
      <c r="F23" s="794"/>
      <c r="G23" s="795"/>
      <c r="H23" s="794"/>
      <c r="I23" s="794"/>
      <c r="J23" s="794"/>
      <c r="K23" s="794"/>
      <c r="L23" s="794"/>
      <c r="M23" s="794"/>
      <c r="N23" s="794"/>
      <c r="O23" s="794">
        <f t="shared" si="5"/>
        <v>1229.6153846153848</v>
      </c>
      <c r="P23" s="782">
        <f t="shared" si="6"/>
        <v>1069.2307692307693</v>
      </c>
      <c r="Q23" s="782">
        <f t="shared" si="4"/>
        <v>160.38461538461539</v>
      </c>
      <c r="R23" s="801">
        <f>NC_DKDD!G882</f>
        <v>0.2</v>
      </c>
      <c r="S23" s="689"/>
    </row>
    <row r="24" spans="1:19" s="797" customFormat="1" ht="24" customHeight="1">
      <c r="A24" s="798">
        <v>8</v>
      </c>
      <c r="B24" s="799" t="s">
        <v>78</v>
      </c>
      <c r="C24" s="798" t="s">
        <v>375</v>
      </c>
      <c r="D24" s="792" t="s">
        <v>723</v>
      </c>
      <c r="E24" s="794" t="e">
        <f>NC_DKDD!H883</f>
        <v>#VALUE!</v>
      </c>
      <c r="F24" s="794"/>
      <c r="G24" s="795"/>
      <c r="H24" s="794"/>
      <c r="I24" s="794"/>
      <c r="J24" s="794"/>
      <c r="K24" s="794"/>
      <c r="L24" s="794"/>
      <c r="M24" s="794"/>
      <c r="N24" s="794"/>
      <c r="O24" s="794">
        <f t="shared" si="5"/>
        <v>184.44230769230768</v>
      </c>
      <c r="P24" s="782">
        <f t="shared" si="6"/>
        <v>160.38461538461536</v>
      </c>
      <c r="Q24" s="782">
        <f t="shared" si="4"/>
        <v>24.057692307692307</v>
      </c>
      <c r="R24" s="801">
        <f>NC_DKDD!G883</f>
        <v>0.03</v>
      </c>
      <c r="S24" s="689"/>
    </row>
    <row r="25" spans="1:19" s="797" customFormat="1" ht="24" customHeight="1">
      <c r="A25" s="798">
        <v>9</v>
      </c>
      <c r="B25" s="799" t="s">
        <v>80</v>
      </c>
      <c r="C25" s="798"/>
      <c r="D25" s="798"/>
      <c r="E25" s="794">
        <f>NC_DKDD!H884</f>
        <v>0</v>
      </c>
      <c r="F25" s="794"/>
      <c r="G25" s="795"/>
      <c r="H25" s="794"/>
      <c r="I25" s="794"/>
      <c r="J25" s="794"/>
      <c r="K25" s="794"/>
      <c r="L25" s="794"/>
      <c r="M25" s="794"/>
      <c r="N25" s="794"/>
      <c r="O25" s="794">
        <f t="shared" si="5"/>
        <v>0</v>
      </c>
      <c r="P25" s="782">
        <f t="shared" si="6"/>
        <v>0</v>
      </c>
      <c r="Q25" s="782">
        <f t="shared" si="4"/>
        <v>0</v>
      </c>
      <c r="R25" s="801">
        <f>NC_DKDD!G884</f>
        <v>0</v>
      </c>
      <c r="S25" s="689"/>
    </row>
    <row r="26" spans="1:19" s="797" customFormat="1" ht="24" customHeight="1">
      <c r="A26" s="798" t="s">
        <v>663</v>
      </c>
      <c r="B26" s="799" t="s">
        <v>82</v>
      </c>
      <c r="C26" s="798" t="s">
        <v>559</v>
      </c>
      <c r="D26" s="792" t="s">
        <v>723</v>
      </c>
      <c r="E26" s="794" t="e">
        <f>NC_DKDD!H885</f>
        <v>#VALUE!</v>
      </c>
      <c r="F26" s="794"/>
      <c r="G26" s="795"/>
      <c r="H26" s="794"/>
      <c r="I26" s="794"/>
      <c r="J26" s="794"/>
      <c r="K26" s="794"/>
      <c r="L26" s="794"/>
      <c r="M26" s="794"/>
      <c r="N26" s="794"/>
      <c r="O26" s="794">
        <f t="shared" si="5"/>
        <v>614.80769230769238</v>
      </c>
      <c r="P26" s="782">
        <f t="shared" si="6"/>
        <v>534.61538461538464</v>
      </c>
      <c r="Q26" s="782">
        <f t="shared" si="4"/>
        <v>80.192307692307693</v>
      </c>
      <c r="R26" s="801">
        <f>NC_DKDD!G885</f>
        <v>0.1</v>
      </c>
      <c r="S26" s="689"/>
    </row>
    <row r="27" spans="1:19" s="797" customFormat="1" ht="25.5" customHeight="1">
      <c r="A27" s="798" t="s">
        <v>664</v>
      </c>
      <c r="B27" s="799" t="s">
        <v>84</v>
      </c>
      <c r="C27" s="798" t="s">
        <v>559</v>
      </c>
      <c r="D27" s="792" t="s">
        <v>723</v>
      </c>
      <c r="E27" s="794" t="e">
        <f>NC_DKDD!H886</f>
        <v>#VALUE!</v>
      </c>
      <c r="F27" s="794"/>
      <c r="G27" s="795"/>
      <c r="H27" s="794"/>
      <c r="I27" s="794"/>
      <c r="J27" s="794"/>
      <c r="K27" s="794"/>
      <c r="L27" s="794"/>
      <c r="M27" s="794"/>
      <c r="N27" s="794"/>
      <c r="O27" s="794">
        <f t="shared" si="5"/>
        <v>922.21153846153834</v>
      </c>
      <c r="P27" s="782">
        <f t="shared" si="6"/>
        <v>801.92307692307679</v>
      </c>
      <c r="Q27" s="782">
        <f t="shared" si="4"/>
        <v>120.28846153846153</v>
      </c>
      <c r="R27" s="801">
        <f>NC_DKDD!G886</f>
        <v>0.15</v>
      </c>
      <c r="S27" s="689"/>
    </row>
    <row r="28" spans="1:19" s="797" customFormat="1" ht="32.25" customHeight="1">
      <c r="A28" s="798" t="s">
        <v>409</v>
      </c>
      <c r="B28" s="799" t="s">
        <v>410</v>
      </c>
      <c r="C28" s="798" t="s">
        <v>559</v>
      </c>
      <c r="D28" s="792" t="s">
        <v>723</v>
      </c>
      <c r="E28" s="794" t="e">
        <f>NC_DKDD!H887</f>
        <v>#VALUE!</v>
      </c>
      <c r="F28" s="794"/>
      <c r="G28" s="795"/>
      <c r="H28" s="794"/>
      <c r="I28" s="794"/>
      <c r="J28" s="794"/>
      <c r="K28" s="794"/>
      <c r="L28" s="794"/>
      <c r="M28" s="794"/>
      <c r="N28" s="794"/>
      <c r="O28" s="794">
        <f t="shared" si="5"/>
        <v>614.80769230769238</v>
      </c>
      <c r="P28" s="782">
        <f t="shared" si="6"/>
        <v>534.61538461538464</v>
      </c>
      <c r="Q28" s="782">
        <f t="shared" si="4"/>
        <v>80.192307692307693</v>
      </c>
      <c r="R28" s="801">
        <f>NC_DKDD!G887</f>
        <v>0.1</v>
      </c>
      <c r="S28" s="689"/>
    </row>
    <row r="29" spans="1:19" s="797" customFormat="1" ht="39" customHeight="1">
      <c r="A29" s="798">
        <v>10</v>
      </c>
      <c r="B29" s="799" t="s">
        <v>411</v>
      </c>
      <c r="C29" s="798" t="s">
        <v>532</v>
      </c>
      <c r="D29" s="792" t="s">
        <v>723</v>
      </c>
      <c r="E29" s="794" t="e">
        <f>NC_DKDD!H888</f>
        <v>#VALUE!</v>
      </c>
      <c r="F29" s="794"/>
      <c r="G29" s="795"/>
      <c r="H29" s="794"/>
      <c r="I29" s="794"/>
      <c r="J29" s="794"/>
      <c r="K29" s="794"/>
      <c r="L29" s="794"/>
      <c r="M29" s="794"/>
      <c r="N29" s="794"/>
      <c r="O29" s="794">
        <f t="shared" si="5"/>
        <v>2459.2307692307695</v>
      </c>
      <c r="P29" s="782">
        <f t="shared" si="6"/>
        <v>2138.4615384615386</v>
      </c>
      <c r="Q29" s="782">
        <f t="shared" si="4"/>
        <v>320.76923076923077</v>
      </c>
      <c r="R29" s="801">
        <f>NC_DKDD!G888</f>
        <v>0.4</v>
      </c>
      <c r="S29" s="689"/>
    </row>
    <row r="30" spans="1:19" s="797" customFormat="1" ht="57">
      <c r="A30" s="798">
        <v>11</v>
      </c>
      <c r="B30" s="799" t="s">
        <v>813</v>
      </c>
      <c r="C30" s="798" t="s">
        <v>532</v>
      </c>
      <c r="D30" s="792" t="s">
        <v>723</v>
      </c>
      <c r="E30" s="794" t="e">
        <f>NC_DKDD!H889</f>
        <v>#VALUE!</v>
      </c>
      <c r="F30" s="794"/>
      <c r="G30" s="795"/>
      <c r="H30" s="794"/>
      <c r="I30" s="794"/>
      <c r="J30" s="794"/>
      <c r="K30" s="794"/>
      <c r="L30" s="794"/>
      <c r="M30" s="794"/>
      <c r="N30" s="794"/>
      <c r="O30" s="794">
        <f t="shared" si="5"/>
        <v>2274.7884615384614</v>
      </c>
      <c r="P30" s="782">
        <f t="shared" si="6"/>
        <v>1978.0769230769229</v>
      </c>
      <c r="Q30" s="782">
        <f t="shared" si="4"/>
        <v>296.71153846153845</v>
      </c>
      <c r="R30" s="801">
        <f>NC_DKDD!G889</f>
        <v>0.37</v>
      </c>
      <c r="S30" s="689"/>
    </row>
    <row r="31" spans="1:19" s="797" customFormat="1" ht="23.25" customHeight="1">
      <c r="A31" s="798">
        <v>12</v>
      </c>
      <c r="B31" s="799" t="s">
        <v>87</v>
      </c>
      <c r="C31" s="798" t="s">
        <v>375</v>
      </c>
      <c r="D31" s="792" t="s">
        <v>723</v>
      </c>
      <c r="E31" s="794" t="e">
        <f>NC_DKDD!H890</f>
        <v>#VALUE!</v>
      </c>
      <c r="F31" s="794"/>
      <c r="G31" s="795"/>
      <c r="H31" s="794"/>
      <c r="I31" s="794"/>
      <c r="J31" s="794"/>
      <c r="K31" s="794"/>
      <c r="L31" s="794"/>
      <c r="M31" s="794"/>
      <c r="N31" s="794"/>
      <c r="O31" s="794">
        <f t="shared" si="5"/>
        <v>202.88653846153844</v>
      </c>
      <c r="P31" s="782">
        <f t="shared" si="6"/>
        <v>176.42307692307691</v>
      </c>
      <c r="Q31" s="782">
        <f t="shared" si="4"/>
        <v>26.463461538461541</v>
      </c>
      <c r="R31" s="801">
        <f>NC_DKDD!G890</f>
        <v>3.3000000000000002E-2</v>
      </c>
      <c r="S31" s="689"/>
    </row>
    <row r="32" spans="1:19" s="797" customFormat="1" ht="23.25" customHeight="1">
      <c r="A32" s="798">
        <v>13</v>
      </c>
      <c r="B32" s="799" t="s">
        <v>88</v>
      </c>
      <c r="C32" s="798"/>
      <c r="D32" s="798"/>
      <c r="E32" s="794">
        <f>NC_DKDD!H891</f>
        <v>0</v>
      </c>
      <c r="F32" s="794"/>
      <c r="G32" s="795"/>
      <c r="H32" s="794"/>
      <c r="I32" s="794"/>
      <c r="J32" s="794"/>
      <c r="K32" s="794"/>
      <c r="L32" s="794"/>
      <c r="M32" s="794"/>
      <c r="N32" s="794"/>
      <c r="O32" s="794">
        <f t="shared" si="5"/>
        <v>0</v>
      </c>
      <c r="P32" s="782">
        <f t="shared" si="6"/>
        <v>0</v>
      </c>
      <c r="Q32" s="782">
        <f t="shared" si="4"/>
        <v>0</v>
      </c>
      <c r="R32" s="801">
        <f>NC_DKDD!G891</f>
        <v>0</v>
      </c>
      <c r="S32" s="689"/>
    </row>
    <row r="33" spans="1:19" s="797" customFormat="1" ht="32.450000000000003" customHeight="1">
      <c r="A33" s="798" t="s">
        <v>110</v>
      </c>
      <c r="B33" s="799" t="s">
        <v>775</v>
      </c>
      <c r="C33" s="798"/>
      <c r="D33" s="798"/>
      <c r="E33" s="794">
        <f>NC_DKDD!H892</f>
        <v>0</v>
      </c>
      <c r="F33" s="794"/>
      <c r="G33" s="795"/>
      <c r="H33" s="794"/>
      <c r="I33" s="794"/>
      <c r="J33" s="794"/>
      <c r="K33" s="794"/>
      <c r="L33" s="794"/>
      <c r="M33" s="794"/>
      <c r="N33" s="794"/>
      <c r="O33" s="794">
        <f t="shared" si="5"/>
        <v>0</v>
      </c>
      <c r="P33" s="782">
        <f t="shared" si="6"/>
        <v>0</v>
      </c>
      <c r="Q33" s="782">
        <f t="shared" si="4"/>
        <v>0</v>
      </c>
      <c r="R33" s="801">
        <f>NC_DKDD!G892</f>
        <v>0</v>
      </c>
      <c r="S33" s="689"/>
    </row>
    <row r="34" spans="1:19" s="797" customFormat="1" ht="20.25" customHeight="1">
      <c r="A34" s="798" t="s">
        <v>111</v>
      </c>
      <c r="B34" s="799" t="s">
        <v>777</v>
      </c>
      <c r="C34" s="798" t="s">
        <v>377</v>
      </c>
      <c r="D34" s="792" t="s">
        <v>723</v>
      </c>
      <c r="E34" s="794" t="e">
        <f>NC_DKDD!H893</f>
        <v>#VALUE!</v>
      </c>
      <c r="F34" s="794"/>
      <c r="G34" s="795"/>
      <c r="H34" s="794"/>
      <c r="I34" s="794"/>
      <c r="J34" s="794"/>
      <c r="K34" s="794"/>
      <c r="L34" s="794"/>
      <c r="M34" s="794"/>
      <c r="N34" s="794"/>
      <c r="O34" s="794">
        <f t="shared" si="5"/>
        <v>98.369230769230768</v>
      </c>
      <c r="P34" s="782">
        <f t="shared" si="6"/>
        <v>85.538461538461533</v>
      </c>
      <c r="Q34" s="782">
        <f t="shared" si="4"/>
        <v>12.830769230769231</v>
      </c>
      <c r="R34" s="801">
        <f>NC_DKDD!G893</f>
        <v>1.6E-2</v>
      </c>
      <c r="S34" s="689"/>
    </row>
    <row r="35" spans="1:19" s="797" customFormat="1" ht="20.25" customHeight="1">
      <c r="A35" s="798" t="s">
        <v>112</v>
      </c>
      <c r="B35" s="799" t="s">
        <v>781</v>
      </c>
      <c r="C35" s="798" t="s">
        <v>377</v>
      </c>
      <c r="D35" s="792" t="s">
        <v>723</v>
      </c>
      <c r="E35" s="794" t="e">
        <f>NC_DKDD!H894</f>
        <v>#VALUE!</v>
      </c>
      <c r="F35" s="794"/>
      <c r="G35" s="795"/>
      <c r="H35" s="794"/>
      <c r="I35" s="794"/>
      <c r="J35" s="794"/>
      <c r="K35" s="794"/>
      <c r="L35" s="794"/>
      <c r="M35" s="794"/>
      <c r="N35" s="794"/>
      <c r="O35" s="794">
        <f t="shared" si="5"/>
        <v>49.184615384615384</v>
      </c>
      <c r="P35" s="782">
        <f t="shared" si="6"/>
        <v>42.769230769230766</v>
      </c>
      <c r="Q35" s="782">
        <f t="shared" si="4"/>
        <v>6.4153846153846157</v>
      </c>
      <c r="R35" s="801">
        <f>NC_DKDD!G894</f>
        <v>8.0000000000000002E-3</v>
      </c>
      <c r="S35" s="689"/>
    </row>
    <row r="36" spans="1:19" s="797" customFormat="1" ht="32.450000000000003" customHeight="1">
      <c r="A36" s="798" t="s">
        <v>113</v>
      </c>
      <c r="B36" s="799" t="s">
        <v>861</v>
      </c>
      <c r="C36" s="798" t="s">
        <v>377</v>
      </c>
      <c r="D36" s="792" t="s">
        <v>723</v>
      </c>
      <c r="E36" s="794" t="e">
        <f>NC_DKDD!H895</f>
        <v>#VALUE!</v>
      </c>
      <c r="F36" s="794"/>
      <c r="G36" s="795"/>
      <c r="H36" s="794"/>
      <c r="I36" s="794"/>
      <c r="J36" s="794"/>
      <c r="K36" s="794"/>
      <c r="L36" s="794"/>
      <c r="M36" s="794"/>
      <c r="N36" s="794"/>
      <c r="O36" s="794">
        <f t="shared" si="5"/>
        <v>24.592307692307692</v>
      </c>
      <c r="P36" s="782">
        <f t="shared" si="6"/>
        <v>21.384615384615383</v>
      </c>
      <c r="Q36" s="782">
        <f t="shared" si="4"/>
        <v>3.2076923076923078</v>
      </c>
      <c r="R36" s="801">
        <f>NC_DKDD!G895</f>
        <v>4.0000000000000001E-3</v>
      </c>
      <c r="S36" s="689"/>
    </row>
    <row r="37" spans="1:19" s="797" customFormat="1" ht="26.25" customHeight="1">
      <c r="A37" s="798" t="s">
        <v>114</v>
      </c>
      <c r="B37" s="799" t="s">
        <v>863</v>
      </c>
      <c r="C37" s="798" t="s">
        <v>375</v>
      </c>
      <c r="D37" s="792" t="s">
        <v>723</v>
      </c>
      <c r="E37" s="794" t="e">
        <f>NC_DKDD!H896</f>
        <v>#VALUE!</v>
      </c>
      <c r="F37" s="794"/>
      <c r="G37" s="795"/>
      <c r="H37" s="794"/>
      <c r="I37" s="794"/>
      <c r="J37" s="794"/>
      <c r="K37" s="794"/>
      <c r="L37" s="794"/>
      <c r="M37" s="794"/>
      <c r="N37" s="794"/>
      <c r="O37" s="794">
        <f t="shared" si="5"/>
        <v>61.480769230769226</v>
      </c>
      <c r="P37" s="782">
        <f t="shared" si="6"/>
        <v>53.46153846153846</v>
      </c>
      <c r="Q37" s="782">
        <f t="shared" si="4"/>
        <v>8.0192307692307701</v>
      </c>
      <c r="R37" s="801">
        <f>NC_DKDD!G896</f>
        <v>0.01</v>
      </c>
      <c r="S37" s="689"/>
    </row>
    <row r="38" spans="1:19" s="797" customFormat="1" ht="32.25" customHeight="1">
      <c r="A38" s="791" t="s">
        <v>1005</v>
      </c>
      <c r="B38" s="787" t="s">
        <v>378</v>
      </c>
      <c r="C38" s="798"/>
      <c r="D38" s="798"/>
      <c r="E38" s="793" t="e">
        <f>E39</f>
        <v>#VALUE!</v>
      </c>
      <c r="F38" s="794"/>
      <c r="G38" s="795"/>
      <c r="H38" s="794">
        <f>'Dcu-DKDD'!$L$309</f>
        <v>0</v>
      </c>
      <c r="I38" s="794">
        <f>'VL-DKDD'!$J$312</f>
        <v>0</v>
      </c>
      <c r="J38" s="794">
        <f>'TB-DKDD'!$M$176</f>
        <v>0</v>
      </c>
      <c r="K38" s="794"/>
      <c r="L38" s="796" t="e">
        <f>SUM(E38:K38)</f>
        <v>#VALUE!</v>
      </c>
      <c r="M38" s="796" t="e">
        <f>L38*'He so chung'!$D$17/100</f>
        <v>#VALUE!</v>
      </c>
      <c r="N38" s="796" t="e">
        <f>L38+M38</f>
        <v>#VALUE!</v>
      </c>
      <c r="O38" s="793">
        <f>O39</f>
        <v>2459.2307692307695</v>
      </c>
      <c r="P38" s="782">
        <f t="shared" si="6"/>
        <v>0</v>
      </c>
      <c r="Q38" s="782">
        <f t="shared" si="4"/>
        <v>0</v>
      </c>
      <c r="R38" s="801">
        <f>NC_DKDD!G897</f>
        <v>0</v>
      </c>
      <c r="S38" s="689"/>
    </row>
    <row r="39" spans="1:19" s="797" customFormat="1" ht="25.5" customHeight="1">
      <c r="A39" s="798">
        <v>1</v>
      </c>
      <c r="B39" s="799" t="s">
        <v>814</v>
      </c>
      <c r="C39" s="798" t="s">
        <v>532</v>
      </c>
      <c r="D39" s="792" t="s">
        <v>723</v>
      </c>
      <c r="E39" s="794" t="e">
        <f>NC_DKDD!H898</f>
        <v>#VALUE!</v>
      </c>
      <c r="F39" s="794"/>
      <c r="G39" s="795"/>
      <c r="H39" s="794"/>
      <c r="I39" s="794"/>
      <c r="J39" s="794"/>
      <c r="K39" s="794"/>
      <c r="L39" s="794"/>
      <c r="M39" s="794"/>
      <c r="N39" s="794"/>
      <c r="O39" s="794">
        <f t="shared" si="5"/>
        <v>2459.2307692307695</v>
      </c>
      <c r="P39" s="782">
        <f t="shared" si="6"/>
        <v>2138.4615384615386</v>
      </c>
      <c r="Q39" s="782">
        <f t="shared" si="4"/>
        <v>320.76923076923077</v>
      </c>
      <c r="R39" s="801">
        <f>NC_DKDD!G898</f>
        <v>0.4</v>
      </c>
      <c r="S39" s="689"/>
    </row>
    <row r="40" spans="1:19" s="797" customFormat="1" ht="25.5" customHeight="1">
      <c r="A40" s="791" t="s">
        <v>755</v>
      </c>
      <c r="B40" s="787" t="s">
        <v>909</v>
      </c>
      <c r="C40" s="798"/>
      <c r="D40" s="798"/>
      <c r="E40" s="793" t="e">
        <f>E41</f>
        <v>#VALUE!</v>
      </c>
      <c r="F40" s="794"/>
      <c r="G40" s="795"/>
      <c r="H40" s="794">
        <f>'Dcu-DKDD'!$H$309</f>
        <v>1822.922298076923</v>
      </c>
      <c r="I40" s="794">
        <f>'VL-DKDD'!$F$312</f>
        <v>3100.68</v>
      </c>
      <c r="J40" s="794">
        <f>'TB-DKDD'!$I$176</f>
        <v>134.67999999999998</v>
      </c>
      <c r="K40" s="794">
        <f>'NL-DKDD'!$F$120</f>
        <v>293.70600000000002</v>
      </c>
      <c r="L40" s="796" t="e">
        <f>SUM(E40:K40)</f>
        <v>#VALUE!</v>
      </c>
      <c r="M40" s="796" t="e">
        <f>L40*'He so chung'!$D$17/100</f>
        <v>#VALUE!</v>
      </c>
      <c r="N40" s="796" t="e">
        <f>L40+M40</f>
        <v>#VALUE!</v>
      </c>
      <c r="O40" s="793">
        <f>O41</f>
        <v>614.80769230769238</v>
      </c>
      <c r="P40" s="782">
        <f t="shared" si="6"/>
        <v>0</v>
      </c>
      <c r="Q40" s="782">
        <f t="shared" si="4"/>
        <v>0</v>
      </c>
      <c r="R40" s="801">
        <f>NC_DKDD!G899</f>
        <v>0</v>
      </c>
      <c r="S40" s="689"/>
    </row>
    <row r="41" spans="1:19" s="797" customFormat="1" ht="25.5" customHeight="1">
      <c r="A41" s="798">
        <v>1</v>
      </c>
      <c r="B41" s="799" t="s">
        <v>815</v>
      </c>
      <c r="C41" s="798" t="s">
        <v>532</v>
      </c>
      <c r="D41" s="792" t="s">
        <v>723</v>
      </c>
      <c r="E41" s="794" t="e">
        <f>NC_DKDD!H900</f>
        <v>#VALUE!</v>
      </c>
      <c r="F41" s="794"/>
      <c r="G41" s="795"/>
      <c r="H41" s="794"/>
      <c r="I41" s="794"/>
      <c r="J41" s="794"/>
      <c r="K41" s="794"/>
      <c r="L41" s="794"/>
      <c r="M41" s="794"/>
      <c r="N41" s="794"/>
      <c r="O41" s="794">
        <f t="shared" si="5"/>
        <v>614.80769230769238</v>
      </c>
      <c r="P41" s="782">
        <f t="shared" si="6"/>
        <v>534.61538461538464</v>
      </c>
      <c r="Q41" s="782">
        <f t="shared" si="4"/>
        <v>80.192307692307693</v>
      </c>
      <c r="R41" s="801">
        <f>NC_DKDD!G900</f>
        <v>0.1</v>
      </c>
      <c r="S41" s="689"/>
    </row>
    <row r="42" spans="1:19" s="409" customFormat="1" ht="21" customHeight="1">
      <c r="A42" s="437"/>
      <c r="B42" s="802" t="s">
        <v>533</v>
      </c>
      <c r="C42" s="439"/>
      <c r="D42" s="437"/>
      <c r="E42" s="803"/>
      <c r="F42" s="803"/>
      <c r="G42" s="804"/>
      <c r="H42" s="803"/>
      <c r="I42" s="803"/>
      <c r="J42" s="805"/>
      <c r="K42" s="805"/>
      <c r="L42" s="805"/>
      <c r="M42" s="419"/>
      <c r="N42" s="419"/>
      <c r="O42" s="442"/>
      <c r="P42" s="420"/>
      <c r="Q42" s="420"/>
      <c r="R42" s="806"/>
    </row>
    <row r="43" spans="1:19" s="409" customFormat="1" ht="18.75" customHeight="1">
      <c r="A43" s="455"/>
      <c r="B43" s="1073" t="s">
        <v>833</v>
      </c>
      <c r="C43" s="1073"/>
      <c r="D43" s="1073"/>
      <c r="E43" s="1073"/>
      <c r="F43" s="1073"/>
      <c r="G43" s="1073"/>
      <c r="H43" s="1073"/>
      <c r="I43" s="1073"/>
      <c r="J43" s="1073"/>
      <c r="K43" s="1073"/>
      <c r="L43" s="1073"/>
      <c r="M43" s="1073"/>
      <c r="N43" s="1073"/>
      <c r="O43" s="1073"/>
      <c r="P43" s="420"/>
      <c r="Q43" s="420"/>
      <c r="R43" s="806"/>
    </row>
    <row r="44" spans="1:19" s="409" customFormat="1" ht="24" customHeight="1">
      <c r="A44" s="455"/>
      <c r="B44" s="1072"/>
      <c r="C44" s="1072"/>
      <c r="D44" s="1072"/>
      <c r="E44" s="1072"/>
      <c r="F44" s="1072"/>
      <c r="G44" s="1072"/>
      <c r="H44" s="1072"/>
      <c r="I44" s="1072"/>
      <c r="J44" s="1072"/>
      <c r="K44" s="1072"/>
      <c r="L44" s="1072"/>
      <c r="M44" s="1072"/>
      <c r="N44" s="1072"/>
      <c r="O44" s="1072"/>
      <c r="P44" s="420"/>
      <c r="Q44" s="420"/>
      <c r="R44" s="806"/>
    </row>
    <row r="45" spans="1:19" ht="37.9" customHeight="1">
      <c r="A45" s="1070" t="s">
        <v>296</v>
      </c>
      <c r="B45" s="1070"/>
      <c r="C45" s="1070"/>
      <c r="D45" s="1070"/>
      <c r="E45" s="1070"/>
      <c r="F45" s="1070"/>
      <c r="G45" s="1070"/>
      <c r="H45" s="1070"/>
      <c r="I45" s="1070"/>
      <c r="J45" s="1070"/>
      <c r="K45" s="1070"/>
      <c r="L45" s="1070"/>
      <c r="M45" s="1070"/>
      <c r="N45" s="1070"/>
      <c r="O45" s="1070"/>
      <c r="Q45" s="409" t="s">
        <v>328</v>
      </c>
      <c r="R45" s="806"/>
    </row>
    <row r="46" spans="1:19" ht="30.75" customHeight="1">
      <c r="A46" s="807"/>
      <c r="B46" s="807"/>
      <c r="C46" s="807"/>
      <c r="D46" s="807"/>
      <c r="E46" s="807"/>
      <c r="F46" s="807"/>
      <c r="G46" s="807"/>
      <c r="H46" s="807"/>
      <c r="I46" s="807"/>
      <c r="J46" s="807"/>
      <c r="K46" s="807"/>
      <c r="L46" s="781" t="s">
        <v>262</v>
      </c>
      <c r="M46" s="807"/>
      <c r="N46" s="807"/>
      <c r="O46" s="807"/>
      <c r="R46" s="806"/>
    </row>
    <row r="47" spans="1:19" ht="25.5" customHeight="1">
      <c r="A47" s="1068" t="s">
        <v>718</v>
      </c>
      <c r="B47" s="1068" t="s">
        <v>198</v>
      </c>
      <c r="C47" s="1071" t="s">
        <v>263</v>
      </c>
      <c r="D47" s="1071" t="s">
        <v>264</v>
      </c>
      <c r="E47" s="1071" t="s">
        <v>683</v>
      </c>
      <c r="F47" s="1071"/>
      <c r="G47" s="1071"/>
      <c r="H47" s="1071"/>
      <c r="I47" s="1071"/>
      <c r="J47" s="1071"/>
      <c r="K47" s="1071"/>
      <c r="L47" s="1071"/>
      <c r="M47" s="1071" t="s">
        <v>435</v>
      </c>
      <c r="N47" s="1071" t="s">
        <v>68</v>
      </c>
      <c r="O47" s="1071" t="s">
        <v>67</v>
      </c>
      <c r="P47" s="782"/>
      <c r="Q47" s="782"/>
      <c r="R47" s="420"/>
    </row>
    <row r="48" spans="1:19" ht="31.5" customHeight="1">
      <c r="A48" s="1068"/>
      <c r="B48" s="1068"/>
      <c r="C48" s="1071"/>
      <c r="D48" s="1071"/>
      <c r="E48" s="783" t="s">
        <v>686</v>
      </c>
      <c r="F48" s="783" t="s">
        <v>687</v>
      </c>
      <c r="G48" s="784" t="s">
        <v>285</v>
      </c>
      <c r="H48" s="783" t="s">
        <v>499</v>
      </c>
      <c r="I48" s="783" t="s">
        <v>688</v>
      </c>
      <c r="J48" s="783" t="s">
        <v>531</v>
      </c>
      <c r="K48" s="783" t="s">
        <v>689</v>
      </c>
      <c r="L48" s="783" t="s">
        <v>690</v>
      </c>
      <c r="M48" s="1071"/>
      <c r="N48" s="1071"/>
      <c r="O48" s="1071"/>
      <c r="P48" s="782"/>
      <c r="Q48" s="782"/>
      <c r="R48" s="420"/>
    </row>
    <row r="49" spans="1:18" ht="49.5" customHeight="1">
      <c r="A49" s="785"/>
      <c r="B49" s="786" t="s">
        <v>516</v>
      </c>
      <c r="C49" s="783"/>
      <c r="D49" s="783"/>
      <c r="E49" s="783"/>
      <c r="F49" s="783"/>
      <c r="G49" s="784"/>
      <c r="H49" s="783"/>
      <c r="I49" s="783"/>
      <c r="J49" s="783"/>
      <c r="K49" s="783"/>
      <c r="L49" s="783"/>
      <c r="M49" s="783"/>
      <c r="N49" s="783"/>
      <c r="O49" s="783"/>
      <c r="P49" s="782"/>
      <c r="Q49" s="782"/>
      <c r="R49" s="420"/>
    </row>
    <row r="50" spans="1:18" ht="25.5" customHeight="1">
      <c r="A50" s="785"/>
      <c r="B50" s="787" t="s">
        <v>668</v>
      </c>
      <c r="C50" s="783" t="s">
        <v>532</v>
      </c>
      <c r="D50" s="785" t="s">
        <v>723</v>
      </c>
      <c r="E50" s="788" t="e">
        <f>E54+E81+E83</f>
        <v>#VALUE!</v>
      </c>
      <c r="F50" s="788">
        <f t="shared" ref="F50:O50" si="7">F54+F81+F83</f>
        <v>0</v>
      </c>
      <c r="G50" s="788">
        <f t="shared" si="7"/>
        <v>0</v>
      </c>
      <c r="H50" s="788">
        <f t="shared" si="7"/>
        <v>11608.608307692308</v>
      </c>
      <c r="I50" s="788">
        <f>I54+I81+I83</f>
        <v>26923.86</v>
      </c>
      <c r="J50" s="788">
        <f t="shared" si="7"/>
        <v>6568.0400000000009</v>
      </c>
      <c r="K50" s="788">
        <f t="shared" si="7"/>
        <v>12958.806</v>
      </c>
      <c r="L50" s="788" t="e">
        <f t="shared" si="7"/>
        <v>#VALUE!</v>
      </c>
      <c r="M50" s="788" t="e">
        <f t="shared" si="7"/>
        <v>#VALUE!</v>
      </c>
      <c r="N50" s="788" t="e">
        <f t="shared" si="7"/>
        <v>#VALUE!</v>
      </c>
      <c r="O50" s="788">
        <f t="shared" si="7"/>
        <v>22034.707692307689</v>
      </c>
      <c r="P50" s="782"/>
      <c r="Q50" s="782"/>
      <c r="R50" s="420"/>
    </row>
    <row r="51" spans="1:18" ht="25.5" customHeight="1">
      <c r="A51" s="785"/>
      <c r="B51" s="787" t="s">
        <v>669</v>
      </c>
      <c r="C51" s="783" t="s">
        <v>532</v>
      </c>
      <c r="D51" s="785" t="s">
        <v>723</v>
      </c>
      <c r="E51" s="788" t="e">
        <f>E55+E81+E83</f>
        <v>#VALUE!</v>
      </c>
      <c r="F51" s="788">
        <f t="shared" ref="F51:O51" si="8">F55+F81+F83</f>
        <v>0</v>
      </c>
      <c r="G51" s="788">
        <f t="shared" si="8"/>
        <v>0</v>
      </c>
      <c r="H51" s="788">
        <f t="shared" si="8"/>
        <v>11608.608307692308</v>
      </c>
      <c r="I51" s="788">
        <f t="shared" si="8"/>
        <v>26923.86</v>
      </c>
      <c r="J51" s="788">
        <f t="shared" si="8"/>
        <v>6568.0400000000009</v>
      </c>
      <c r="K51" s="788">
        <f t="shared" si="8"/>
        <v>12958.806</v>
      </c>
      <c r="L51" s="788" t="e">
        <f t="shared" si="8"/>
        <v>#VALUE!</v>
      </c>
      <c r="M51" s="788" t="e">
        <f t="shared" si="8"/>
        <v>#VALUE!</v>
      </c>
      <c r="N51" s="788" t="e">
        <f t="shared" si="8"/>
        <v>#VALUE!</v>
      </c>
      <c r="O51" s="788">
        <f t="shared" si="8"/>
        <v>21727.303846153842</v>
      </c>
      <c r="P51" s="782"/>
      <c r="Q51" s="782"/>
      <c r="R51" s="420"/>
    </row>
    <row r="52" spans="1:18" ht="25.5" customHeight="1">
      <c r="A52" s="785"/>
      <c r="B52" s="789"/>
      <c r="C52" s="783"/>
      <c r="D52" s="783"/>
      <c r="E52" s="783"/>
      <c r="F52" s="783"/>
      <c r="G52" s="784"/>
      <c r="H52" s="783"/>
      <c r="I52" s="783"/>
      <c r="J52" s="783"/>
      <c r="K52" s="783"/>
      <c r="L52" s="783"/>
      <c r="M52" s="783"/>
      <c r="N52" s="783"/>
      <c r="O52" s="783"/>
      <c r="P52" s="790">
        <f>'He so chung'!D$22</f>
        <v>5346.1538461538457</v>
      </c>
      <c r="Q52" s="790">
        <f>'He so chung'!D$23</f>
        <v>801.92307692307691</v>
      </c>
      <c r="R52" s="689"/>
    </row>
    <row r="53" spans="1:18" ht="25.5" customHeight="1">
      <c r="A53" s="785" t="s">
        <v>1000</v>
      </c>
      <c r="B53" s="789" t="s">
        <v>582</v>
      </c>
      <c r="C53" s="783"/>
      <c r="D53" s="783"/>
      <c r="E53" s="783"/>
      <c r="F53" s="783"/>
      <c r="G53" s="784"/>
      <c r="H53" s="783"/>
      <c r="I53" s="783"/>
      <c r="J53" s="783"/>
      <c r="K53" s="783"/>
      <c r="L53" s="783"/>
      <c r="M53" s="783"/>
      <c r="N53" s="783"/>
      <c r="O53" s="783"/>
      <c r="P53" s="790"/>
      <c r="Q53" s="790"/>
      <c r="R53" s="689"/>
    </row>
    <row r="54" spans="1:18" ht="25.5" customHeight="1">
      <c r="A54" s="791" t="s">
        <v>1008</v>
      </c>
      <c r="B54" s="787" t="s">
        <v>668</v>
      </c>
      <c r="C54" s="783" t="s">
        <v>532</v>
      </c>
      <c r="D54" s="792" t="s">
        <v>723</v>
      </c>
      <c r="E54" s="808" t="e">
        <f>E57+E59+E60+E61+E62+E64+E66+E67+E69+E71+E72+E73+E74+E77+E78+E79+E80</f>
        <v>#VALUE!</v>
      </c>
      <c r="F54" s="809"/>
      <c r="G54" s="795"/>
      <c r="H54" s="809">
        <f>'Dcu-DKDD'!$J$338</f>
        <v>10841.787653846153</v>
      </c>
      <c r="I54" s="809">
        <f>'VL-DKDD'!$H$342</f>
        <v>25312.5</v>
      </c>
      <c r="J54" s="809">
        <f>'TB-DKDD'!$K$194</f>
        <v>6503.02</v>
      </c>
      <c r="K54" s="809">
        <f>'NL-DKDD'!$H$133</f>
        <v>12820.5</v>
      </c>
      <c r="L54" s="810" t="e">
        <f>SUM(E54:K54)</f>
        <v>#VALUE!</v>
      </c>
      <c r="M54" s="810" t="e">
        <f>L54*'He so chung'!$D$17/100</f>
        <v>#VALUE!</v>
      </c>
      <c r="N54" s="810" t="e">
        <f>L54+M54</f>
        <v>#VALUE!</v>
      </c>
      <c r="O54" s="808">
        <f>O57+O59+O60+O61+O62+O64+O66+O67+O69+O71+O72+O73+O74+O77+O78+O79+O80</f>
        <v>18960.669230769228</v>
      </c>
      <c r="P54" s="782"/>
      <c r="Q54" s="782"/>
      <c r="R54" s="420"/>
    </row>
    <row r="55" spans="1:18" ht="25.5" customHeight="1">
      <c r="A55" s="791" t="s">
        <v>1009</v>
      </c>
      <c r="B55" s="787" t="s">
        <v>669</v>
      </c>
      <c r="C55" s="783" t="s">
        <v>532</v>
      </c>
      <c r="D55" s="792" t="s">
        <v>723</v>
      </c>
      <c r="E55" s="808" t="e">
        <f>E58+E59+E60+E61+E62+E64+E66+E67+E69+E71+E72+E73+E74+E77+E78+E79+E80</f>
        <v>#VALUE!</v>
      </c>
      <c r="F55" s="809"/>
      <c r="G55" s="795"/>
      <c r="H55" s="809">
        <f>'Dcu-DKDD'!$J$338</f>
        <v>10841.787653846153</v>
      </c>
      <c r="I55" s="809">
        <f>'VL-DKDD'!$H$342</f>
        <v>25312.5</v>
      </c>
      <c r="J55" s="809">
        <f>'TB-DKDD'!$K$194</f>
        <v>6503.02</v>
      </c>
      <c r="K55" s="809">
        <f>'NL-DKDD'!$H$133</f>
        <v>12820.5</v>
      </c>
      <c r="L55" s="810" t="e">
        <f>SUM(E55:K55)</f>
        <v>#VALUE!</v>
      </c>
      <c r="M55" s="810" t="e">
        <f>L55*'He so chung'!$D$17/100</f>
        <v>#VALUE!</v>
      </c>
      <c r="N55" s="810" t="e">
        <f>L55+M55</f>
        <v>#VALUE!</v>
      </c>
      <c r="O55" s="808">
        <f>O58+O59+O60+O61+O62+O64+O66+O67+O69+O71+O72+O73+O74+O77+O78+O79+O80</f>
        <v>18653.265384615381</v>
      </c>
      <c r="P55" s="782"/>
      <c r="Q55" s="782"/>
      <c r="R55" s="420"/>
    </row>
    <row r="56" spans="1:18" ht="25.5" customHeight="1">
      <c r="A56" s="798">
        <v>1</v>
      </c>
      <c r="B56" s="799" t="s">
        <v>816</v>
      </c>
      <c r="C56" s="809"/>
      <c r="D56" s="811"/>
      <c r="E56" s="809"/>
      <c r="F56" s="809"/>
      <c r="G56" s="795"/>
      <c r="H56" s="809"/>
      <c r="I56" s="809"/>
      <c r="J56" s="809"/>
      <c r="K56" s="809"/>
      <c r="L56" s="809"/>
      <c r="M56" s="809"/>
      <c r="N56" s="809"/>
      <c r="O56" s="809">
        <f t="shared" ref="O56:O80" si="9">P56+Q56</f>
        <v>0</v>
      </c>
      <c r="P56" s="782"/>
      <c r="Q56" s="782"/>
      <c r="R56" s="420"/>
    </row>
    <row r="57" spans="1:18" ht="25.5" customHeight="1">
      <c r="A57" s="798" t="s">
        <v>733</v>
      </c>
      <c r="B57" s="799" t="s">
        <v>846</v>
      </c>
      <c r="C57" s="798" t="s">
        <v>532</v>
      </c>
      <c r="D57" s="792" t="s">
        <v>723</v>
      </c>
      <c r="E57" s="809" t="e">
        <f>NC_DKDD!H873</f>
        <v>#VALUE!</v>
      </c>
      <c r="F57" s="809"/>
      <c r="G57" s="795"/>
      <c r="H57" s="809"/>
      <c r="I57" s="809"/>
      <c r="J57" s="809"/>
      <c r="K57" s="809"/>
      <c r="L57" s="809"/>
      <c r="M57" s="809"/>
      <c r="N57" s="809"/>
      <c r="O57" s="809">
        <f t="shared" si="9"/>
        <v>1229.6153846153848</v>
      </c>
      <c r="P57" s="782">
        <f t="shared" ref="P57:P84" si="10">R57*P$9</f>
        <v>1069.2307692307693</v>
      </c>
      <c r="Q57" s="782">
        <f t="shared" ref="Q57:Q84" si="11">R57*Q$9</f>
        <v>160.38461538461539</v>
      </c>
      <c r="R57" s="812">
        <f>NC_DKDD!G873</f>
        <v>0.2</v>
      </c>
    </row>
    <row r="58" spans="1:18" ht="25.5" customHeight="1">
      <c r="A58" s="798" t="s">
        <v>741</v>
      </c>
      <c r="B58" s="799" t="s">
        <v>849</v>
      </c>
      <c r="C58" s="798" t="s">
        <v>532</v>
      </c>
      <c r="D58" s="792" t="s">
        <v>723</v>
      </c>
      <c r="E58" s="809" t="e">
        <f>NC_DKDD!H874</f>
        <v>#VALUE!</v>
      </c>
      <c r="F58" s="809"/>
      <c r="G58" s="795"/>
      <c r="H58" s="809"/>
      <c r="I58" s="809"/>
      <c r="J58" s="809"/>
      <c r="K58" s="809"/>
      <c r="L58" s="809"/>
      <c r="M58" s="809"/>
      <c r="N58" s="809"/>
      <c r="O58" s="809">
        <f t="shared" si="9"/>
        <v>922.21153846153834</v>
      </c>
      <c r="P58" s="782">
        <f t="shared" si="10"/>
        <v>801.92307692307679</v>
      </c>
      <c r="Q58" s="782">
        <f t="shared" si="11"/>
        <v>120.28846153846153</v>
      </c>
      <c r="R58" s="812">
        <f>NC_DKDD!G874</f>
        <v>0.15</v>
      </c>
    </row>
    <row r="59" spans="1:18" ht="31.5" customHeight="1">
      <c r="A59" s="798">
        <v>2</v>
      </c>
      <c r="B59" s="799" t="s">
        <v>797</v>
      </c>
      <c r="C59" s="798" t="s">
        <v>532</v>
      </c>
      <c r="D59" s="792" t="s">
        <v>723</v>
      </c>
      <c r="E59" s="809" t="e">
        <f>NC_DKDD!H875</f>
        <v>#VALUE!</v>
      </c>
      <c r="F59" s="809"/>
      <c r="G59" s="795"/>
      <c r="H59" s="809"/>
      <c r="I59" s="809"/>
      <c r="J59" s="809"/>
      <c r="K59" s="809"/>
      <c r="L59" s="809"/>
      <c r="M59" s="809"/>
      <c r="N59" s="809"/>
      <c r="O59" s="809">
        <f t="shared" si="9"/>
        <v>1537.0192307692307</v>
      </c>
      <c r="P59" s="782">
        <f t="shared" si="10"/>
        <v>1336.5384615384614</v>
      </c>
      <c r="Q59" s="782">
        <f t="shared" si="11"/>
        <v>200.48076923076923</v>
      </c>
      <c r="R59" s="812">
        <f>NC_DKDD!G875</f>
        <v>0.25</v>
      </c>
    </row>
    <row r="60" spans="1:18" ht="30" customHeight="1">
      <c r="A60" s="798">
        <v>3</v>
      </c>
      <c r="B60" s="799" t="s">
        <v>851</v>
      </c>
      <c r="C60" s="798" t="s">
        <v>375</v>
      </c>
      <c r="D60" s="792" t="s">
        <v>723</v>
      </c>
      <c r="E60" s="809" t="e">
        <f>NC_DKDD!H876</f>
        <v>#VALUE!</v>
      </c>
      <c r="F60" s="809"/>
      <c r="G60" s="795"/>
      <c r="H60" s="809"/>
      <c r="I60" s="809"/>
      <c r="J60" s="809"/>
      <c r="K60" s="809"/>
      <c r="L60" s="809"/>
      <c r="M60" s="809"/>
      <c r="N60" s="809"/>
      <c r="O60" s="809">
        <f t="shared" si="9"/>
        <v>657.84423076923065</v>
      </c>
      <c r="P60" s="782">
        <f t="shared" si="10"/>
        <v>572.03846153846143</v>
      </c>
      <c r="Q60" s="782">
        <f t="shared" si="11"/>
        <v>85.805769230769229</v>
      </c>
      <c r="R60" s="812">
        <f>NC_DKDD!G876</f>
        <v>0.107</v>
      </c>
    </row>
    <row r="61" spans="1:18" ht="71.25">
      <c r="A61" s="798">
        <v>4</v>
      </c>
      <c r="B61" s="799" t="s">
        <v>700</v>
      </c>
      <c r="C61" s="798" t="s">
        <v>532</v>
      </c>
      <c r="D61" s="792" t="s">
        <v>723</v>
      </c>
      <c r="E61" s="809" t="e">
        <f>NC_DKDD!H877</f>
        <v>#VALUE!</v>
      </c>
      <c r="F61" s="809"/>
      <c r="G61" s="795"/>
      <c r="H61" s="809"/>
      <c r="I61" s="809"/>
      <c r="J61" s="809"/>
      <c r="K61" s="809"/>
      <c r="L61" s="809"/>
      <c r="M61" s="809"/>
      <c r="N61" s="809"/>
      <c r="O61" s="809">
        <f t="shared" si="9"/>
        <v>7377.6923076923067</v>
      </c>
      <c r="P61" s="782">
        <f t="shared" si="10"/>
        <v>6415.3846153846143</v>
      </c>
      <c r="Q61" s="782">
        <f t="shared" si="11"/>
        <v>962.30769230769226</v>
      </c>
      <c r="R61" s="812">
        <f>NC_DKDD!G877</f>
        <v>1.2</v>
      </c>
    </row>
    <row r="62" spans="1:18" ht="27" customHeight="1">
      <c r="A62" s="798">
        <v>5</v>
      </c>
      <c r="B62" s="799" t="s">
        <v>2</v>
      </c>
      <c r="C62" s="798" t="s">
        <v>375</v>
      </c>
      <c r="D62" s="792" t="s">
        <v>723</v>
      </c>
      <c r="E62" s="809" t="e">
        <f>NC_DKDD!H878</f>
        <v>#VALUE!</v>
      </c>
      <c r="F62" s="809"/>
      <c r="G62" s="795"/>
      <c r="H62" s="809"/>
      <c r="I62" s="809"/>
      <c r="J62" s="809"/>
      <c r="K62" s="809"/>
      <c r="L62" s="809"/>
      <c r="M62" s="809"/>
      <c r="N62" s="809"/>
      <c r="O62" s="809">
        <f t="shared" si="9"/>
        <v>36.888461538461534</v>
      </c>
      <c r="P62" s="782">
        <f t="shared" si="10"/>
        <v>32.076923076923073</v>
      </c>
      <c r="Q62" s="782">
        <f t="shared" si="11"/>
        <v>4.8115384615384613</v>
      </c>
      <c r="R62" s="812">
        <f>NC_DKDD!G878</f>
        <v>6.0000000000000001E-3</v>
      </c>
    </row>
    <row r="63" spans="1:18" ht="42.75">
      <c r="A63" s="798">
        <v>6</v>
      </c>
      <c r="B63" s="799" t="s">
        <v>702</v>
      </c>
      <c r="C63" s="798"/>
      <c r="D63" s="798"/>
      <c r="E63" s="809">
        <f>NC_DKDD!H879</f>
        <v>0</v>
      </c>
      <c r="F63" s="809"/>
      <c r="G63" s="795"/>
      <c r="H63" s="809"/>
      <c r="I63" s="809"/>
      <c r="J63" s="809"/>
      <c r="K63" s="809"/>
      <c r="L63" s="809"/>
      <c r="M63" s="809"/>
      <c r="N63" s="809"/>
      <c r="O63" s="809">
        <f t="shared" si="9"/>
        <v>0</v>
      </c>
      <c r="P63" s="782">
        <f t="shared" si="10"/>
        <v>0</v>
      </c>
      <c r="Q63" s="782">
        <f t="shared" si="11"/>
        <v>0</v>
      </c>
      <c r="R63" s="812">
        <f>NC_DKDD!G879</f>
        <v>0</v>
      </c>
    </row>
    <row r="64" spans="1:18" ht="25.5" customHeight="1">
      <c r="A64" s="798" t="s">
        <v>661</v>
      </c>
      <c r="B64" s="799" t="s">
        <v>587</v>
      </c>
      <c r="C64" s="798" t="s">
        <v>532</v>
      </c>
      <c r="D64" s="792" t="s">
        <v>723</v>
      </c>
      <c r="E64" s="809" t="e">
        <f>NC_DKDD!H880</f>
        <v>#VALUE!</v>
      </c>
      <c r="F64" s="809"/>
      <c r="G64" s="795"/>
      <c r="H64" s="809"/>
      <c r="I64" s="809"/>
      <c r="J64" s="809"/>
      <c r="K64" s="809"/>
      <c r="L64" s="809"/>
      <c r="M64" s="809"/>
      <c r="N64" s="809"/>
      <c r="O64" s="809">
        <f t="shared" si="9"/>
        <v>307.40384615384619</v>
      </c>
      <c r="P64" s="782">
        <f t="shared" si="10"/>
        <v>267.30769230769232</v>
      </c>
      <c r="Q64" s="782">
        <f t="shared" si="11"/>
        <v>40.096153846153847</v>
      </c>
      <c r="R64" s="812">
        <f>NC_DKDD!G880</f>
        <v>0.05</v>
      </c>
    </row>
    <row r="65" spans="1:18" ht="25.5" customHeight="1">
      <c r="A65" s="798" t="s">
        <v>662</v>
      </c>
      <c r="B65" s="799" t="s">
        <v>588</v>
      </c>
      <c r="C65" s="798" t="s">
        <v>532</v>
      </c>
      <c r="D65" s="792" t="s">
        <v>723</v>
      </c>
      <c r="E65" s="809" t="e">
        <f>NC_DKDD!H881</f>
        <v>#VALUE!</v>
      </c>
      <c r="F65" s="809"/>
      <c r="G65" s="795"/>
      <c r="H65" s="809"/>
      <c r="I65" s="809"/>
      <c r="J65" s="809"/>
      <c r="K65" s="809"/>
      <c r="L65" s="809"/>
      <c r="M65" s="809"/>
      <c r="N65" s="809"/>
      <c r="O65" s="809">
        <f t="shared" si="9"/>
        <v>614.80769230769238</v>
      </c>
      <c r="P65" s="782">
        <f t="shared" si="10"/>
        <v>534.61538461538464</v>
      </c>
      <c r="Q65" s="782">
        <f t="shared" si="11"/>
        <v>80.192307692307693</v>
      </c>
      <c r="R65" s="812">
        <f>NC_DKDD!G881</f>
        <v>0.1</v>
      </c>
    </row>
    <row r="66" spans="1:18" ht="28.5">
      <c r="A66" s="798">
        <v>7</v>
      </c>
      <c r="B66" s="799" t="s">
        <v>408</v>
      </c>
      <c r="C66" s="798" t="s">
        <v>532</v>
      </c>
      <c r="D66" s="792" t="s">
        <v>723</v>
      </c>
      <c r="E66" s="809" t="e">
        <f>NC_DKDD!H882</f>
        <v>#VALUE!</v>
      </c>
      <c r="F66" s="809"/>
      <c r="G66" s="795"/>
      <c r="H66" s="809"/>
      <c r="I66" s="809"/>
      <c r="J66" s="809"/>
      <c r="K66" s="809"/>
      <c r="L66" s="809"/>
      <c r="M66" s="809"/>
      <c r="N66" s="809"/>
      <c r="O66" s="809">
        <f t="shared" si="9"/>
        <v>1229.6153846153848</v>
      </c>
      <c r="P66" s="782">
        <f t="shared" si="10"/>
        <v>1069.2307692307693</v>
      </c>
      <c r="Q66" s="782">
        <f t="shared" si="11"/>
        <v>160.38461538461539</v>
      </c>
      <c r="R66" s="812">
        <f>NC_DKDD!G882</f>
        <v>0.2</v>
      </c>
    </row>
    <row r="67" spans="1:18" ht="25.5" customHeight="1">
      <c r="A67" s="798">
        <v>8</v>
      </c>
      <c r="B67" s="799" t="s">
        <v>78</v>
      </c>
      <c r="C67" s="798" t="s">
        <v>375</v>
      </c>
      <c r="D67" s="792" t="s">
        <v>723</v>
      </c>
      <c r="E67" s="809" t="e">
        <f>NC_DKDD!H883</f>
        <v>#VALUE!</v>
      </c>
      <c r="F67" s="809"/>
      <c r="G67" s="795"/>
      <c r="H67" s="809"/>
      <c r="I67" s="809"/>
      <c r="J67" s="809"/>
      <c r="K67" s="809"/>
      <c r="L67" s="809"/>
      <c r="M67" s="809"/>
      <c r="N67" s="809"/>
      <c r="O67" s="809">
        <f t="shared" si="9"/>
        <v>184.44230769230768</v>
      </c>
      <c r="P67" s="782">
        <f t="shared" si="10"/>
        <v>160.38461538461536</v>
      </c>
      <c r="Q67" s="782">
        <f t="shared" si="11"/>
        <v>24.057692307692307</v>
      </c>
      <c r="R67" s="812">
        <f>NC_DKDD!G883</f>
        <v>0.03</v>
      </c>
    </row>
    <row r="68" spans="1:18" ht="25.5" customHeight="1">
      <c r="A68" s="798">
        <v>9</v>
      </c>
      <c r="B68" s="799" t="s">
        <v>80</v>
      </c>
      <c r="C68" s="798"/>
      <c r="D68" s="798"/>
      <c r="E68" s="809">
        <f>NC_DKDD!H884</f>
        <v>0</v>
      </c>
      <c r="F68" s="809"/>
      <c r="G68" s="795"/>
      <c r="H68" s="809"/>
      <c r="I68" s="809"/>
      <c r="J68" s="809"/>
      <c r="K68" s="809"/>
      <c r="L68" s="809"/>
      <c r="M68" s="809"/>
      <c r="N68" s="809"/>
      <c r="O68" s="809">
        <f t="shared" si="9"/>
        <v>0</v>
      </c>
      <c r="P68" s="782">
        <f t="shared" si="10"/>
        <v>0</v>
      </c>
      <c r="Q68" s="782">
        <f t="shared" si="11"/>
        <v>0</v>
      </c>
      <c r="R68" s="812">
        <f>NC_DKDD!G884</f>
        <v>0</v>
      </c>
    </row>
    <row r="69" spans="1:18" ht="25.5" customHeight="1">
      <c r="A69" s="798" t="s">
        <v>663</v>
      </c>
      <c r="B69" s="799" t="s">
        <v>82</v>
      </c>
      <c r="C69" s="798" t="s">
        <v>559</v>
      </c>
      <c r="D69" s="792" t="s">
        <v>723</v>
      </c>
      <c r="E69" s="809" t="e">
        <f>NC_DKDD!H885</f>
        <v>#VALUE!</v>
      </c>
      <c r="F69" s="809"/>
      <c r="G69" s="795"/>
      <c r="H69" s="809"/>
      <c r="I69" s="809"/>
      <c r="J69" s="809"/>
      <c r="K69" s="809"/>
      <c r="L69" s="809"/>
      <c r="M69" s="809"/>
      <c r="N69" s="809"/>
      <c r="O69" s="809">
        <f t="shared" si="9"/>
        <v>614.80769230769238</v>
      </c>
      <c r="P69" s="782">
        <f t="shared" si="10"/>
        <v>534.61538461538464</v>
      </c>
      <c r="Q69" s="782">
        <f t="shared" si="11"/>
        <v>80.192307692307693</v>
      </c>
      <c r="R69" s="812">
        <f>NC_DKDD!G885</f>
        <v>0.1</v>
      </c>
    </row>
    <row r="70" spans="1:18" ht="25.5" customHeight="1">
      <c r="A70" s="798" t="s">
        <v>664</v>
      </c>
      <c r="B70" s="799" t="s">
        <v>84</v>
      </c>
      <c r="C70" s="798" t="s">
        <v>559</v>
      </c>
      <c r="D70" s="792" t="s">
        <v>723</v>
      </c>
      <c r="E70" s="809" t="e">
        <f>NC_DKDD!H886</f>
        <v>#VALUE!</v>
      </c>
      <c r="F70" s="809"/>
      <c r="G70" s="795"/>
      <c r="H70" s="809"/>
      <c r="I70" s="809"/>
      <c r="J70" s="809"/>
      <c r="K70" s="809"/>
      <c r="L70" s="809"/>
      <c r="M70" s="809"/>
      <c r="N70" s="809"/>
      <c r="O70" s="809">
        <f t="shared" si="9"/>
        <v>922.21153846153834</v>
      </c>
      <c r="P70" s="782">
        <f t="shared" si="10"/>
        <v>801.92307692307679</v>
      </c>
      <c r="Q70" s="782">
        <f t="shared" si="11"/>
        <v>120.28846153846153</v>
      </c>
      <c r="R70" s="812">
        <f>NC_DKDD!G886</f>
        <v>0.15</v>
      </c>
    </row>
    <row r="71" spans="1:18" ht="33" customHeight="1">
      <c r="A71" s="798" t="s">
        <v>409</v>
      </c>
      <c r="B71" s="799" t="s">
        <v>410</v>
      </c>
      <c r="C71" s="798" t="s">
        <v>559</v>
      </c>
      <c r="D71" s="792" t="s">
        <v>723</v>
      </c>
      <c r="E71" s="809" t="e">
        <f>NC_DKDD!H887</f>
        <v>#VALUE!</v>
      </c>
      <c r="F71" s="809"/>
      <c r="G71" s="795"/>
      <c r="H71" s="809"/>
      <c r="I71" s="809"/>
      <c r="J71" s="809"/>
      <c r="K71" s="809"/>
      <c r="L71" s="809"/>
      <c r="M71" s="809"/>
      <c r="N71" s="809"/>
      <c r="O71" s="809">
        <f t="shared" si="9"/>
        <v>614.80769230769238</v>
      </c>
      <c r="P71" s="782">
        <f t="shared" si="10"/>
        <v>534.61538461538464</v>
      </c>
      <c r="Q71" s="782">
        <f t="shared" si="11"/>
        <v>80.192307692307693</v>
      </c>
      <c r="R71" s="812">
        <f>NC_DKDD!G887</f>
        <v>0.1</v>
      </c>
    </row>
    <row r="72" spans="1:18" ht="33" customHeight="1">
      <c r="A72" s="798">
        <v>10</v>
      </c>
      <c r="B72" s="799" t="s">
        <v>411</v>
      </c>
      <c r="C72" s="798" t="s">
        <v>532</v>
      </c>
      <c r="D72" s="792" t="s">
        <v>723</v>
      </c>
      <c r="E72" s="809" t="e">
        <f>NC_DKDD!H888</f>
        <v>#VALUE!</v>
      </c>
      <c r="F72" s="809"/>
      <c r="G72" s="795"/>
      <c r="H72" s="809"/>
      <c r="I72" s="809"/>
      <c r="J72" s="809"/>
      <c r="K72" s="809"/>
      <c r="L72" s="809"/>
      <c r="M72" s="809"/>
      <c r="N72" s="809"/>
      <c r="O72" s="809">
        <f t="shared" si="9"/>
        <v>2459.2307692307695</v>
      </c>
      <c r="P72" s="782">
        <f t="shared" si="10"/>
        <v>2138.4615384615386</v>
      </c>
      <c r="Q72" s="782">
        <f t="shared" si="11"/>
        <v>320.76923076923077</v>
      </c>
      <c r="R72" s="812">
        <f>NC_DKDD!G888</f>
        <v>0.4</v>
      </c>
    </row>
    <row r="73" spans="1:18" ht="57">
      <c r="A73" s="798">
        <v>11</v>
      </c>
      <c r="B73" s="799" t="s">
        <v>813</v>
      </c>
      <c r="C73" s="798" t="s">
        <v>532</v>
      </c>
      <c r="D73" s="792" t="s">
        <v>723</v>
      </c>
      <c r="E73" s="809" t="e">
        <f>NC_DKDD!H889</f>
        <v>#VALUE!</v>
      </c>
      <c r="F73" s="809"/>
      <c r="G73" s="795"/>
      <c r="H73" s="809"/>
      <c r="I73" s="809"/>
      <c r="J73" s="809"/>
      <c r="K73" s="809"/>
      <c r="L73" s="809"/>
      <c r="M73" s="809"/>
      <c r="N73" s="809"/>
      <c r="O73" s="809">
        <f t="shared" si="9"/>
        <v>2274.7884615384614</v>
      </c>
      <c r="P73" s="782">
        <f t="shared" si="10"/>
        <v>1978.0769230769229</v>
      </c>
      <c r="Q73" s="782">
        <f t="shared" si="11"/>
        <v>296.71153846153845</v>
      </c>
      <c r="R73" s="812">
        <f>NC_DKDD!G889</f>
        <v>0.37</v>
      </c>
    </row>
    <row r="74" spans="1:18" ht="25.5" customHeight="1">
      <c r="A74" s="798">
        <v>12</v>
      </c>
      <c r="B74" s="799" t="s">
        <v>87</v>
      </c>
      <c r="C74" s="798" t="s">
        <v>375</v>
      </c>
      <c r="D74" s="792" t="s">
        <v>723</v>
      </c>
      <c r="E74" s="809" t="e">
        <f>NC_DKDD!H890</f>
        <v>#VALUE!</v>
      </c>
      <c r="F74" s="809"/>
      <c r="G74" s="795"/>
      <c r="H74" s="809"/>
      <c r="I74" s="809"/>
      <c r="J74" s="809"/>
      <c r="K74" s="809"/>
      <c r="L74" s="809"/>
      <c r="M74" s="809"/>
      <c r="N74" s="809"/>
      <c r="O74" s="809">
        <f t="shared" si="9"/>
        <v>202.88653846153844</v>
      </c>
      <c r="P74" s="782">
        <f t="shared" si="10"/>
        <v>176.42307692307691</v>
      </c>
      <c r="Q74" s="782">
        <f t="shared" si="11"/>
        <v>26.463461538461541</v>
      </c>
      <c r="R74" s="812">
        <f>NC_DKDD!G890</f>
        <v>3.3000000000000002E-2</v>
      </c>
    </row>
    <row r="75" spans="1:18" ht="25.5" customHeight="1">
      <c r="A75" s="798">
        <v>13</v>
      </c>
      <c r="B75" s="799" t="s">
        <v>88</v>
      </c>
      <c r="C75" s="798"/>
      <c r="D75" s="798"/>
      <c r="E75" s="809">
        <f>NC_DKDD!H891</f>
        <v>0</v>
      </c>
      <c r="F75" s="809"/>
      <c r="G75" s="795"/>
      <c r="H75" s="809"/>
      <c r="I75" s="809"/>
      <c r="J75" s="809"/>
      <c r="K75" s="809"/>
      <c r="L75" s="809"/>
      <c r="M75" s="809"/>
      <c r="N75" s="809"/>
      <c r="O75" s="809">
        <f t="shared" si="9"/>
        <v>0</v>
      </c>
      <c r="P75" s="782">
        <f t="shared" si="10"/>
        <v>0</v>
      </c>
      <c r="Q75" s="782">
        <f t="shared" si="11"/>
        <v>0</v>
      </c>
      <c r="R75" s="812">
        <f>NC_DKDD!G891</f>
        <v>0</v>
      </c>
    </row>
    <row r="76" spans="1:18" ht="28.5">
      <c r="A76" s="798" t="s">
        <v>110</v>
      </c>
      <c r="B76" s="799" t="s">
        <v>775</v>
      </c>
      <c r="C76" s="798"/>
      <c r="D76" s="798"/>
      <c r="E76" s="809">
        <f>NC_DKDD!H892</f>
        <v>0</v>
      </c>
      <c r="F76" s="809"/>
      <c r="G76" s="795"/>
      <c r="H76" s="809"/>
      <c r="I76" s="809"/>
      <c r="J76" s="809"/>
      <c r="K76" s="809"/>
      <c r="L76" s="809"/>
      <c r="M76" s="809"/>
      <c r="N76" s="809"/>
      <c r="O76" s="809">
        <f t="shared" si="9"/>
        <v>0</v>
      </c>
      <c r="P76" s="782">
        <f t="shared" si="10"/>
        <v>0</v>
      </c>
      <c r="Q76" s="782">
        <f t="shared" si="11"/>
        <v>0</v>
      </c>
      <c r="R76" s="812">
        <f>NC_DKDD!G892</f>
        <v>0</v>
      </c>
    </row>
    <row r="77" spans="1:18" ht="25.5" customHeight="1">
      <c r="A77" s="798" t="s">
        <v>111</v>
      </c>
      <c r="B77" s="799" t="s">
        <v>777</v>
      </c>
      <c r="C77" s="798" t="s">
        <v>377</v>
      </c>
      <c r="D77" s="792" t="s">
        <v>723</v>
      </c>
      <c r="E77" s="809" t="e">
        <f>NC_DKDD!H893</f>
        <v>#VALUE!</v>
      </c>
      <c r="F77" s="809"/>
      <c r="G77" s="795"/>
      <c r="H77" s="809"/>
      <c r="I77" s="809"/>
      <c r="J77" s="809"/>
      <c r="K77" s="809"/>
      <c r="L77" s="809"/>
      <c r="M77" s="809"/>
      <c r="N77" s="809"/>
      <c r="O77" s="809">
        <f t="shared" si="9"/>
        <v>98.369230769230768</v>
      </c>
      <c r="P77" s="782">
        <f t="shared" si="10"/>
        <v>85.538461538461533</v>
      </c>
      <c r="Q77" s="782">
        <f t="shared" si="11"/>
        <v>12.830769230769231</v>
      </c>
      <c r="R77" s="812">
        <f>NC_DKDD!G893</f>
        <v>1.6E-2</v>
      </c>
    </row>
    <row r="78" spans="1:18" ht="25.5" customHeight="1">
      <c r="A78" s="798" t="s">
        <v>112</v>
      </c>
      <c r="B78" s="799" t="s">
        <v>781</v>
      </c>
      <c r="C78" s="798" t="s">
        <v>377</v>
      </c>
      <c r="D78" s="792" t="s">
        <v>723</v>
      </c>
      <c r="E78" s="809" t="e">
        <f>NC_DKDD!H894</f>
        <v>#VALUE!</v>
      </c>
      <c r="F78" s="809"/>
      <c r="G78" s="795"/>
      <c r="H78" s="809"/>
      <c r="I78" s="809"/>
      <c r="J78" s="809"/>
      <c r="K78" s="809"/>
      <c r="L78" s="809"/>
      <c r="M78" s="809"/>
      <c r="N78" s="809"/>
      <c r="O78" s="809">
        <f t="shared" si="9"/>
        <v>49.184615384615384</v>
      </c>
      <c r="P78" s="782">
        <f t="shared" si="10"/>
        <v>42.769230769230766</v>
      </c>
      <c r="Q78" s="782">
        <f t="shared" si="11"/>
        <v>6.4153846153846157</v>
      </c>
      <c r="R78" s="812">
        <f>NC_DKDD!G894</f>
        <v>8.0000000000000002E-3</v>
      </c>
    </row>
    <row r="79" spans="1:18" ht="30" customHeight="1">
      <c r="A79" s="798" t="s">
        <v>113</v>
      </c>
      <c r="B79" s="799" t="s">
        <v>861</v>
      </c>
      <c r="C79" s="798" t="s">
        <v>377</v>
      </c>
      <c r="D79" s="792" t="s">
        <v>723</v>
      </c>
      <c r="E79" s="809" t="e">
        <f>NC_DKDD!H895</f>
        <v>#VALUE!</v>
      </c>
      <c r="F79" s="809"/>
      <c r="G79" s="795"/>
      <c r="H79" s="809"/>
      <c r="I79" s="809"/>
      <c r="J79" s="809"/>
      <c r="K79" s="809"/>
      <c r="L79" s="809"/>
      <c r="M79" s="809"/>
      <c r="N79" s="809"/>
      <c r="O79" s="809">
        <f t="shared" si="9"/>
        <v>24.592307692307692</v>
      </c>
      <c r="P79" s="782">
        <f t="shared" si="10"/>
        <v>21.384615384615383</v>
      </c>
      <c r="Q79" s="782">
        <f t="shared" si="11"/>
        <v>3.2076923076923078</v>
      </c>
      <c r="R79" s="812">
        <f>NC_DKDD!G895</f>
        <v>4.0000000000000001E-3</v>
      </c>
    </row>
    <row r="80" spans="1:18" ht="25.5" customHeight="1">
      <c r="A80" s="798" t="s">
        <v>114</v>
      </c>
      <c r="B80" s="799" t="s">
        <v>863</v>
      </c>
      <c r="C80" s="798" t="s">
        <v>375</v>
      </c>
      <c r="D80" s="792" t="s">
        <v>723</v>
      </c>
      <c r="E80" s="809" t="e">
        <f>NC_DKDD!H896</f>
        <v>#VALUE!</v>
      </c>
      <c r="F80" s="809"/>
      <c r="G80" s="795"/>
      <c r="H80" s="809"/>
      <c r="I80" s="809"/>
      <c r="J80" s="809"/>
      <c r="K80" s="809"/>
      <c r="L80" s="809"/>
      <c r="M80" s="809"/>
      <c r="N80" s="809"/>
      <c r="O80" s="809">
        <f t="shared" si="9"/>
        <v>61.480769230769226</v>
      </c>
      <c r="P80" s="782">
        <f t="shared" si="10"/>
        <v>53.46153846153846</v>
      </c>
      <c r="Q80" s="782">
        <f t="shared" si="11"/>
        <v>8.0192307692307701</v>
      </c>
      <c r="R80" s="812">
        <f>NC_DKDD!G896</f>
        <v>0.01</v>
      </c>
    </row>
    <row r="81" spans="1:18" ht="25.5" customHeight="1">
      <c r="A81" s="791" t="s">
        <v>1005</v>
      </c>
      <c r="B81" s="787" t="s">
        <v>378</v>
      </c>
      <c r="C81" s="798"/>
      <c r="D81" s="798"/>
      <c r="E81" s="808" t="e">
        <f>E82</f>
        <v>#VALUE!</v>
      </c>
      <c r="F81" s="809"/>
      <c r="G81" s="795"/>
      <c r="H81" s="809">
        <f>'Dcu-DKDD'!$L$338</f>
        <v>0</v>
      </c>
      <c r="I81" s="809">
        <f>'VL-DKDD'!$J$342</f>
        <v>0</v>
      </c>
      <c r="J81" s="809">
        <f>'TB-DKDD'!$M$194</f>
        <v>0</v>
      </c>
      <c r="K81" s="809"/>
      <c r="L81" s="810" t="e">
        <f>SUM(E81:K81)</f>
        <v>#VALUE!</v>
      </c>
      <c r="M81" s="810" t="e">
        <f>L81*'He so chung'!$D$17/100</f>
        <v>#VALUE!</v>
      </c>
      <c r="N81" s="810" t="e">
        <f>L81+M81</f>
        <v>#VALUE!</v>
      </c>
      <c r="O81" s="808">
        <f>O82</f>
        <v>2459.2307692307695</v>
      </c>
      <c r="P81" s="782">
        <f t="shared" si="10"/>
        <v>0</v>
      </c>
      <c r="Q81" s="782">
        <f t="shared" si="11"/>
        <v>0</v>
      </c>
      <c r="R81" s="812">
        <f>NC_DKDD!G897</f>
        <v>0</v>
      </c>
    </row>
    <row r="82" spans="1:18" ht="25.5" customHeight="1">
      <c r="A82" s="798">
        <v>1</v>
      </c>
      <c r="B82" s="799" t="s">
        <v>814</v>
      </c>
      <c r="C82" s="798" t="s">
        <v>532</v>
      </c>
      <c r="D82" s="792" t="s">
        <v>723</v>
      </c>
      <c r="E82" s="809" t="e">
        <f>NC_DKDD!H898</f>
        <v>#VALUE!</v>
      </c>
      <c r="F82" s="809"/>
      <c r="G82" s="795"/>
      <c r="H82" s="809"/>
      <c r="I82" s="809"/>
      <c r="J82" s="809"/>
      <c r="K82" s="809"/>
      <c r="L82" s="809"/>
      <c r="M82" s="809"/>
      <c r="N82" s="809"/>
      <c r="O82" s="809">
        <f>P82+Q82</f>
        <v>2459.2307692307695</v>
      </c>
      <c r="P82" s="782">
        <f t="shared" si="10"/>
        <v>2138.4615384615386</v>
      </c>
      <c r="Q82" s="782">
        <f t="shared" si="11"/>
        <v>320.76923076923077</v>
      </c>
      <c r="R82" s="812">
        <f>NC_DKDD!G898</f>
        <v>0.4</v>
      </c>
    </row>
    <row r="83" spans="1:18" ht="25.5" customHeight="1">
      <c r="A83" s="791" t="s">
        <v>755</v>
      </c>
      <c r="B83" s="787" t="s">
        <v>909</v>
      </c>
      <c r="C83" s="798"/>
      <c r="D83" s="798"/>
      <c r="E83" s="808" t="e">
        <f>E84</f>
        <v>#VALUE!</v>
      </c>
      <c r="F83" s="809"/>
      <c r="G83" s="795"/>
      <c r="H83" s="809">
        <f>'Dcu-DKDD'!$H$338</f>
        <v>766.82065384615373</v>
      </c>
      <c r="I83" s="809">
        <f>'VL-DKDD'!$F$342</f>
        <v>1611.36</v>
      </c>
      <c r="J83" s="809">
        <f>'TB-DKDD'!$I$194</f>
        <v>65.02</v>
      </c>
      <c r="K83" s="809">
        <f>'NL-DKDD'!$F$133</f>
        <v>138.30599999999998</v>
      </c>
      <c r="L83" s="810" t="e">
        <f>SUM(E83:K83)</f>
        <v>#VALUE!</v>
      </c>
      <c r="M83" s="810" t="e">
        <f>L83*'He so chung'!$D$17/100</f>
        <v>#VALUE!</v>
      </c>
      <c r="N83" s="810" t="e">
        <f>L83+M83</f>
        <v>#VALUE!</v>
      </c>
      <c r="O83" s="808">
        <f>O84</f>
        <v>614.80769230769238</v>
      </c>
      <c r="P83" s="782">
        <f t="shared" si="10"/>
        <v>0</v>
      </c>
      <c r="Q83" s="782">
        <f t="shared" si="11"/>
        <v>0</v>
      </c>
      <c r="R83" s="812">
        <f>NC_DKDD!G899</f>
        <v>0</v>
      </c>
    </row>
    <row r="84" spans="1:18" ht="25.5" customHeight="1">
      <c r="A84" s="798">
        <v>1</v>
      </c>
      <c r="B84" s="799" t="s">
        <v>815</v>
      </c>
      <c r="C84" s="798" t="s">
        <v>532</v>
      </c>
      <c r="D84" s="792" t="s">
        <v>723</v>
      </c>
      <c r="E84" s="809" t="e">
        <f>NC_DKDD!H900</f>
        <v>#VALUE!</v>
      </c>
      <c r="F84" s="809"/>
      <c r="G84" s="795"/>
      <c r="H84" s="809"/>
      <c r="I84" s="809"/>
      <c r="J84" s="809"/>
      <c r="K84" s="809"/>
      <c r="L84" s="809"/>
      <c r="M84" s="809"/>
      <c r="N84" s="809"/>
      <c r="O84" s="809">
        <f>P84+Q84</f>
        <v>614.80769230769238</v>
      </c>
      <c r="P84" s="782">
        <f t="shared" si="10"/>
        <v>534.61538461538464</v>
      </c>
      <c r="Q84" s="782">
        <f t="shared" si="11"/>
        <v>80.192307692307693</v>
      </c>
      <c r="R84" s="812">
        <f>NC_DKDD!G900</f>
        <v>0.1</v>
      </c>
    </row>
    <row r="85" spans="1:18" ht="33" customHeight="1">
      <c r="A85" s="455"/>
      <c r="B85" s="1073" t="s">
        <v>854</v>
      </c>
      <c r="C85" s="1073"/>
      <c r="D85" s="1073"/>
      <c r="E85" s="1073"/>
      <c r="F85" s="1073"/>
      <c r="G85" s="1073"/>
      <c r="H85" s="1073"/>
      <c r="I85" s="1073"/>
      <c r="J85" s="1073"/>
      <c r="K85" s="1073"/>
      <c r="L85" s="1073"/>
      <c r="M85" s="1073"/>
      <c r="N85" s="1073"/>
      <c r="O85" s="1073"/>
      <c r="P85" s="420"/>
      <c r="Q85" s="420"/>
      <c r="R85" s="806"/>
    </row>
    <row r="86" spans="1:18" ht="21.75" customHeight="1">
      <c r="A86" s="455"/>
      <c r="B86" s="445"/>
      <c r="C86" s="445"/>
      <c r="D86" s="445"/>
      <c r="E86" s="445"/>
      <c r="F86" s="445"/>
      <c r="G86" s="445"/>
      <c r="H86" s="445"/>
      <c r="I86" s="445"/>
      <c r="J86" s="445"/>
      <c r="K86" s="445"/>
      <c r="L86" s="445"/>
      <c r="M86" s="445"/>
      <c r="N86" s="445"/>
      <c r="O86" s="445"/>
      <c r="P86" s="420"/>
      <c r="Q86" s="420"/>
      <c r="R86" s="806"/>
    </row>
    <row r="87" spans="1:18" ht="34.15" customHeight="1">
      <c r="A87" s="1070" t="s">
        <v>517</v>
      </c>
      <c r="B87" s="1070"/>
      <c r="C87" s="1070"/>
      <c r="D87" s="1070"/>
      <c r="E87" s="1070"/>
      <c r="F87" s="1070"/>
      <c r="G87" s="1070"/>
      <c r="H87" s="1070"/>
      <c r="I87" s="1070"/>
      <c r="J87" s="1070"/>
      <c r="K87" s="1070"/>
      <c r="L87" s="1070"/>
      <c r="M87" s="1070"/>
      <c r="N87" s="1070"/>
      <c r="O87" s="1070"/>
      <c r="R87" s="806"/>
    </row>
    <row r="88" spans="1:18" ht="22.5" customHeight="1">
      <c r="A88" s="414"/>
      <c r="B88" s="415"/>
      <c r="C88" s="776"/>
      <c r="D88" s="777" t="s">
        <v>430</v>
      </c>
      <c r="E88" s="419"/>
      <c r="F88" s="778"/>
      <c r="G88" s="779"/>
      <c r="H88" s="778"/>
      <c r="I88" s="780"/>
      <c r="J88" s="778"/>
      <c r="K88" s="778"/>
      <c r="L88" s="781" t="s">
        <v>262</v>
      </c>
      <c r="M88" s="778"/>
      <c r="N88" s="780"/>
      <c r="O88" s="419"/>
      <c r="P88" s="420"/>
      <c r="Q88" s="420"/>
      <c r="R88" s="420"/>
    </row>
    <row r="89" spans="1:18" ht="34.15" customHeight="1">
      <c r="A89" s="1068" t="s">
        <v>718</v>
      </c>
      <c r="B89" s="1068" t="s">
        <v>198</v>
      </c>
      <c r="C89" s="1071" t="s">
        <v>263</v>
      </c>
      <c r="D89" s="1071" t="s">
        <v>264</v>
      </c>
      <c r="E89" s="1071" t="s">
        <v>683</v>
      </c>
      <c r="F89" s="1071"/>
      <c r="G89" s="1071"/>
      <c r="H89" s="1071"/>
      <c r="I89" s="1071"/>
      <c r="J89" s="1071"/>
      <c r="K89" s="1071"/>
      <c r="L89" s="1071"/>
      <c r="M89" s="1071" t="s">
        <v>435</v>
      </c>
      <c r="N89" s="1071" t="s">
        <v>68</v>
      </c>
      <c r="O89" s="1071" t="s">
        <v>67</v>
      </c>
      <c r="P89" s="782"/>
      <c r="Q89" s="782"/>
      <c r="R89" s="420"/>
    </row>
    <row r="90" spans="1:18" ht="34.15" customHeight="1">
      <c r="A90" s="1068"/>
      <c r="B90" s="1068"/>
      <c r="C90" s="1071"/>
      <c r="D90" s="1071"/>
      <c r="E90" s="783" t="s">
        <v>686</v>
      </c>
      <c r="F90" s="783" t="s">
        <v>687</v>
      </c>
      <c r="G90" s="784" t="s">
        <v>285</v>
      </c>
      <c r="H90" s="783" t="s">
        <v>499</v>
      </c>
      <c r="I90" s="783" t="s">
        <v>688</v>
      </c>
      <c r="J90" s="783" t="s">
        <v>531</v>
      </c>
      <c r="K90" s="783" t="s">
        <v>689</v>
      </c>
      <c r="L90" s="783" t="s">
        <v>690</v>
      </c>
      <c r="M90" s="1071"/>
      <c r="N90" s="1071"/>
      <c r="O90" s="1071"/>
      <c r="P90" s="782"/>
      <c r="Q90" s="782"/>
      <c r="R90" s="420"/>
    </row>
    <row r="91" spans="1:18" ht="30">
      <c r="A91" s="785"/>
      <c r="B91" s="786" t="s">
        <v>518</v>
      </c>
      <c r="C91" s="783"/>
      <c r="D91" s="783"/>
      <c r="E91" s="783"/>
      <c r="F91" s="783"/>
      <c r="G91" s="784"/>
      <c r="H91" s="783"/>
      <c r="I91" s="783"/>
      <c r="J91" s="783"/>
      <c r="K91" s="783"/>
      <c r="L91" s="783"/>
      <c r="M91" s="783"/>
      <c r="N91" s="783"/>
      <c r="O91" s="783"/>
      <c r="P91" s="782"/>
      <c r="Q91" s="782"/>
      <c r="R91" s="420"/>
    </row>
    <row r="92" spans="1:18" ht="24.75" customHeight="1">
      <c r="A92" s="785"/>
      <c r="B92" s="787" t="s">
        <v>668</v>
      </c>
      <c r="C92" s="783" t="s">
        <v>532</v>
      </c>
      <c r="D92" s="785" t="s">
        <v>723</v>
      </c>
      <c r="E92" s="788" t="e">
        <f>E96+E123+E125</f>
        <v>#VALUE!</v>
      </c>
      <c r="F92" s="788">
        <f t="shared" ref="F92:O92" si="12">F96+F123+F125</f>
        <v>0</v>
      </c>
      <c r="G92" s="788">
        <f t="shared" si="12"/>
        <v>0</v>
      </c>
      <c r="H92" s="788">
        <f t="shared" si="12"/>
        <v>11608.515759615384</v>
      </c>
      <c r="I92" s="788">
        <f t="shared" si="12"/>
        <v>27022.14</v>
      </c>
      <c r="J92" s="788">
        <f t="shared" si="12"/>
        <v>6565.7200000000012</v>
      </c>
      <c r="K92" s="788">
        <f t="shared" si="12"/>
        <v>12941.712</v>
      </c>
      <c r="L92" s="788" t="e">
        <f t="shared" si="12"/>
        <v>#VALUE!</v>
      </c>
      <c r="M92" s="788" t="e">
        <f t="shared" si="12"/>
        <v>#VALUE!</v>
      </c>
      <c r="N92" s="788" t="e">
        <f t="shared" si="12"/>
        <v>#VALUE!</v>
      </c>
      <c r="O92" s="788">
        <f t="shared" si="12"/>
        <v>25828.071153846151</v>
      </c>
      <c r="P92" s="782"/>
      <c r="Q92" s="782"/>
      <c r="R92" s="420"/>
    </row>
    <row r="93" spans="1:18" ht="24.75" customHeight="1">
      <c r="A93" s="785"/>
      <c r="B93" s="787" t="s">
        <v>669</v>
      </c>
      <c r="C93" s="783" t="s">
        <v>532</v>
      </c>
      <c r="D93" s="785" t="s">
        <v>723</v>
      </c>
      <c r="E93" s="788" t="e">
        <f>E97+E123+E125</f>
        <v>#VALUE!</v>
      </c>
      <c r="F93" s="788">
        <f t="shared" ref="F93:O93" si="13">F97+F123+F125</f>
        <v>0</v>
      </c>
      <c r="G93" s="788">
        <f t="shared" si="13"/>
        <v>0</v>
      </c>
      <c r="H93" s="788">
        <f t="shared" si="13"/>
        <v>11608.515759615384</v>
      </c>
      <c r="I93" s="788">
        <f t="shared" si="13"/>
        <v>27022.14</v>
      </c>
      <c r="J93" s="788">
        <f t="shared" si="13"/>
        <v>6565.7200000000012</v>
      </c>
      <c r="K93" s="788">
        <f t="shared" si="13"/>
        <v>12941.712</v>
      </c>
      <c r="L93" s="788" t="e">
        <f t="shared" si="13"/>
        <v>#VALUE!</v>
      </c>
      <c r="M93" s="788" t="e">
        <f t="shared" si="13"/>
        <v>#VALUE!</v>
      </c>
      <c r="N93" s="788" t="e">
        <f t="shared" si="13"/>
        <v>#VALUE!</v>
      </c>
      <c r="O93" s="788">
        <f t="shared" si="13"/>
        <v>25520.667307692303</v>
      </c>
      <c r="P93" s="782"/>
      <c r="Q93" s="782"/>
      <c r="R93" s="420"/>
    </row>
    <row r="94" spans="1:18" ht="24.75" customHeight="1">
      <c r="A94" s="785"/>
      <c r="B94" s="789"/>
      <c r="C94" s="783"/>
      <c r="D94" s="783"/>
      <c r="E94" s="783"/>
      <c r="F94" s="783"/>
      <c r="G94" s="784"/>
      <c r="H94" s="783"/>
      <c r="I94" s="783"/>
      <c r="J94" s="783"/>
      <c r="K94" s="783"/>
      <c r="L94" s="783"/>
      <c r="M94" s="783"/>
      <c r="N94" s="783"/>
      <c r="O94" s="783"/>
      <c r="P94" s="790">
        <f>'He so chung'!D$22</f>
        <v>5346.1538461538457</v>
      </c>
      <c r="Q94" s="790">
        <f>'He so chung'!D$23</f>
        <v>801.92307692307691</v>
      </c>
      <c r="R94" s="689"/>
    </row>
    <row r="95" spans="1:18" ht="24.75" customHeight="1">
      <c r="A95" s="785" t="s">
        <v>1000</v>
      </c>
      <c r="B95" s="789" t="s">
        <v>582</v>
      </c>
      <c r="C95" s="783"/>
      <c r="D95" s="783"/>
      <c r="E95" s="783"/>
      <c r="F95" s="783"/>
      <c r="G95" s="784"/>
      <c r="H95" s="783"/>
      <c r="I95" s="783"/>
      <c r="J95" s="783"/>
      <c r="K95" s="783"/>
      <c r="L95" s="783"/>
      <c r="M95" s="783"/>
      <c r="N95" s="783"/>
      <c r="O95" s="783"/>
      <c r="P95" s="790"/>
      <c r="Q95" s="790"/>
      <c r="R95" s="689"/>
    </row>
    <row r="96" spans="1:18" ht="24.75" customHeight="1">
      <c r="A96" s="791" t="s">
        <v>1008</v>
      </c>
      <c r="B96" s="787" t="s">
        <v>668</v>
      </c>
      <c r="C96" s="783" t="s">
        <v>532</v>
      </c>
      <c r="D96" s="792" t="s">
        <v>723</v>
      </c>
      <c r="E96" s="793" t="e">
        <f>E99+E101+E102+E103+E104+E106+E108+E109+E111+E113+E114+E115+E116+E119+E120+E121+E122</f>
        <v>#VALUE!</v>
      </c>
      <c r="F96" s="794"/>
      <c r="G96" s="795"/>
      <c r="H96" s="794">
        <f>'Dcu-DKDD'!$J$309</f>
        <v>9785.5934615384613</v>
      </c>
      <c r="I96" s="794">
        <f>'VL-DKDD'!$H$312</f>
        <v>23921.46</v>
      </c>
      <c r="J96" s="794">
        <f>'TB-DKDD'!$K$176</f>
        <v>6431.0400000000009</v>
      </c>
      <c r="K96" s="794">
        <f>'NL-DKDD'!$H$120</f>
        <v>12648.005999999999</v>
      </c>
      <c r="L96" s="796" t="e">
        <f>SUM(E96:K96)</f>
        <v>#VALUE!</v>
      </c>
      <c r="M96" s="796" t="e">
        <f>L96*'He so chung'!$D$17/100</f>
        <v>#VALUE!</v>
      </c>
      <c r="N96" s="796" t="e">
        <f>L96+M96</f>
        <v>#VALUE!</v>
      </c>
      <c r="O96" s="793">
        <f>O99+O101+O102+O103+O104+O106+O108+O109+O111+O113+O114+O115+O116+O119+O120+O121+O122</f>
        <v>22754.03269230769</v>
      </c>
      <c r="P96" s="782"/>
      <c r="Q96" s="782"/>
      <c r="R96" s="420"/>
    </row>
    <row r="97" spans="1:18" ht="24.75" customHeight="1">
      <c r="A97" s="791" t="s">
        <v>1009</v>
      </c>
      <c r="B97" s="787" t="s">
        <v>669</v>
      </c>
      <c r="C97" s="783" t="s">
        <v>532</v>
      </c>
      <c r="D97" s="792" t="s">
        <v>723</v>
      </c>
      <c r="E97" s="793" t="e">
        <f>E100+E101+E102+E103+E104+E106+E108+E109+E111+E113+E114+E115+E116+E119+E120+E121+E122</f>
        <v>#VALUE!</v>
      </c>
      <c r="F97" s="794"/>
      <c r="G97" s="795"/>
      <c r="H97" s="794">
        <f>'Dcu-DKDD'!$J$309</f>
        <v>9785.5934615384613</v>
      </c>
      <c r="I97" s="794">
        <f>'VL-DKDD'!$H$312</f>
        <v>23921.46</v>
      </c>
      <c r="J97" s="794">
        <f>'TB-DKDD'!$K$176</f>
        <v>6431.0400000000009</v>
      </c>
      <c r="K97" s="794">
        <f>'NL-DKDD'!$H$120</f>
        <v>12648.005999999999</v>
      </c>
      <c r="L97" s="796" t="e">
        <f>SUM(E97:K97)</f>
        <v>#VALUE!</v>
      </c>
      <c r="M97" s="796" t="e">
        <f>L97*'He so chung'!$D$17/100</f>
        <v>#VALUE!</v>
      </c>
      <c r="N97" s="796" t="e">
        <f>L97+M97</f>
        <v>#VALUE!</v>
      </c>
      <c r="O97" s="793">
        <f>O100+O101+O102+O103+O104+O106+O108+O109+O111+O113+O114+O115+O116+O119+O120+O121+O122</f>
        <v>22446.628846153842</v>
      </c>
      <c r="P97" s="782"/>
      <c r="Q97" s="782"/>
      <c r="R97" s="420"/>
    </row>
    <row r="98" spans="1:18" ht="23.25" customHeight="1">
      <c r="A98" s="798">
        <v>1</v>
      </c>
      <c r="B98" s="799" t="s">
        <v>816</v>
      </c>
      <c r="C98" s="794"/>
      <c r="D98" s="800"/>
      <c r="E98" s="794"/>
      <c r="F98" s="794"/>
      <c r="G98" s="795"/>
      <c r="H98" s="794"/>
      <c r="I98" s="794"/>
      <c r="J98" s="794"/>
      <c r="K98" s="794"/>
      <c r="L98" s="794"/>
      <c r="M98" s="794"/>
      <c r="N98" s="794"/>
      <c r="O98" s="794">
        <f t="shared" ref="O98:O122" si="14">P98+Q98</f>
        <v>0</v>
      </c>
      <c r="P98" s="782"/>
      <c r="Q98" s="782"/>
      <c r="R98" s="420"/>
    </row>
    <row r="99" spans="1:18" ht="23.25" customHeight="1">
      <c r="A99" s="798" t="s">
        <v>733</v>
      </c>
      <c r="B99" s="799" t="s">
        <v>846</v>
      </c>
      <c r="C99" s="798" t="s">
        <v>532</v>
      </c>
      <c r="D99" s="792" t="s">
        <v>723</v>
      </c>
      <c r="E99" s="794" t="e">
        <f>NC_DKDD!H907</f>
        <v>#VALUE!</v>
      </c>
      <c r="F99" s="794"/>
      <c r="G99" s="795"/>
      <c r="H99" s="794"/>
      <c r="I99" s="794"/>
      <c r="J99" s="794"/>
      <c r="K99" s="794"/>
      <c r="L99" s="794"/>
      <c r="M99" s="794"/>
      <c r="N99" s="794"/>
      <c r="O99" s="794">
        <f t="shared" si="14"/>
        <v>1229.6153846153848</v>
      </c>
      <c r="P99" s="782">
        <f t="shared" ref="P99:P126" si="15">R99*P$9</f>
        <v>1069.2307692307693</v>
      </c>
      <c r="Q99" s="782">
        <f t="shared" ref="Q99:Q126" si="16">R99*Q$9</f>
        <v>160.38461538461539</v>
      </c>
      <c r="R99" s="813">
        <f>NC_DKDD!G907</f>
        <v>0.2</v>
      </c>
    </row>
    <row r="100" spans="1:18" ht="23.25" customHeight="1">
      <c r="A100" s="798" t="s">
        <v>741</v>
      </c>
      <c r="B100" s="799" t="s">
        <v>849</v>
      </c>
      <c r="C100" s="798" t="s">
        <v>532</v>
      </c>
      <c r="D100" s="792" t="s">
        <v>723</v>
      </c>
      <c r="E100" s="794" t="e">
        <f>NC_DKDD!H908</f>
        <v>#VALUE!</v>
      </c>
      <c r="F100" s="794"/>
      <c r="G100" s="795"/>
      <c r="H100" s="794"/>
      <c r="I100" s="794"/>
      <c r="J100" s="794"/>
      <c r="K100" s="794"/>
      <c r="L100" s="794"/>
      <c r="M100" s="794"/>
      <c r="N100" s="794"/>
      <c r="O100" s="794">
        <f t="shared" si="14"/>
        <v>922.21153846153834</v>
      </c>
      <c r="P100" s="782">
        <f t="shared" si="15"/>
        <v>801.92307692307679</v>
      </c>
      <c r="Q100" s="782">
        <f t="shared" si="16"/>
        <v>120.28846153846153</v>
      </c>
      <c r="R100" s="813">
        <f>NC_DKDD!G908</f>
        <v>0.15</v>
      </c>
    </row>
    <row r="101" spans="1:18" ht="34.15" customHeight="1">
      <c r="A101" s="798">
        <v>2</v>
      </c>
      <c r="B101" s="799" t="s">
        <v>797</v>
      </c>
      <c r="C101" s="798" t="s">
        <v>532</v>
      </c>
      <c r="D101" s="792" t="s">
        <v>723</v>
      </c>
      <c r="E101" s="794" t="e">
        <f>NC_DKDD!H909</f>
        <v>#VALUE!</v>
      </c>
      <c r="F101" s="794"/>
      <c r="G101" s="795"/>
      <c r="H101" s="794"/>
      <c r="I101" s="794"/>
      <c r="J101" s="794"/>
      <c r="K101" s="794"/>
      <c r="L101" s="794"/>
      <c r="M101" s="794"/>
      <c r="N101" s="794"/>
      <c r="O101" s="794">
        <f t="shared" si="14"/>
        <v>1537.0192307692307</v>
      </c>
      <c r="P101" s="782">
        <f t="shared" si="15"/>
        <v>1336.5384615384614</v>
      </c>
      <c r="Q101" s="782">
        <f t="shared" si="16"/>
        <v>200.48076923076923</v>
      </c>
      <c r="R101" s="813">
        <f>NC_DKDD!G909</f>
        <v>0.25</v>
      </c>
    </row>
    <row r="102" spans="1:18" ht="32.25" customHeight="1">
      <c r="A102" s="798">
        <v>3</v>
      </c>
      <c r="B102" s="799" t="s">
        <v>851</v>
      </c>
      <c r="C102" s="798" t="s">
        <v>375</v>
      </c>
      <c r="D102" s="792" t="s">
        <v>723</v>
      </c>
      <c r="E102" s="794" t="e">
        <f>NC_DKDD!H910</f>
        <v>#VALUE!</v>
      </c>
      <c r="F102" s="794"/>
      <c r="G102" s="795"/>
      <c r="H102" s="794"/>
      <c r="I102" s="794"/>
      <c r="J102" s="794"/>
      <c r="K102" s="794"/>
      <c r="L102" s="794"/>
      <c r="M102" s="794"/>
      <c r="N102" s="794"/>
      <c r="O102" s="794">
        <f t="shared" si="14"/>
        <v>202.88653846153844</v>
      </c>
      <c r="P102" s="782">
        <f t="shared" si="15"/>
        <v>176.42307692307691</v>
      </c>
      <c r="Q102" s="782">
        <f t="shared" si="16"/>
        <v>26.463461538461541</v>
      </c>
      <c r="R102" s="813">
        <f>NC_DKDD!G910</f>
        <v>3.3000000000000002E-2</v>
      </c>
    </row>
    <row r="103" spans="1:18" ht="71.25">
      <c r="A103" s="798">
        <v>4</v>
      </c>
      <c r="B103" s="799" t="s">
        <v>700</v>
      </c>
      <c r="C103" s="798" t="s">
        <v>532</v>
      </c>
      <c r="D103" s="792" t="s">
        <v>723</v>
      </c>
      <c r="E103" s="794" t="e">
        <f>NC_DKDD!H911</f>
        <v>#VALUE!</v>
      </c>
      <c r="F103" s="794"/>
      <c r="G103" s="795"/>
      <c r="H103" s="794"/>
      <c r="I103" s="794"/>
      <c r="J103" s="794"/>
      <c r="K103" s="794"/>
      <c r="L103" s="794"/>
      <c r="M103" s="794"/>
      <c r="N103" s="794"/>
      <c r="O103" s="794">
        <f t="shared" si="14"/>
        <v>11066.538461538461</v>
      </c>
      <c r="P103" s="782">
        <f t="shared" si="15"/>
        <v>9623.076923076922</v>
      </c>
      <c r="Q103" s="782">
        <f t="shared" si="16"/>
        <v>1443.4615384615386</v>
      </c>
      <c r="R103" s="813">
        <f>NC_DKDD!G911</f>
        <v>1.8</v>
      </c>
    </row>
    <row r="104" spans="1:18" ht="34.15" customHeight="1">
      <c r="A104" s="798">
        <v>5</v>
      </c>
      <c r="B104" s="799" t="s">
        <v>2</v>
      </c>
      <c r="C104" s="798" t="s">
        <v>375</v>
      </c>
      <c r="D104" s="792" t="s">
        <v>723</v>
      </c>
      <c r="E104" s="794" t="e">
        <f>NC_DKDD!H912</f>
        <v>#VALUE!</v>
      </c>
      <c r="F104" s="794"/>
      <c r="G104" s="795"/>
      <c r="H104" s="794"/>
      <c r="I104" s="794"/>
      <c r="J104" s="794"/>
      <c r="K104" s="794"/>
      <c r="L104" s="794"/>
      <c r="M104" s="794"/>
      <c r="N104" s="794"/>
      <c r="O104" s="794">
        <f t="shared" si="14"/>
        <v>36.888461538461534</v>
      </c>
      <c r="P104" s="782">
        <f t="shared" si="15"/>
        <v>32.076923076923073</v>
      </c>
      <c r="Q104" s="782">
        <f t="shared" si="16"/>
        <v>4.8115384615384613</v>
      </c>
      <c r="R104" s="813">
        <f>NC_DKDD!G912</f>
        <v>6.0000000000000001E-3</v>
      </c>
    </row>
    <row r="105" spans="1:18" ht="42.75">
      <c r="A105" s="798">
        <v>6</v>
      </c>
      <c r="B105" s="799" t="s">
        <v>702</v>
      </c>
      <c r="C105" s="798"/>
      <c r="D105" s="798"/>
      <c r="E105" s="794">
        <f>NC_DKDD!H913</f>
        <v>0</v>
      </c>
      <c r="F105" s="794"/>
      <c r="G105" s="795"/>
      <c r="H105" s="794"/>
      <c r="I105" s="794"/>
      <c r="J105" s="794"/>
      <c r="K105" s="794"/>
      <c r="L105" s="794"/>
      <c r="M105" s="794"/>
      <c r="N105" s="794"/>
      <c r="O105" s="794">
        <f t="shared" si="14"/>
        <v>0</v>
      </c>
      <c r="P105" s="782">
        <f t="shared" si="15"/>
        <v>0</v>
      </c>
      <c r="Q105" s="782">
        <f t="shared" si="16"/>
        <v>0</v>
      </c>
      <c r="R105" s="813">
        <f>NC_DKDD!G913</f>
        <v>0</v>
      </c>
    </row>
    <row r="106" spans="1:18" ht="25.5" customHeight="1">
      <c r="A106" s="798" t="s">
        <v>661</v>
      </c>
      <c r="B106" s="799" t="s">
        <v>587</v>
      </c>
      <c r="C106" s="798" t="s">
        <v>532</v>
      </c>
      <c r="D106" s="792" t="s">
        <v>723</v>
      </c>
      <c r="E106" s="794" t="e">
        <f>NC_DKDD!H914</f>
        <v>#VALUE!</v>
      </c>
      <c r="F106" s="794"/>
      <c r="G106" s="795"/>
      <c r="H106" s="794"/>
      <c r="I106" s="794"/>
      <c r="J106" s="794"/>
      <c r="K106" s="794"/>
      <c r="L106" s="794"/>
      <c r="M106" s="794"/>
      <c r="N106" s="794"/>
      <c r="O106" s="794">
        <f t="shared" si="14"/>
        <v>0</v>
      </c>
      <c r="P106" s="782">
        <f t="shared" si="15"/>
        <v>0</v>
      </c>
      <c r="Q106" s="782">
        <f t="shared" si="16"/>
        <v>0</v>
      </c>
      <c r="R106" s="813">
        <f>NC_DKDD!G914</f>
        <v>0</v>
      </c>
    </row>
    <row r="107" spans="1:18" ht="25.5" customHeight="1">
      <c r="A107" s="798" t="s">
        <v>662</v>
      </c>
      <c r="B107" s="799" t="s">
        <v>588</v>
      </c>
      <c r="C107" s="798" t="s">
        <v>532</v>
      </c>
      <c r="D107" s="792" t="s">
        <v>723</v>
      </c>
      <c r="E107" s="794" t="e">
        <f>NC_DKDD!H915</f>
        <v>#VALUE!</v>
      </c>
      <c r="F107" s="794"/>
      <c r="G107" s="795"/>
      <c r="H107" s="794"/>
      <c r="I107" s="794"/>
      <c r="J107" s="794"/>
      <c r="K107" s="794"/>
      <c r="L107" s="794"/>
      <c r="M107" s="794"/>
      <c r="N107" s="794"/>
      <c r="O107" s="794">
        <f t="shared" si="14"/>
        <v>0</v>
      </c>
      <c r="P107" s="782">
        <f t="shared" si="15"/>
        <v>0</v>
      </c>
      <c r="Q107" s="782">
        <f t="shared" si="16"/>
        <v>0</v>
      </c>
      <c r="R107" s="813">
        <f>NC_DKDD!G915</f>
        <v>0</v>
      </c>
    </row>
    <row r="108" spans="1:18" ht="33.75" customHeight="1">
      <c r="A108" s="798">
        <v>7</v>
      </c>
      <c r="B108" s="799" t="s">
        <v>408</v>
      </c>
      <c r="C108" s="798" t="s">
        <v>532</v>
      </c>
      <c r="D108" s="792" t="s">
        <v>723</v>
      </c>
      <c r="E108" s="794" t="e">
        <f>NC_DKDD!H916</f>
        <v>#VALUE!</v>
      </c>
      <c r="F108" s="794"/>
      <c r="G108" s="795"/>
      <c r="H108" s="794"/>
      <c r="I108" s="794"/>
      <c r="J108" s="794"/>
      <c r="K108" s="794"/>
      <c r="L108" s="794"/>
      <c r="M108" s="794"/>
      <c r="N108" s="794"/>
      <c r="O108" s="794">
        <f t="shared" si="14"/>
        <v>1229.6153846153848</v>
      </c>
      <c r="P108" s="782">
        <f t="shared" si="15"/>
        <v>1069.2307692307693</v>
      </c>
      <c r="Q108" s="782">
        <f t="shared" si="16"/>
        <v>160.38461538461539</v>
      </c>
      <c r="R108" s="813">
        <f>NC_DKDD!G916</f>
        <v>0.2</v>
      </c>
    </row>
    <row r="109" spans="1:18" ht="27.75" customHeight="1">
      <c r="A109" s="798">
        <v>8</v>
      </c>
      <c r="B109" s="799" t="s">
        <v>78</v>
      </c>
      <c r="C109" s="798" t="s">
        <v>375</v>
      </c>
      <c r="D109" s="792" t="s">
        <v>723</v>
      </c>
      <c r="E109" s="794" t="e">
        <f>NC_DKDD!H917</f>
        <v>#VALUE!</v>
      </c>
      <c r="F109" s="794"/>
      <c r="G109" s="795"/>
      <c r="H109" s="794"/>
      <c r="I109" s="794"/>
      <c r="J109" s="794"/>
      <c r="K109" s="794"/>
      <c r="L109" s="794"/>
      <c r="M109" s="794"/>
      <c r="N109" s="794"/>
      <c r="O109" s="794">
        <f t="shared" si="14"/>
        <v>1051.3211538461539</v>
      </c>
      <c r="P109" s="782">
        <f t="shared" si="15"/>
        <v>914.19230769230774</v>
      </c>
      <c r="Q109" s="782">
        <f t="shared" si="16"/>
        <v>137.12884615384615</v>
      </c>
      <c r="R109" s="813">
        <f>NC_DKDD!G917</f>
        <v>0.17100000000000001</v>
      </c>
    </row>
    <row r="110" spans="1:18" ht="27.75" customHeight="1">
      <c r="A110" s="798">
        <v>9</v>
      </c>
      <c r="B110" s="799" t="s">
        <v>80</v>
      </c>
      <c r="C110" s="798"/>
      <c r="D110" s="798"/>
      <c r="E110" s="794">
        <f>NC_DKDD!H918</f>
        <v>0</v>
      </c>
      <c r="F110" s="794"/>
      <c r="G110" s="795"/>
      <c r="H110" s="794"/>
      <c r="I110" s="794"/>
      <c r="J110" s="794"/>
      <c r="K110" s="794"/>
      <c r="L110" s="794"/>
      <c r="M110" s="794"/>
      <c r="N110" s="794"/>
      <c r="O110" s="794">
        <f t="shared" si="14"/>
        <v>0</v>
      </c>
      <c r="P110" s="782">
        <f t="shared" si="15"/>
        <v>0</v>
      </c>
      <c r="Q110" s="782">
        <f t="shared" si="16"/>
        <v>0</v>
      </c>
      <c r="R110" s="813">
        <f>NC_DKDD!G918</f>
        <v>0</v>
      </c>
    </row>
    <row r="111" spans="1:18" ht="27.75" customHeight="1">
      <c r="A111" s="798" t="s">
        <v>663</v>
      </c>
      <c r="B111" s="799" t="s">
        <v>82</v>
      </c>
      <c r="C111" s="798" t="s">
        <v>559</v>
      </c>
      <c r="D111" s="792" t="s">
        <v>723</v>
      </c>
      <c r="E111" s="794" t="e">
        <f>NC_DKDD!H919</f>
        <v>#VALUE!</v>
      </c>
      <c r="F111" s="794"/>
      <c r="G111" s="795"/>
      <c r="H111" s="794"/>
      <c r="I111" s="794"/>
      <c r="J111" s="794"/>
      <c r="K111" s="794"/>
      <c r="L111" s="794"/>
      <c r="M111" s="794"/>
      <c r="N111" s="794"/>
      <c r="O111" s="794">
        <f t="shared" si="14"/>
        <v>614.80769230769238</v>
      </c>
      <c r="P111" s="782">
        <f t="shared" si="15"/>
        <v>534.61538461538464</v>
      </c>
      <c r="Q111" s="782">
        <f t="shared" si="16"/>
        <v>80.192307692307693</v>
      </c>
      <c r="R111" s="813">
        <f>NC_DKDD!G919</f>
        <v>0.1</v>
      </c>
    </row>
    <row r="112" spans="1:18" ht="34.15" customHeight="1">
      <c r="A112" s="798" t="s">
        <v>664</v>
      </c>
      <c r="B112" s="799" t="s">
        <v>84</v>
      </c>
      <c r="C112" s="798" t="s">
        <v>559</v>
      </c>
      <c r="D112" s="792" t="s">
        <v>723</v>
      </c>
      <c r="E112" s="794" t="e">
        <f>NC_DKDD!H920</f>
        <v>#VALUE!</v>
      </c>
      <c r="F112" s="794"/>
      <c r="G112" s="795"/>
      <c r="H112" s="794"/>
      <c r="I112" s="794"/>
      <c r="J112" s="794"/>
      <c r="K112" s="794"/>
      <c r="L112" s="794"/>
      <c r="M112" s="794"/>
      <c r="N112" s="794"/>
      <c r="O112" s="794">
        <f t="shared" si="14"/>
        <v>1229.6153846153848</v>
      </c>
      <c r="P112" s="782">
        <f t="shared" si="15"/>
        <v>1069.2307692307693</v>
      </c>
      <c r="Q112" s="782">
        <f t="shared" si="16"/>
        <v>160.38461538461539</v>
      </c>
      <c r="R112" s="813">
        <f>NC_DKDD!G920</f>
        <v>0.2</v>
      </c>
    </row>
    <row r="113" spans="1:18" ht="34.15" customHeight="1">
      <c r="A113" s="798" t="s">
        <v>409</v>
      </c>
      <c r="B113" s="799" t="s">
        <v>410</v>
      </c>
      <c r="C113" s="798" t="s">
        <v>559</v>
      </c>
      <c r="D113" s="792" t="s">
        <v>723</v>
      </c>
      <c r="E113" s="794" t="e">
        <f>NC_DKDD!H921</f>
        <v>#VALUE!</v>
      </c>
      <c r="F113" s="794"/>
      <c r="G113" s="795"/>
      <c r="H113" s="794"/>
      <c r="I113" s="794"/>
      <c r="J113" s="794"/>
      <c r="K113" s="794"/>
      <c r="L113" s="794"/>
      <c r="M113" s="794"/>
      <c r="N113" s="794"/>
      <c r="O113" s="794">
        <f t="shared" si="14"/>
        <v>614.80769230769238</v>
      </c>
      <c r="P113" s="782">
        <f t="shared" si="15"/>
        <v>534.61538461538464</v>
      </c>
      <c r="Q113" s="782">
        <f t="shared" si="16"/>
        <v>80.192307692307693</v>
      </c>
      <c r="R113" s="813">
        <f>NC_DKDD!G921</f>
        <v>0.1</v>
      </c>
    </row>
    <row r="114" spans="1:18" ht="34.15" customHeight="1">
      <c r="A114" s="798">
        <v>10</v>
      </c>
      <c r="B114" s="799" t="s">
        <v>411</v>
      </c>
      <c r="C114" s="798" t="s">
        <v>532</v>
      </c>
      <c r="D114" s="792" t="s">
        <v>723</v>
      </c>
      <c r="E114" s="794" t="e">
        <f>NC_DKDD!H922</f>
        <v>#VALUE!</v>
      </c>
      <c r="F114" s="794"/>
      <c r="G114" s="795"/>
      <c r="H114" s="794"/>
      <c r="I114" s="794"/>
      <c r="J114" s="794"/>
      <c r="K114" s="794"/>
      <c r="L114" s="794"/>
      <c r="M114" s="794"/>
      <c r="N114" s="794"/>
      <c r="O114" s="794">
        <f t="shared" si="14"/>
        <v>2459.2307692307695</v>
      </c>
      <c r="P114" s="782">
        <f t="shared" si="15"/>
        <v>2138.4615384615386</v>
      </c>
      <c r="Q114" s="782">
        <f t="shared" si="16"/>
        <v>320.76923076923077</v>
      </c>
      <c r="R114" s="813">
        <f>NC_DKDD!G922</f>
        <v>0.4</v>
      </c>
    </row>
    <row r="115" spans="1:18" ht="57">
      <c r="A115" s="798">
        <v>11</v>
      </c>
      <c r="B115" s="799" t="s">
        <v>813</v>
      </c>
      <c r="C115" s="798" t="s">
        <v>532</v>
      </c>
      <c r="D115" s="792" t="s">
        <v>723</v>
      </c>
      <c r="E115" s="794" t="e">
        <f>NC_DKDD!H923</f>
        <v>#VALUE!</v>
      </c>
      <c r="F115" s="794"/>
      <c r="G115" s="795"/>
      <c r="H115" s="794"/>
      <c r="I115" s="794"/>
      <c r="J115" s="794"/>
      <c r="K115" s="794"/>
      <c r="L115" s="794"/>
      <c r="M115" s="794"/>
      <c r="N115" s="794"/>
      <c r="O115" s="794">
        <f t="shared" si="14"/>
        <v>2274.7884615384614</v>
      </c>
      <c r="P115" s="782">
        <f t="shared" si="15"/>
        <v>1978.0769230769229</v>
      </c>
      <c r="Q115" s="782">
        <f t="shared" si="16"/>
        <v>296.71153846153845</v>
      </c>
      <c r="R115" s="813">
        <f>NC_DKDD!G923</f>
        <v>0.37</v>
      </c>
    </row>
    <row r="116" spans="1:18" ht="29.25" customHeight="1">
      <c r="A116" s="798">
        <v>12</v>
      </c>
      <c r="B116" s="799" t="s">
        <v>87</v>
      </c>
      <c r="C116" s="798" t="s">
        <v>375</v>
      </c>
      <c r="D116" s="792" t="s">
        <v>723</v>
      </c>
      <c r="E116" s="794" t="e">
        <f>NC_DKDD!H924</f>
        <v>#VALUE!</v>
      </c>
      <c r="F116" s="794"/>
      <c r="G116" s="795"/>
      <c r="H116" s="794"/>
      <c r="I116" s="794"/>
      <c r="J116" s="794"/>
      <c r="K116" s="794"/>
      <c r="L116" s="794"/>
      <c r="M116" s="794"/>
      <c r="N116" s="794"/>
      <c r="O116" s="794">
        <f t="shared" si="14"/>
        <v>202.88653846153844</v>
      </c>
      <c r="P116" s="782">
        <f t="shared" si="15"/>
        <v>176.42307692307691</v>
      </c>
      <c r="Q116" s="782">
        <f t="shared" si="16"/>
        <v>26.463461538461541</v>
      </c>
      <c r="R116" s="813">
        <f>NC_DKDD!G924</f>
        <v>3.3000000000000002E-2</v>
      </c>
    </row>
    <row r="117" spans="1:18" ht="29.25" customHeight="1">
      <c r="A117" s="798">
        <v>13</v>
      </c>
      <c r="B117" s="799" t="s">
        <v>88</v>
      </c>
      <c r="C117" s="798"/>
      <c r="D117" s="798"/>
      <c r="E117" s="794">
        <f>NC_DKDD!H925</f>
        <v>0</v>
      </c>
      <c r="F117" s="794"/>
      <c r="G117" s="795"/>
      <c r="H117" s="794"/>
      <c r="I117" s="794"/>
      <c r="J117" s="794"/>
      <c r="K117" s="794"/>
      <c r="L117" s="794"/>
      <c r="M117" s="794"/>
      <c r="N117" s="794"/>
      <c r="O117" s="794">
        <f t="shared" si="14"/>
        <v>0</v>
      </c>
      <c r="P117" s="782">
        <f t="shared" si="15"/>
        <v>0</v>
      </c>
      <c r="Q117" s="782">
        <f t="shared" si="16"/>
        <v>0</v>
      </c>
      <c r="R117" s="813">
        <f>NC_DKDD!G925</f>
        <v>0</v>
      </c>
    </row>
    <row r="118" spans="1:18" ht="29.25" customHeight="1">
      <c r="A118" s="798" t="s">
        <v>110</v>
      </c>
      <c r="B118" s="799" t="s">
        <v>775</v>
      </c>
      <c r="C118" s="798"/>
      <c r="D118" s="798"/>
      <c r="E118" s="794">
        <f>NC_DKDD!H926</f>
        <v>0</v>
      </c>
      <c r="F118" s="794"/>
      <c r="G118" s="795"/>
      <c r="H118" s="794"/>
      <c r="I118" s="794"/>
      <c r="J118" s="794"/>
      <c r="K118" s="794"/>
      <c r="L118" s="794"/>
      <c r="M118" s="794"/>
      <c r="N118" s="794"/>
      <c r="O118" s="794">
        <f t="shared" si="14"/>
        <v>0</v>
      </c>
      <c r="P118" s="782">
        <f t="shared" si="15"/>
        <v>0</v>
      </c>
      <c r="Q118" s="782">
        <f t="shared" si="16"/>
        <v>0</v>
      </c>
      <c r="R118" s="813">
        <f>NC_DKDD!G926</f>
        <v>0</v>
      </c>
    </row>
    <row r="119" spans="1:18" ht="25.5" customHeight="1">
      <c r="A119" s="798" t="s">
        <v>111</v>
      </c>
      <c r="B119" s="799" t="s">
        <v>777</v>
      </c>
      <c r="C119" s="798" t="s">
        <v>377</v>
      </c>
      <c r="D119" s="792" t="s">
        <v>723</v>
      </c>
      <c r="E119" s="794" t="e">
        <f>NC_DKDD!H927</f>
        <v>#VALUE!</v>
      </c>
      <c r="F119" s="794"/>
      <c r="G119" s="795"/>
      <c r="H119" s="794"/>
      <c r="I119" s="794"/>
      <c r="J119" s="794"/>
      <c r="K119" s="794"/>
      <c r="L119" s="794"/>
      <c r="M119" s="794"/>
      <c r="N119" s="794"/>
      <c r="O119" s="794">
        <f t="shared" si="14"/>
        <v>98.369230769230768</v>
      </c>
      <c r="P119" s="782">
        <f t="shared" si="15"/>
        <v>85.538461538461533</v>
      </c>
      <c r="Q119" s="782">
        <f t="shared" si="16"/>
        <v>12.830769230769231</v>
      </c>
      <c r="R119" s="813">
        <f>NC_DKDD!G927</f>
        <v>1.6E-2</v>
      </c>
    </row>
    <row r="120" spans="1:18" ht="25.5" customHeight="1">
      <c r="A120" s="798" t="s">
        <v>112</v>
      </c>
      <c r="B120" s="799" t="s">
        <v>781</v>
      </c>
      <c r="C120" s="798" t="s">
        <v>377</v>
      </c>
      <c r="D120" s="792" t="s">
        <v>723</v>
      </c>
      <c r="E120" s="794" t="e">
        <f>NC_DKDD!H928</f>
        <v>#VALUE!</v>
      </c>
      <c r="F120" s="794"/>
      <c r="G120" s="795"/>
      <c r="H120" s="794"/>
      <c r="I120" s="794"/>
      <c r="J120" s="794"/>
      <c r="K120" s="794"/>
      <c r="L120" s="794"/>
      <c r="M120" s="794"/>
      <c r="N120" s="794"/>
      <c r="O120" s="794">
        <f t="shared" si="14"/>
        <v>49.184615384615384</v>
      </c>
      <c r="P120" s="782">
        <f t="shared" si="15"/>
        <v>42.769230769230766</v>
      </c>
      <c r="Q120" s="782">
        <f t="shared" si="16"/>
        <v>6.4153846153846157</v>
      </c>
      <c r="R120" s="813">
        <f>NC_DKDD!G928</f>
        <v>8.0000000000000002E-3</v>
      </c>
    </row>
    <row r="121" spans="1:18" ht="29.25" customHeight="1">
      <c r="A121" s="798" t="s">
        <v>113</v>
      </c>
      <c r="B121" s="799" t="s">
        <v>861</v>
      </c>
      <c r="C121" s="798" t="s">
        <v>377</v>
      </c>
      <c r="D121" s="792" t="s">
        <v>723</v>
      </c>
      <c r="E121" s="794" t="e">
        <f>NC_DKDD!H929</f>
        <v>#VALUE!</v>
      </c>
      <c r="F121" s="794"/>
      <c r="G121" s="795"/>
      <c r="H121" s="794"/>
      <c r="I121" s="794"/>
      <c r="J121" s="794"/>
      <c r="K121" s="794"/>
      <c r="L121" s="794"/>
      <c r="M121" s="794"/>
      <c r="N121" s="794"/>
      <c r="O121" s="794">
        <f t="shared" si="14"/>
        <v>24.592307692307692</v>
      </c>
      <c r="P121" s="782">
        <f t="shared" si="15"/>
        <v>21.384615384615383</v>
      </c>
      <c r="Q121" s="782">
        <f t="shared" si="16"/>
        <v>3.2076923076923078</v>
      </c>
      <c r="R121" s="813">
        <f>NC_DKDD!G929</f>
        <v>4.0000000000000001E-3</v>
      </c>
    </row>
    <row r="122" spans="1:18" ht="29.25" customHeight="1">
      <c r="A122" s="798" t="s">
        <v>114</v>
      </c>
      <c r="B122" s="799" t="s">
        <v>863</v>
      </c>
      <c r="C122" s="798" t="s">
        <v>375</v>
      </c>
      <c r="D122" s="792" t="s">
        <v>723</v>
      </c>
      <c r="E122" s="794" t="e">
        <f>NC_DKDD!H930</f>
        <v>#VALUE!</v>
      </c>
      <c r="F122" s="794"/>
      <c r="G122" s="795"/>
      <c r="H122" s="794"/>
      <c r="I122" s="794"/>
      <c r="J122" s="794"/>
      <c r="K122" s="794"/>
      <c r="L122" s="794"/>
      <c r="M122" s="794"/>
      <c r="N122" s="794"/>
      <c r="O122" s="794">
        <f t="shared" si="14"/>
        <v>61.480769230769226</v>
      </c>
      <c r="P122" s="782">
        <f t="shared" si="15"/>
        <v>53.46153846153846</v>
      </c>
      <c r="Q122" s="782">
        <f t="shared" si="16"/>
        <v>8.0192307692307701</v>
      </c>
      <c r="R122" s="813">
        <f>NC_DKDD!G930</f>
        <v>0.01</v>
      </c>
    </row>
    <row r="123" spans="1:18" ht="25.5" customHeight="1">
      <c r="A123" s="791" t="s">
        <v>1005</v>
      </c>
      <c r="B123" s="787" t="s">
        <v>378</v>
      </c>
      <c r="C123" s="798"/>
      <c r="D123" s="798"/>
      <c r="E123" s="793" t="e">
        <f>E124</f>
        <v>#VALUE!</v>
      </c>
      <c r="F123" s="794"/>
      <c r="G123" s="795"/>
      <c r="H123" s="794">
        <f>'Dcu-DKDD'!$L$309</f>
        <v>0</v>
      </c>
      <c r="I123" s="794">
        <f>'VL-DKDD'!$J$312</f>
        <v>0</v>
      </c>
      <c r="J123" s="794">
        <f>'TB-DKDD'!$M$176</f>
        <v>0</v>
      </c>
      <c r="K123" s="794"/>
      <c r="L123" s="796" t="e">
        <f>SUM(E123:K123)</f>
        <v>#VALUE!</v>
      </c>
      <c r="M123" s="796" t="e">
        <f>L123*'He so chung'!$D$17/100</f>
        <v>#VALUE!</v>
      </c>
      <c r="N123" s="796" t="e">
        <f>L123+M123</f>
        <v>#VALUE!</v>
      </c>
      <c r="O123" s="793">
        <f>O124</f>
        <v>2459.2307692307695</v>
      </c>
      <c r="P123" s="782">
        <f t="shared" si="15"/>
        <v>2138.4615384615386</v>
      </c>
      <c r="Q123" s="782">
        <f t="shared" si="16"/>
        <v>320.76923076923077</v>
      </c>
      <c r="R123" s="813">
        <f>R124</f>
        <v>0.4</v>
      </c>
    </row>
    <row r="124" spans="1:18" ht="25.5" customHeight="1">
      <c r="A124" s="798">
        <v>1</v>
      </c>
      <c r="B124" s="799" t="s">
        <v>814</v>
      </c>
      <c r="C124" s="798" t="s">
        <v>532</v>
      </c>
      <c r="D124" s="792" t="s">
        <v>723</v>
      </c>
      <c r="E124" s="794" t="e">
        <f>NC_DKDD!H932</f>
        <v>#VALUE!</v>
      </c>
      <c r="F124" s="794"/>
      <c r="G124" s="795"/>
      <c r="H124" s="794"/>
      <c r="I124" s="794"/>
      <c r="J124" s="794"/>
      <c r="K124" s="794"/>
      <c r="L124" s="794"/>
      <c r="M124" s="794"/>
      <c r="N124" s="794"/>
      <c r="O124" s="794">
        <f>P124+Q124</f>
        <v>2459.2307692307695</v>
      </c>
      <c r="P124" s="782">
        <f t="shared" si="15"/>
        <v>2138.4615384615386</v>
      </c>
      <c r="Q124" s="782">
        <f t="shared" si="16"/>
        <v>320.76923076923077</v>
      </c>
      <c r="R124" s="813">
        <f>NC_DKDD!G932</f>
        <v>0.4</v>
      </c>
    </row>
    <row r="125" spans="1:18" ht="25.5" customHeight="1">
      <c r="A125" s="791" t="s">
        <v>755</v>
      </c>
      <c r="B125" s="787" t="s">
        <v>909</v>
      </c>
      <c r="C125" s="798"/>
      <c r="D125" s="798"/>
      <c r="E125" s="793" t="e">
        <f>E126</f>
        <v>#VALUE!</v>
      </c>
      <c r="F125" s="794"/>
      <c r="G125" s="795"/>
      <c r="H125" s="794">
        <f>'Dcu-DKDD'!$H$309</f>
        <v>1822.922298076923</v>
      </c>
      <c r="I125" s="794">
        <f>'VL-DKDD'!$F$312</f>
        <v>3100.68</v>
      </c>
      <c r="J125" s="794">
        <f>'TB-DKDD'!$I$176</f>
        <v>134.67999999999998</v>
      </c>
      <c r="K125" s="794">
        <f>'NL-DKDD'!$F$120</f>
        <v>293.70600000000002</v>
      </c>
      <c r="L125" s="796" t="e">
        <f>SUM(E125:K125)</f>
        <v>#VALUE!</v>
      </c>
      <c r="M125" s="796" t="e">
        <f>L125*'He so chung'!$D$17/100</f>
        <v>#VALUE!</v>
      </c>
      <c r="N125" s="796" t="e">
        <f>L125+M125</f>
        <v>#VALUE!</v>
      </c>
      <c r="O125" s="793">
        <f>O126</f>
        <v>614.80769230769238</v>
      </c>
      <c r="P125" s="782">
        <f t="shared" si="15"/>
        <v>534.61538461538464</v>
      </c>
      <c r="Q125" s="782">
        <f t="shared" si="16"/>
        <v>80.192307692307693</v>
      </c>
      <c r="R125" s="813">
        <f>R126</f>
        <v>0.1</v>
      </c>
    </row>
    <row r="126" spans="1:18" ht="25.5" customHeight="1">
      <c r="A126" s="798">
        <v>1</v>
      </c>
      <c r="B126" s="799" t="s">
        <v>815</v>
      </c>
      <c r="C126" s="798" t="s">
        <v>532</v>
      </c>
      <c r="D126" s="792" t="s">
        <v>723</v>
      </c>
      <c r="E126" s="794" t="e">
        <f>NC_DKDD!H934</f>
        <v>#VALUE!</v>
      </c>
      <c r="F126" s="794"/>
      <c r="G126" s="795"/>
      <c r="H126" s="794"/>
      <c r="I126" s="794"/>
      <c r="J126" s="794"/>
      <c r="K126" s="794"/>
      <c r="L126" s="794"/>
      <c r="M126" s="794"/>
      <c r="N126" s="794"/>
      <c r="O126" s="794">
        <f>P126+Q126</f>
        <v>614.80769230769238</v>
      </c>
      <c r="P126" s="782">
        <f t="shared" si="15"/>
        <v>534.61538461538464</v>
      </c>
      <c r="Q126" s="782">
        <f t="shared" si="16"/>
        <v>80.192307692307693</v>
      </c>
      <c r="R126" s="813">
        <f>NC_DKDD!G934</f>
        <v>0.1</v>
      </c>
    </row>
    <row r="127" spans="1:18" ht="25.5" customHeight="1">
      <c r="A127" s="606"/>
      <c r="B127" s="802" t="s">
        <v>533</v>
      </c>
      <c r="C127" s="439"/>
      <c r="D127" s="437"/>
      <c r="E127" s="803"/>
      <c r="F127" s="803"/>
      <c r="G127" s="804"/>
      <c r="H127" s="803"/>
      <c r="I127" s="803"/>
      <c r="J127" s="805"/>
      <c r="K127" s="805"/>
      <c r="L127" s="805"/>
      <c r="M127" s="419"/>
      <c r="N127" s="419"/>
      <c r="O127" s="442"/>
      <c r="P127" s="782"/>
      <c r="Q127" s="782"/>
      <c r="R127" s="814"/>
    </row>
    <row r="128" spans="1:18" ht="25.5" customHeight="1">
      <c r="A128" s="606"/>
      <c r="B128" s="1073" t="s">
        <v>833</v>
      </c>
      <c r="C128" s="1073"/>
      <c r="D128" s="1073"/>
      <c r="E128" s="1073"/>
      <c r="F128" s="1073"/>
      <c r="G128" s="1073"/>
      <c r="H128" s="1073"/>
      <c r="I128" s="1073"/>
      <c r="J128" s="1073"/>
      <c r="K128" s="1073"/>
      <c r="L128" s="1073"/>
      <c r="M128" s="1073"/>
      <c r="N128" s="1073"/>
      <c r="O128" s="1073"/>
      <c r="P128" s="782"/>
      <c r="Q128" s="782"/>
      <c r="R128" s="814"/>
    </row>
    <row r="129" spans="1:19" ht="25.5" customHeight="1">
      <c r="A129" s="606"/>
      <c r="B129" s="445"/>
      <c r="C129" s="445"/>
      <c r="D129" s="445"/>
      <c r="E129" s="445"/>
      <c r="F129" s="445"/>
      <c r="G129" s="445"/>
      <c r="H129" s="445"/>
      <c r="I129" s="445"/>
      <c r="J129" s="445"/>
      <c r="K129" s="445"/>
      <c r="L129" s="445"/>
      <c r="M129" s="445"/>
      <c r="N129" s="445"/>
      <c r="O129" s="445"/>
      <c r="P129" s="782"/>
      <c r="Q129" s="782"/>
      <c r="R129" s="814"/>
    </row>
    <row r="130" spans="1:19" ht="25.5" customHeight="1">
      <c r="A130" s="1070" t="s">
        <v>519</v>
      </c>
      <c r="B130" s="1070"/>
      <c r="C130" s="1070"/>
      <c r="D130" s="1070"/>
      <c r="E130" s="1070"/>
      <c r="F130" s="1070"/>
      <c r="G130" s="1070"/>
      <c r="H130" s="1070"/>
      <c r="I130" s="1070"/>
      <c r="J130" s="1070"/>
      <c r="K130" s="1070"/>
      <c r="L130" s="1070"/>
      <c r="M130" s="1070"/>
      <c r="N130" s="1070"/>
      <c r="O130" s="1070"/>
      <c r="Q130" s="409" t="s">
        <v>523</v>
      </c>
      <c r="R130" s="806"/>
    </row>
    <row r="131" spans="1:19" ht="25.5" customHeight="1">
      <c r="A131" s="807"/>
      <c r="B131" s="807"/>
      <c r="C131" s="807"/>
      <c r="D131" s="807"/>
      <c r="E131" s="807"/>
      <c r="F131" s="807"/>
      <c r="G131" s="807"/>
      <c r="H131" s="807"/>
      <c r="I131" s="807"/>
      <c r="J131" s="807"/>
      <c r="K131" s="807"/>
      <c r="L131" s="781" t="s">
        <v>262</v>
      </c>
      <c r="M131" s="807"/>
      <c r="N131" s="807"/>
      <c r="O131" s="807"/>
      <c r="R131" s="806"/>
    </row>
    <row r="132" spans="1:19" s="817" customFormat="1" ht="25.5" customHeight="1">
      <c r="A132" s="1068" t="s">
        <v>718</v>
      </c>
      <c r="B132" s="1068" t="s">
        <v>198</v>
      </c>
      <c r="C132" s="1071" t="s">
        <v>263</v>
      </c>
      <c r="D132" s="1071" t="s">
        <v>264</v>
      </c>
      <c r="E132" s="1071" t="s">
        <v>683</v>
      </c>
      <c r="F132" s="1071"/>
      <c r="G132" s="1071"/>
      <c r="H132" s="1071"/>
      <c r="I132" s="1071"/>
      <c r="J132" s="1071"/>
      <c r="K132" s="1071"/>
      <c r="L132" s="1071"/>
      <c r="M132" s="1071" t="s">
        <v>435</v>
      </c>
      <c r="N132" s="1071" t="s">
        <v>68</v>
      </c>
      <c r="O132" s="1071" t="s">
        <v>67</v>
      </c>
      <c r="P132" s="815"/>
      <c r="Q132" s="815"/>
      <c r="R132" s="816"/>
      <c r="S132" s="816"/>
    </row>
    <row r="133" spans="1:19" s="817" customFormat="1" ht="25.5" customHeight="1">
      <c r="A133" s="1068"/>
      <c r="B133" s="1068"/>
      <c r="C133" s="1071"/>
      <c r="D133" s="1071"/>
      <c r="E133" s="783" t="s">
        <v>686</v>
      </c>
      <c r="F133" s="783" t="s">
        <v>687</v>
      </c>
      <c r="G133" s="784" t="s">
        <v>285</v>
      </c>
      <c r="H133" s="783" t="s">
        <v>499</v>
      </c>
      <c r="I133" s="783" t="s">
        <v>688</v>
      </c>
      <c r="J133" s="783" t="s">
        <v>531</v>
      </c>
      <c r="K133" s="783" t="s">
        <v>689</v>
      </c>
      <c r="L133" s="783" t="s">
        <v>690</v>
      </c>
      <c r="M133" s="1071"/>
      <c r="N133" s="1071"/>
      <c r="O133" s="1071"/>
      <c r="P133" s="815"/>
      <c r="Q133" s="815"/>
      <c r="R133" s="816"/>
      <c r="S133" s="816"/>
    </row>
    <row r="134" spans="1:19" s="817" customFormat="1" ht="45.75" customHeight="1">
      <c r="A134" s="785"/>
      <c r="B134" s="786" t="s">
        <v>520</v>
      </c>
      <c r="C134" s="783"/>
      <c r="D134" s="783"/>
      <c r="E134" s="783"/>
      <c r="F134" s="783"/>
      <c r="G134" s="784"/>
      <c r="H134" s="783"/>
      <c r="I134" s="783"/>
      <c r="J134" s="783"/>
      <c r="K134" s="783"/>
      <c r="L134" s="783"/>
      <c r="M134" s="783"/>
      <c r="N134" s="783"/>
      <c r="O134" s="783"/>
      <c r="P134" s="815"/>
      <c r="Q134" s="815"/>
      <c r="R134" s="816"/>
      <c r="S134" s="816"/>
    </row>
    <row r="135" spans="1:19" s="817" customFormat="1" ht="25.5" customHeight="1">
      <c r="A135" s="785"/>
      <c r="B135" s="787" t="s">
        <v>668</v>
      </c>
      <c r="C135" s="783" t="s">
        <v>532</v>
      </c>
      <c r="D135" s="785" t="s">
        <v>723</v>
      </c>
      <c r="E135" s="788" t="e">
        <f>E139+E166+E168</f>
        <v>#VALUE!</v>
      </c>
      <c r="F135" s="788">
        <f t="shared" ref="F135:O135" si="17">F139+F166+F168</f>
        <v>0</v>
      </c>
      <c r="G135" s="788">
        <f t="shared" si="17"/>
        <v>0</v>
      </c>
      <c r="H135" s="788">
        <f t="shared" si="17"/>
        <v>11608.608307692308</v>
      </c>
      <c r="I135" s="788">
        <f t="shared" si="17"/>
        <v>26923.86</v>
      </c>
      <c r="J135" s="788">
        <f t="shared" si="17"/>
        <v>6568.0400000000009</v>
      </c>
      <c r="K135" s="788">
        <f t="shared" si="17"/>
        <v>12958.806</v>
      </c>
      <c r="L135" s="788" t="e">
        <f t="shared" si="17"/>
        <v>#VALUE!</v>
      </c>
      <c r="M135" s="788" t="e">
        <f t="shared" si="17"/>
        <v>#VALUE!</v>
      </c>
      <c r="N135" s="788" t="e">
        <f t="shared" si="17"/>
        <v>#VALUE!</v>
      </c>
      <c r="O135" s="788">
        <f t="shared" si="17"/>
        <v>25828.071153846151</v>
      </c>
      <c r="P135" s="815"/>
      <c r="Q135" s="815"/>
      <c r="R135" s="816"/>
      <c r="S135" s="816"/>
    </row>
    <row r="136" spans="1:19" s="817" customFormat="1" ht="25.5" customHeight="1">
      <c r="A136" s="785"/>
      <c r="B136" s="787" t="s">
        <v>669</v>
      </c>
      <c r="C136" s="783" t="s">
        <v>532</v>
      </c>
      <c r="D136" s="785" t="s">
        <v>723</v>
      </c>
      <c r="E136" s="788" t="e">
        <f>E140+E166+E168</f>
        <v>#VALUE!</v>
      </c>
      <c r="F136" s="788">
        <f t="shared" ref="F136:O136" si="18">F140+F166+F168</f>
        <v>0</v>
      </c>
      <c r="G136" s="788">
        <f t="shared" si="18"/>
        <v>0</v>
      </c>
      <c r="H136" s="788">
        <f t="shared" si="18"/>
        <v>11608.608307692308</v>
      </c>
      <c r="I136" s="788">
        <f t="shared" si="18"/>
        <v>26923.86</v>
      </c>
      <c r="J136" s="788">
        <f t="shared" si="18"/>
        <v>6568.0400000000009</v>
      </c>
      <c r="K136" s="788">
        <f t="shared" si="18"/>
        <v>12958.806</v>
      </c>
      <c r="L136" s="788" t="e">
        <f t="shared" si="18"/>
        <v>#VALUE!</v>
      </c>
      <c r="M136" s="788" t="e">
        <f t="shared" si="18"/>
        <v>#VALUE!</v>
      </c>
      <c r="N136" s="788" t="e">
        <f t="shared" si="18"/>
        <v>#VALUE!</v>
      </c>
      <c r="O136" s="788">
        <f t="shared" si="18"/>
        <v>25520.667307692303</v>
      </c>
      <c r="P136" s="815"/>
      <c r="Q136" s="815"/>
      <c r="R136" s="816"/>
      <c r="S136" s="816"/>
    </row>
    <row r="137" spans="1:19" s="817" customFormat="1" ht="25.5" customHeight="1">
      <c r="A137" s="785"/>
      <c r="B137" s="789"/>
      <c r="C137" s="783"/>
      <c r="D137" s="783"/>
      <c r="E137" s="783"/>
      <c r="F137" s="783"/>
      <c r="G137" s="784"/>
      <c r="H137" s="783"/>
      <c r="I137" s="783"/>
      <c r="J137" s="783"/>
      <c r="K137" s="783"/>
      <c r="L137" s="783"/>
      <c r="M137" s="783"/>
      <c r="N137" s="783"/>
      <c r="O137" s="783"/>
      <c r="P137" s="818">
        <f>'He so chung'!D$22</f>
        <v>5346.1538461538457</v>
      </c>
      <c r="Q137" s="818">
        <f>'He so chung'!D$23</f>
        <v>801.92307692307691</v>
      </c>
      <c r="R137" s="819"/>
      <c r="S137" s="816"/>
    </row>
    <row r="138" spans="1:19" s="817" customFormat="1" ht="25.5" customHeight="1">
      <c r="A138" s="785" t="s">
        <v>1000</v>
      </c>
      <c r="B138" s="789" t="s">
        <v>582</v>
      </c>
      <c r="C138" s="783"/>
      <c r="D138" s="783"/>
      <c r="E138" s="783"/>
      <c r="F138" s="783"/>
      <c r="G138" s="784"/>
      <c r="H138" s="783"/>
      <c r="I138" s="783"/>
      <c r="J138" s="783"/>
      <c r="K138" s="783"/>
      <c r="L138" s="783"/>
      <c r="M138" s="783"/>
      <c r="N138" s="783"/>
      <c r="O138" s="783"/>
      <c r="P138" s="818"/>
      <c r="Q138" s="818"/>
      <c r="R138" s="819"/>
      <c r="S138" s="816"/>
    </row>
    <row r="139" spans="1:19" s="817" customFormat="1" ht="34.15" customHeight="1">
      <c r="A139" s="791" t="s">
        <v>1008</v>
      </c>
      <c r="B139" s="787" t="s">
        <v>668</v>
      </c>
      <c r="C139" s="783" t="s">
        <v>532</v>
      </c>
      <c r="D139" s="792" t="s">
        <v>723</v>
      </c>
      <c r="E139" s="808" t="e">
        <f>E142+E144+E145+E146+E147+E149+E151+E152+E154+E156+E157+E158+E159+E162+E163+E164+E165</f>
        <v>#VALUE!</v>
      </c>
      <c r="F139" s="809"/>
      <c r="G139" s="795"/>
      <c r="H139" s="809">
        <f>'Dcu-DKDD'!$J$338</f>
        <v>10841.787653846153</v>
      </c>
      <c r="I139" s="809">
        <f>'VL-DKDD'!$H$342</f>
        <v>25312.5</v>
      </c>
      <c r="J139" s="809">
        <f>'TB-DKDD'!$K$194</f>
        <v>6503.02</v>
      </c>
      <c r="K139" s="809">
        <f>'NL-DKDD'!$H$133</f>
        <v>12820.5</v>
      </c>
      <c r="L139" s="810" t="e">
        <f>SUM(E139:K139)</f>
        <v>#VALUE!</v>
      </c>
      <c r="M139" s="810" t="e">
        <f>L139*'He so chung'!$D$17/100</f>
        <v>#VALUE!</v>
      </c>
      <c r="N139" s="810" t="e">
        <f>L139+M139</f>
        <v>#VALUE!</v>
      </c>
      <c r="O139" s="808">
        <f>O142+O144+O145+O146+O147+O149+O151+O152+O154+O156+O157+O158+O159+O162+O163+O164+O165</f>
        <v>22754.03269230769</v>
      </c>
      <c r="P139" s="815"/>
      <c r="Q139" s="815"/>
      <c r="R139" s="816"/>
      <c r="S139" s="816"/>
    </row>
    <row r="140" spans="1:19" s="817" customFormat="1" ht="34.15" customHeight="1">
      <c r="A140" s="791" t="s">
        <v>1009</v>
      </c>
      <c r="B140" s="787" t="s">
        <v>669</v>
      </c>
      <c r="C140" s="783" t="s">
        <v>532</v>
      </c>
      <c r="D140" s="792" t="s">
        <v>723</v>
      </c>
      <c r="E140" s="808" t="e">
        <f>E143+E144+E145+E146+E147+E149+E151+E152+E154+E156+E157+E158+E159+E162+E163+E164+E165</f>
        <v>#VALUE!</v>
      </c>
      <c r="F140" s="809"/>
      <c r="G140" s="795"/>
      <c r="H140" s="809">
        <f>'Dcu-DKDD'!$J$338</f>
        <v>10841.787653846153</v>
      </c>
      <c r="I140" s="809">
        <f>'VL-DKDD'!$H$342</f>
        <v>25312.5</v>
      </c>
      <c r="J140" s="809">
        <f>'TB-DKDD'!$K$194</f>
        <v>6503.02</v>
      </c>
      <c r="K140" s="809">
        <f>'NL-DKDD'!$H$133</f>
        <v>12820.5</v>
      </c>
      <c r="L140" s="810" t="e">
        <f>SUM(E140:K140)</f>
        <v>#VALUE!</v>
      </c>
      <c r="M140" s="810" t="e">
        <f>L140*'He so chung'!$D$17/100</f>
        <v>#VALUE!</v>
      </c>
      <c r="N140" s="810" t="e">
        <f>L140+M140</f>
        <v>#VALUE!</v>
      </c>
      <c r="O140" s="808">
        <f>O143+O144+O145+O146+O147+O149+O151+O152+O154+O156+O157+O158+O159+O162+O163+O164+O165</f>
        <v>22446.628846153842</v>
      </c>
      <c r="P140" s="815"/>
      <c r="Q140" s="815"/>
      <c r="R140" s="816"/>
      <c r="S140" s="816"/>
    </row>
    <row r="141" spans="1:19" s="817" customFormat="1" ht="34.15" customHeight="1">
      <c r="A141" s="798">
        <v>1</v>
      </c>
      <c r="B141" s="799" t="s">
        <v>816</v>
      </c>
      <c r="C141" s="809"/>
      <c r="D141" s="811"/>
      <c r="E141" s="809"/>
      <c r="F141" s="809"/>
      <c r="G141" s="795"/>
      <c r="H141" s="809"/>
      <c r="I141" s="809"/>
      <c r="J141" s="809"/>
      <c r="K141" s="809"/>
      <c r="L141" s="809"/>
      <c r="M141" s="809"/>
      <c r="N141" s="809"/>
      <c r="O141" s="809">
        <f t="shared" ref="O141:O165" si="19">P141+Q141</f>
        <v>0</v>
      </c>
      <c r="P141" s="815"/>
      <c r="Q141" s="815"/>
      <c r="R141" s="816"/>
      <c r="S141" s="816"/>
    </row>
    <row r="142" spans="1:19" s="817" customFormat="1" ht="34.15" customHeight="1">
      <c r="A142" s="798" t="s">
        <v>733</v>
      </c>
      <c r="B142" s="799" t="s">
        <v>846</v>
      </c>
      <c r="C142" s="798" t="s">
        <v>532</v>
      </c>
      <c r="D142" s="792" t="s">
        <v>723</v>
      </c>
      <c r="E142" s="809" t="e">
        <f>NC_DKDD!H907</f>
        <v>#VALUE!</v>
      </c>
      <c r="F142" s="809"/>
      <c r="G142" s="795"/>
      <c r="H142" s="809"/>
      <c r="I142" s="809"/>
      <c r="J142" s="809"/>
      <c r="K142" s="809"/>
      <c r="L142" s="809"/>
      <c r="M142" s="809"/>
      <c r="N142" s="809"/>
      <c r="O142" s="809">
        <f t="shared" si="19"/>
        <v>1229.6153846153848</v>
      </c>
      <c r="P142" s="815">
        <f t="shared" ref="P142:P169" si="20">R142*P$9</f>
        <v>1069.2307692307693</v>
      </c>
      <c r="Q142" s="815">
        <f t="shared" ref="Q142:Q169" si="21">R142*Q$9</f>
        <v>160.38461538461539</v>
      </c>
      <c r="R142" s="813">
        <f>NC_DKDD!G907</f>
        <v>0.2</v>
      </c>
      <c r="S142" s="816"/>
    </row>
    <row r="143" spans="1:19" s="817" customFormat="1" ht="34.15" customHeight="1">
      <c r="A143" s="798" t="s">
        <v>741</v>
      </c>
      <c r="B143" s="799" t="s">
        <v>849</v>
      </c>
      <c r="C143" s="798" t="s">
        <v>532</v>
      </c>
      <c r="D143" s="792" t="s">
        <v>723</v>
      </c>
      <c r="E143" s="809" t="e">
        <f>NC_DKDD!H908</f>
        <v>#VALUE!</v>
      </c>
      <c r="F143" s="809"/>
      <c r="G143" s="795"/>
      <c r="H143" s="809"/>
      <c r="I143" s="809"/>
      <c r="J143" s="809"/>
      <c r="K143" s="809"/>
      <c r="L143" s="809"/>
      <c r="M143" s="809"/>
      <c r="N143" s="809"/>
      <c r="O143" s="809">
        <f t="shared" si="19"/>
        <v>922.21153846153834</v>
      </c>
      <c r="P143" s="815">
        <f t="shared" si="20"/>
        <v>801.92307692307679</v>
      </c>
      <c r="Q143" s="815">
        <f t="shared" si="21"/>
        <v>120.28846153846153</v>
      </c>
      <c r="R143" s="813">
        <f>NC_DKDD!G908</f>
        <v>0.15</v>
      </c>
      <c r="S143" s="816"/>
    </row>
    <row r="144" spans="1:19" s="817" customFormat="1" ht="34.15" customHeight="1">
      <c r="A144" s="798">
        <v>2</v>
      </c>
      <c r="B144" s="799" t="s">
        <v>797</v>
      </c>
      <c r="C144" s="798" t="s">
        <v>532</v>
      </c>
      <c r="D144" s="792" t="s">
        <v>723</v>
      </c>
      <c r="E144" s="809" t="e">
        <f>NC_DKDD!H909</f>
        <v>#VALUE!</v>
      </c>
      <c r="F144" s="809"/>
      <c r="G144" s="795"/>
      <c r="H144" s="809"/>
      <c r="I144" s="809"/>
      <c r="J144" s="809"/>
      <c r="K144" s="809"/>
      <c r="L144" s="809"/>
      <c r="M144" s="809"/>
      <c r="N144" s="809"/>
      <c r="O144" s="809">
        <f t="shared" si="19"/>
        <v>1537.0192307692307</v>
      </c>
      <c r="P144" s="815">
        <f t="shared" si="20"/>
        <v>1336.5384615384614</v>
      </c>
      <c r="Q144" s="815">
        <f t="shared" si="21"/>
        <v>200.48076923076923</v>
      </c>
      <c r="R144" s="813">
        <f>NC_DKDD!G909</f>
        <v>0.25</v>
      </c>
      <c r="S144" s="816"/>
    </row>
    <row r="145" spans="1:19" s="817" customFormat="1" ht="34.15" customHeight="1">
      <c r="A145" s="798">
        <v>3</v>
      </c>
      <c r="B145" s="799" t="s">
        <v>851</v>
      </c>
      <c r="C145" s="798" t="s">
        <v>375</v>
      </c>
      <c r="D145" s="792" t="s">
        <v>723</v>
      </c>
      <c r="E145" s="809" t="e">
        <f>NC_DKDD!H910</f>
        <v>#VALUE!</v>
      </c>
      <c r="F145" s="809"/>
      <c r="G145" s="795"/>
      <c r="H145" s="809"/>
      <c r="I145" s="809"/>
      <c r="J145" s="809"/>
      <c r="K145" s="809"/>
      <c r="L145" s="809"/>
      <c r="M145" s="809"/>
      <c r="N145" s="809"/>
      <c r="O145" s="809">
        <f t="shared" si="19"/>
        <v>202.88653846153844</v>
      </c>
      <c r="P145" s="815">
        <f t="shared" si="20"/>
        <v>176.42307692307691</v>
      </c>
      <c r="Q145" s="815">
        <f t="shared" si="21"/>
        <v>26.463461538461541</v>
      </c>
      <c r="R145" s="813">
        <f>NC_DKDD!G910</f>
        <v>3.3000000000000002E-2</v>
      </c>
      <c r="S145" s="816"/>
    </row>
    <row r="146" spans="1:19" s="817" customFormat="1" ht="71.25">
      <c r="A146" s="798">
        <v>4</v>
      </c>
      <c r="B146" s="799" t="s">
        <v>700</v>
      </c>
      <c r="C146" s="798" t="s">
        <v>532</v>
      </c>
      <c r="D146" s="792" t="s">
        <v>723</v>
      </c>
      <c r="E146" s="809" t="e">
        <f>NC_DKDD!H911</f>
        <v>#VALUE!</v>
      </c>
      <c r="F146" s="809"/>
      <c r="G146" s="795"/>
      <c r="H146" s="809"/>
      <c r="I146" s="809"/>
      <c r="J146" s="809"/>
      <c r="K146" s="809"/>
      <c r="L146" s="809"/>
      <c r="M146" s="809"/>
      <c r="N146" s="809"/>
      <c r="O146" s="809">
        <f t="shared" si="19"/>
        <v>11066.538461538461</v>
      </c>
      <c r="P146" s="815">
        <f t="shared" si="20"/>
        <v>9623.076923076922</v>
      </c>
      <c r="Q146" s="815">
        <f t="shared" si="21"/>
        <v>1443.4615384615386</v>
      </c>
      <c r="R146" s="813">
        <f>NC_DKDD!G911</f>
        <v>1.8</v>
      </c>
      <c r="S146" s="816"/>
    </row>
    <row r="147" spans="1:19" s="817" customFormat="1" ht="34.15" customHeight="1">
      <c r="A147" s="798">
        <v>5</v>
      </c>
      <c r="B147" s="799" t="s">
        <v>2</v>
      </c>
      <c r="C147" s="798" t="s">
        <v>375</v>
      </c>
      <c r="D147" s="792" t="s">
        <v>723</v>
      </c>
      <c r="E147" s="809" t="e">
        <f>NC_DKDD!H912</f>
        <v>#VALUE!</v>
      </c>
      <c r="F147" s="809"/>
      <c r="G147" s="795"/>
      <c r="H147" s="809"/>
      <c r="I147" s="809"/>
      <c r="J147" s="809"/>
      <c r="K147" s="809"/>
      <c r="L147" s="809"/>
      <c r="M147" s="809"/>
      <c r="N147" s="809"/>
      <c r="O147" s="809">
        <f t="shared" si="19"/>
        <v>36.888461538461534</v>
      </c>
      <c r="P147" s="815">
        <f t="shared" si="20"/>
        <v>32.076923076923073</v>
      </c>
      <c r="Q147" s="815">
        <f t="shared" si="21"/>
        <v>4.8115384615384613</v>
      </c>
      <c r="R147" s="813">
        <f>NC_DKDD!G912</f>
        <v>6.0000000000000001E-3</v>
      </c>
      <c r="S147" s="816"/>
    </row>
    <row r="148" spans="1:19" s="817" customFormat="1" ht="42.75">
      <c r="A148" s="798">
        <v>6</v>
      </c>
      <c r="B148" s="799" t="s">
        <v>702</v>
      </c>
      <c r="C148" s="798"/>
      <c r="D148" s="798"/>
      <c r="E148" s="809">
        <f>NC_DKDD!H913</f>
        <v>0</v>
      </c>
      <c r="F148" s="809"/>
      <c r="G148" s="795"/>
      <c r="H148" s="809"/>
      <c r="I148" s="809"/>
      <c r="J148" s="809"/>
      <c r="K148" s="809"/>
      <c r="L148" s="809"/>
      <c r="M148" s="809"/>
      <c r="N148" s="809"/>
      <c r="O148" s="809">
        <f t="shared" si="19"/>
        <v>0</v>
      </c>
      <c r="P148" s="815">
        <f t="shared" si="20"/>
        <v>0</v>
      </c>
      <c r="Q148" s="815">
        <f t="shared" si="21"/>
        <v>0</v>
      </c>
      <c r="R148" s="813">
        <f>NC_DKDD!G913</f>
        <v>0</v>
      </c>
      <c r="S148" s="816"/>
    </row>
    <row r="149" spans="1:19" s="817" customFormat="1" ht="34.15" customHeight="1">
      <c r="A149" s="798" t="s">
        <v>661</v>
      </c>
      <c r="B149" s="799" t="s">
        <v>587</v>
      </c>
      <c r="C149" s="798" t="s">
        <v>532</v>
      </c>
      <c r="D149" s="792" t="s">
        <v>723</v>
      </c>
      <c r="E149" s="809" t="e">
        <f>NC_DKDD!H914</f>
        <v>#VALUE!</v>
      </c>
      <c r="F149" s="809"/>
      <c r="G149" s="795"/>
      <c r="H149" s="809"/>
      <c r="I149" s="809"/>
      <c r="J149" s="809"/>
      <c r="K149" s="809"/>
      <c r="L149" s="809"/>
      <c r="M149" s="809"/>
      <c r="N149" s="809"/>
      <c r="O149" s="809">
        <f t="shared" si="19"/>
        <v>0</v>
      </c>
      <c r="P149" s="815">
        <f t="shared" si="20"/>
        <v>0</v>
      </c>
      <c r="Q149" s="815">
        <f t="shared" si="21"/>
        <v>0</v>
      </c>
      <c r="R149" s="813">
        <f>NC_DKDD!G914</f>
        <v>0</v>
      </c>
      <c r="S149" s="816"/>
    </row>
    <row r="150" spans="1:19" s="817" customFormat="1" ht="34.15" customHeight="1">
      <c r="A150" s="798" t="s">
        <v>662</v>
      </c>
      <c r="B150" s="799" t="s">
        <v>588</v>
      </c>
      <c r="C150" s="798" t="s">
        <v>532</v>
      </c>
      <c r="D150" s="792" t="s">
        <v>723</v>
      </c>
      <c r="E150" s="809" t="e">
        <f>NC_DKDD!H915</f>
        <v>#VALUE!</v>
      </c>
      <c r="F150" s="809"/>
      <c r="G150" s="795"/>
      <c r="H150" s="809"/>
      <c r="I150" s="809"/>
      <c r="J150" s="809"/>
      <c r="K150" s="809"/>
      <c r="L150" s="809"/>
      <c r="M150" s="809"/>
      <c r="N150" s="809"/>
      <c r="O150" s="809">
        <f t="shared" si="19"/>
        <v>0</v>
      </c>
      <c r="P150" s="815">
        <f t="shared" si="20"/>
        <v>0</v>
      </c>
      <c r="Q150" s="815">
        <f t="shared" si="21"/>
        <v>0</v>
      </c>
      <c r="R150" s="813">
        <f>NC_DKDD!G915</f>
        <v>0</v>
      </c>
      <c r="S150" s="816"/>
    </row>
    <row r="151" spans="1:19" s="817" customFormat="1" ht="34.15" customHeight="1">
      <c r="A151" s="798">
        <v>7</v>
      </c>
      <c r="B151" s="799" t="s">
        <v>408</v>
      </c>
      <c r="C151" s="798" t="s">
        <v>532</v>
      </c>
      <c r="D151" s="792" t="s">
        <v>723</v>
      </c>
      <c r="E151" s="809" t="e">
        <f>NC_DKDD!H916</f>
        <v>#VALUE!</v>
      </c>
      <c r="F151" s="809"/>
      <c r="G151" s="795"/>
      <c r="H151" s="809"/>
      <c r="I151" s="809"/>
      <c r="J151" s="809"/>
      <c r="K151" s="809"/>
      <c r="L151" s="809"/>
      <c r="M151" s="809"/>
      <c r="N151" s="809"/>
      <c r="O151" s="809">
        <f t="shared" si="19"/>
        <v>1229.6153846153848</v>
      </c>
      <c r="P151" s="815">
        <f t="shared" si="20"/>
        <v>1069.2307692307693</v>
      </c>
      <c r="Q151" s="815">
        <f t="shared" si="21"/>
        <v>160.38461538461539</v>
      </c>
      <c r="R151" s="813">
        <f>NC_DKDD!G916</f>
        <v>0.2</v>
      </c>
      <c r="S151" s="816"/>
    </row>
    <row r="152" spans="1:19" s="817" customFormat="1" ht="34.15" customHeight="1">
      <c r="A152" s="798">
        <v>8</v>
      </c>
      <c r="B152" s="799" t="s">
        <v>78</v>
      </c>
      <c r="C152" s="798" t="s">
        <v>375</v>
      </c>
      <c r="D152" s="792" t="s">
        <v>723</v>
      </c>
      <c r="E152" s="809" t="e">
        <f>NC_DKDD!H917</f>
        <v>#VALUE!</v>
      </c>
      <c r="F152" s="809"/>
      <c r="G152" s="795"/>
      <c r="H152" s="809"/>
      <c r="I152" s="809"/>
      <c r="J152" s="809"/>
      <c r="K152" s="809"/>
      <c r="L152" s="809"/>
      <c r="M152" s="809"/>
      <c r="N152" s="809"/>
      <c r="O152" s="809">
        <f t="shared" si="19"/>
        <v>1051.3211538461539</v>
      </c>
      <c r="P152" s="815">
        <f t="shared" si="20"/>
        <v>914.19230769230774</v>
      </c>
      <c r="Q152" s="815">
        <f t="shared" si="21"/>
        <v>137.12884615384615</v>
      </c>
      <c r="R152" s="813">
        <f>NC_DKDD!G917</f>
        <v>0.17100000000000001</v>
      </c>
      <c r="S152" s="816"/>
    </row>
    <row r="153" spans="1:19" s="817" customFormat="1" ht="34.15" customHeight="1">
      <c r="A153" s="798">
        <v>9</v>
      </c>
      <c r="B153" s="799" t="s">
        <v>80</v>
      </c>
      <c r="C153" s="798"/>
      <c r="D153" s="798"/>
      <c r="E153" s="809">
        <f>NC_DKDD!H918</f>
        <v>0</v>
      </c>
      <c r="F153" s="809"/>
      <c r="G153" s="795"/>
      <c r="H153" s="809"/>
      <c r="I153" s="809"/>
      <c r="J153" s="809"/>
      <c r="K153" s="809"/>
      <c r="L153" s="809"/>
      <c r="M153" s="809"/>
      <c r="N153" s="809"/>
      <c r="O153" s="809">
        <f t="shared" si="19"/>
        <v>0</v>
      </c>
      <c r="P153" s="815">
        <f t="shared" si="20"/>
        <v>0</v>
      </c>
      <c r="Q153" s="815">
        <f t="shared" si="21"/>
        <v>0</v>
      </c>
      <c r="R153" s="813">
        <f>NC_DKDD!G918</f>
        <v>0</v>
      </c>
      <c r="S153" s="816"/>
    </row>
    <row r="154" spans="1:19" s="817" customFormat="1" ht="34.15" customHeight="1">
      <c r="A154" s="798" t="s">
        <v>663</v>
      </c>
      <c r="B154" s="799" t="s">
        <v>82</v>
      </c>
      <c r="C154" s="798" t="s">
        <v>559</v>
      </c>
      <c r="D154" s="792" t="s">
        <v>723</v>
      </c>
      <c r="E154" s="809" t="e">
        <f>NC_DKDD!H919</f>
        <v>#VALUE!</v>
      </c>
      <c r="F154" s="809"/>
      <c r="G154" s="795"/>
      <c r="H154" s="809"/>
      <c r="I154" s="809"/>
      <c r="J154" s="809"/>
      <c r="K154" s="809"/>
      <c r="L154" s="809"/>
      <c r="M154" s="809"/>
      <c r="N154" s="809"/>
      <c r="O154" s="809">
        <f t="shared" si="19"/>
        <v>614.80769230769238</v>
      </c>
      <c r="P154" s="815">
        <f t="shared" si="20"/>
        <v>534.61538461538464</v>
      </c>
      <c r="Q154" s="815">
        <f t="shared" si="21"/>
        <v>80.192307692307693</v>
      </c>
      <c r="R154" s="813">
        <f>NC_DKDD!G919</f>
        <v>0.1</v>
      </c>
      <c r="S154" s="816"/>
    </row>
    <row r="155" spans="1:19" s="817" customFormat="1" ht="34.15" customHeight="1">
      <c r="A155" s="798" t="s">
        <v>664</v>
      </c>
      <c r="B155" s="799" t="s">
        <v>84</v>
      </c>
      <c r="C155" s="798" t="s">
        <v>559</v>
      </c>
      <c r="D155" s="792" t="s">
        <v>723</v>
      </c>
      <c r="E155" s="809" t="e">
        <f>NC_DKDD!H920</f>
        <v>#VALUE!</v>
      </c>
      <c r="F155" s="809"/>
      <c r="G155" s="795"/>
      <c r="H155" s="809"/>
      <c r="I155" s="809"/>
      <c r="J155" s="809"/>
      <c r="K155" s="809"/>
      <c r="L155" s="809"/>
      <c r="M155" s="809"/>
      <c r="N155" s="809"/>
      <c r="O155" s="809">
        <f t="shared" si="19"/>
        <v>1229.6153846153848</v>
      </c>
      <c r="P155" s="815">
        <f t="shared" si="20"/>
        <v>1069.2307692307693</v>
      </c>
      <c r="Q155" s="815">
        <f t="shared" si="21"/>
        <v>160.38461538461539</v>
      </c>
      <c r="R155" s="813">
        <f>NC_DKDD!G920</f>
        <v>0.2</v>
      </c>
      <c r="S155" s="816"/>
    </row>
    <row r="156" spans="1:19" s="817" customFormat="1" ht="34.15" customHeight="1">
      <c r="A156" s="798" t="s">
        <v>409</v>
      </c>
      <c r="B156" s="799" t="s">
        <v>410</v>
      </c>
      <c r="C156" s="798" t="s">
        <v>559</v>
      </c>
      <c r="D156" s="792" t="s">
        <v>723</v>
      </c>
      <c r="E156" s="809" t="e">
        <f>NC_DKDD!H921</f>
        <v>#VALUE!</v>
      </c>
      <c r="F156" s="809"/>
      <c r="G156" s="795"/>
      <c r="H156" s="809"/>
      <c r="I156" s="809"/>
      <c r="J156" s="809"/>
      <c r="K156" s="809"/>
      <c r="L156" s="809"/>
      <c r="M156" s="809"/>
      <c r="N156" s="809"/>
      <c r="O156" s="809">
        <f t="shared" si="19"/>
        <v>614.80769230769238</v>
      </c>
      <c r="P156" s="815">
        <f t="shared" si="20"/>
        <v>534.61538461538464</v>
      </c>
      <c r="Q156" s="815">
        <f t="shared" si="21"/>
        <v>80.192307692307693</v>
      </c>
      <c r="R156" s="813">
        <f>NC_DKDD!G921</f>
        <v>0.1</v>
      </c>
      <c r="S156" s="816"/>
    </row>
    <row r="157" spans="1:19" s="817" customFormat="1" ht="34.15" customHeight="1">
      <c r="A157" s="798">
        <v>10</v>
      </c>
      <c r="B157" s="799" t="s">
        <v>411</v>
      </c>
      <c r="C157" s="798" t="s">
        <v>532</v>
      </c>
      <c r="D157" s="792" t="s">
        <v>723</v>
      </c>
      <c r="E157" s="809" t="e">
        <f>NC_DKDD!H922</f>
        <v>#VALUE!</v>
      </c>
      <c r="F157" s="809"/>
      <c r="G157" s="795"/>
      <c r="H157" s="809"/>
      <c r="I157" s="809"/>
      <c r="J157" s="809"/>
      <c r="K157" s="809"/>
      <c r="L157" s="809"/>
      <c r="M157" s="809"/>
      <c r="N157" s="809"/>
      <c r="O157" s="809">
        <f t="shared" si="19"/>
        <v>2459.2307692307695</v>
      </c>
      <c r="P157" s="815">
        <f t="shared" si="20"/>
        <v>2138.4615384615386</v>
      </c>
      <c r="Q157" s="815">
        <f t="shared" si="21"/>
        <v>320.76923076923077</v>
      </c>
      <c r="R157" s="813">
        <f>NC_DKDD!G922</f>
        <v>0.4</v>
      </c>
      <c r="S157" s="816"/>
    </row>
    <row r="158" spans="1:19" s="817" customFormat="1" ht="57">
      <c r="A158" s="798">
        <v>11</v>
      </c>
      <c r="B158" s="799" t="s">
        <v>813</v>
      </c>
      <c r="C158" s="798" t="s">
        <v>532</v>
      </c>
      <c r="D158" s="792" t="s">
        <v>723</v>
      </c>
      <c r="E158" s="809" t="e">
        <f>NC_DKDD!H923</f>
        <v>#VALUE!</v>
      </c>
      <c r="F158" s="809"/>
      <c r="G158" s="795"/>
      <c r="H158" s="809"/>
      <c r="I158" s="809"/>
      <c r="J158" s="809"/>
      <c r="K158" s="809"/>
      <c r="L158" s="809"/>
      <c r="M158" s="809"/>
      <c r="N158" s="809"/>
      <c r="O158" s="809">
        <f t="shared" si="19"/>
        <v>2274.7884615384614</v>
      </c>
      <c r="P158" s="815">
        <f t="shared" si="20"/>
        <v>1978.0769230769229</v>
      </c>
      <c r="Q158" s="815">
        <f t="shared" si="21"/>
        <v>296.71153846153845</v>
      </c>
      <c r="R158" s="813">
        <f>NC_DKDD!G923</f>
        <v>0.37</v>
      </c>
      <c r="S158" s="816"/>
    </row>
    <row r="159" spans="1:19" s="817" customFormat="1" ht="28.5" customHeight="1">
      <c r="A159" s="798">
        <v>12</v>
      </c>
      <c r="B159" s="799" t="s">
        <v>87</v>
      </c>
      <c r="C159" s="798" t="s">
        <v>375</v>
      </c>
      <c r="D159" s="792" t="s">
        <v>723</v>
      </c>
      <c r="E159" s="809" t="e">
        <f>NC_DKDD!H924</f>
        <v>#VALUE!</v>
      </c>
      <c r="F159" s="809"/>
      <c r="G159" s="795"/>
      <c r="H159" s="809"/>
      <c r="I159" s="809"/>
      <c r="J159" s="809"/>
      <c r="K159" s="809"/>
      <c r="L159" s="809"/>
      <c r="M159" s="809"/>
      <c r="N159" s="809"/>
      <c r="O159" s="809">
        <f t="shared" si="19"/>
        <v>202.88653846153844</v>
      </c>
      <c r="P159" s="815">
        <f t="shared" si="20"/>
        <v>176.42307692307691</v>
      </c>
      <c r="Q159" s="815">
        <f t="shared" si="21"/>
        <v>26.463461538461541</v>
      </c>
      <c r="R159" s="813">
        <f>NC_DKDD!G924</f>
        <v>3.3000000000000002E-2</v>
      </c>
      <c r="S159" s="816"/>
    </row>
    <row r="160" spans="1:19" s="817" customFormat="1" ht="28.5" customHeight="1">
      <c r="A160" s="798">
        <v>13</v>
      </c>
      <c r="B160" s="799" t="s">
        <v>88</v>
      </c>
      <c r="C160" s="798"/>
      <c r="D160" s="798"/>
      <c r="E160" s="809">
        <f>NC_DKDD!H925</f>
        <v>0</v>
      </c>
      <c r="F160" s="809"/>
      <c r="G160" s="795"/>
      <c r="H160" s="809"/>
      <c r="I160" s="809"/>
      <c r="J160" s="809"/>
      <c r="K160" s="809"/>
      <c r="L160" s="809"/>
      <c r="M160" s="809"/>
      <c r="N160" s="809"/>
      <c r="O160" s="809">
        <f t="shared" si="19"/>
        <v>0</v>
      </c>
      <c r="P160" s="815">
        <f t="shared" si="20"/>
        <v>0</v>
      </c>
      <c r="Q160" s="815">
        <f t="shared" si="21"/>
        <v>0</v>
      </c>
      <c r="R160" s="813">
        <f>NC_DKDD!G925</f>
        <v>0</v>
      </c>
      <c r="S160" s="816"/>
    </row>
    <row r="161" spans="1:19" s="817" customFormat="1" ht="34.15" customHeight="1">
      <c r="A161" s="798" t="s">
        <v>110</v>
      </c>
      <c r="B161" s="799" t="s">
        <v>775</v>
      </c>
      <c r="C161" s="798"/>
      <c r="D161" s="798"/>
      <c r="E161" s="809">
        <f>NC_DKDD!H926</f>
        <v>0</v>
      </c>
      <c r="F161" s="809"/>
      <c r="G161" s="795"/>
      <c r="H161" s="809"/>
      <c r="I161" s="809"/>
      <c r="J161" s="809"/>
      <c r="K161" s="809"/>
      <c r="L161" s="809"/>
      <c r="M161" s="809"/>
      <c r="N161" s="809"/>
      <c r="O161" s="809">
        <f t="shared" si="19"/>
        <v>0</v>
      </c>
      <c r="P161" s="815">
        <f t="shared" si="20"/>
        <v>0</v>
      </c>
      <c r="Q161" s="815">
        <f t="shared" si="21"/>
        <v>0</v>
      </c>
      <c r="R161" s="813">
        <f>NC_DKDD!G926</f>
        <v>0</v>
      </c>
      <c r="S161" s="816"/>
    </row>
    <row r="162" spans="1:19" s="817" customFormat="1" ht="29.25" customHeight="1">
      <c r="A162" s="798" t="s">
        <v>111</v>
      </c>
      <c r="B162" s="799" t="s">
        <v>777</v>
      </c>
      <c r="C162" s="798" t="s">
        <v>377</v>
      </c>
      <c r="D162" s="792" t="s">
        <v>723</v>
      </c>
      <c r="E162" s="809" t="e">
        <f>NC_DKDD!H927</f>
        <v>#VALUE!</v>
      </c>
      <c r="F162" s="809"/>
      <c r="G162" s="795"/>
      <c r="H162" s="809"/>
      <c r="I162" s="809"/>
      <c r="J162" s="809"/>
      <c r="K162" s="809"/>
      <c r="L162" s="809"/>
      <c r="M162" s="809"/>
      <c r="N162" s="809"/>
      <c r="O162" s="809">
        <f t="shared" si="19"/>
        <v>98.369230769230768</v>
      </c>
      <c r="P162" s="815">
        <f t="shared" si="20"/>
        <v>85.538461538461533</v>
      </c>
      <c r="Q162" s="815">
        <f t="shared" si="21"/>
        <v>12.830769230769231</v>
      </c>
      <c r="R162" s="813">
        <f>NC_DKDD!G927</f>
        <v>1.6E-2</v>
      </c>
      <c r="S162" s="816"/>
    </row>
    <row r="163" spans="1:19" s="817" customFormat="1" ht="29.25" customHeight="1">
      <c r="A163" s="798" t="s">
        <v>112</v>
      </c>
      <c r="B163" s="799" t="s">
        <v>781</v>
      </c>
      <c r="C163" s="798" t="s">
        <v>377</v>
      </c>
      <c r="D163" s="792" t="s">
        <v>723</v>
      </c>
      <c r="E163" s="809" t="e">
        <f>NC_DKDD!H928</f>
        <v>#VALUE!</v>
      </c>
      <c r="F163" s="809"/>
      <c r="G163" s="795"/>
      <c r="H163" s="809"/>
      <c r="I163" s="809"/>
      <c r="J163" s="809"/>
      <c r="K163" s="809"/>
      <c r="L163" s="809"/>
      <c r="M163" s="809"/>
      <c r="N163" s="809"/>
      <c r="O163" s="809">
        <f t="shared" si="19"/>
        <v>49.184615384615384</v>
      </c>
      <c r="P163" s="815">
        <f t="shared" si="20"/>
        <v>42.769230769230766</v>
      </c>
      <c r="Q163" s="815">
        <f t="shared" si="21"/>
        <v>6.4153846153846157</v>
      </c>
      <c r="R163" s="813">
        <f>NC_DKDD!G928</f>
        <v>8.0000000000000002E-3</v>
      </c>
      <c r="S163" s="816"/>
    </row>
    <row r="164" spans="1:19" s="817" customFormat="1" ht="34.15" customHeight="1">
      <c r="A164" s="798" t="s">
        <v>113</v>
      </c>
      <c r="B164" s="799" t="s">
        <v>861</v>
      </c>
      <c r="C164" s="798" t="s">
        <v>377</v>
      </c>
      <c r="D164" s="792" t="s">
        <v>723</v>
      </c>
      <c r="E164" s="809" t="e">
        <f>NC_DKDD!H929</f>
        <v>#VALUE!</v>
      </c>
      <c r="F164" s="809"/>
      <c r="G164" s="795"/>
      <c r="H164" s="809"/>
      <c r="I164" s="809"/>
      <c r="J164" s="809"/>
      <c r="K164" s="809"/>
      <c r="L164" s="809"/>
      <c r="M164" s="809"/>
      <c r="N164" s="809"/>
      <c r="O164" s="809">
        <f t="shared" si="19"/>
        <v>24.592307692307692</v>
      </c>
      <c r="P164" s="815">
        <f t="shared" si="20"/>
        <v>21.384615384615383</v>
      </c>
      <c r="Q164" s="815">
        <f t="shared" si="21"/>
        <v>3.2076923076923078</v>
      </c>
      <c r="R164" s="813">
        <f>NC_DKDD!G929</f>
        <v>4.0000000000000001E-3</v>
      </c>
      <c r="S164" s="816"/>
    </row>
    <row r="165" spans="1:19" s="817" customFormat="1" ht="34.15" customHeight="1">
      <c r="A165" s="798" t="s">
        <v>114</v>
      </c>
      <c r="B165" s="799" t="s">
        <v>863</v>
      </c>
      <c r="C165" s="798" t="s">
        <v>375</v>
      </c>
      <c r="D165" s="792" t="s">
        <v>723</v>
      </c>
      <c r="E165" s="809" t="e">
        <f>NC_DKDD!H930</f>
        <v>#VALUE!</v>
      </c>
      <c r="F165" s="809"/>
      <c r="G165" s="795"/>
      <c r="H165" s="809"/>
      <c r="I165" s="809"/>
      <c r="J165" s="809"/>
      <c r="K165" s="809"/>
      <c r="L165" s="809"/>
      <c r="M165" s="809"/>
      <c r="N165" s="809"/>
      <c r="O165" s="809">
        <f t="shared" si="19"/>
        <v>61.480769230769226</v>
      </c>
      <c r="P165" s="815">
        <f t="shared" si="20"/>
        <v>53.46153846153846</v>
      </c>
      <c r="Q165" s="815">
        <f t="shared" si="21"/>
        <v>8.0192307692307701</v>
      </c>
      <c r="R165" s="813">
        <f>NC_DKDD!G930</f>
        <v>0.01</v>
      </c>
      <c r="S165" s="816"/>
    </row>
    <row r="166" spans="1:19" s="817" customFormat="1" ht="34.15" customHeight="1">
      <c r="A166" s="791" t="s">
        <v>1005</v>
      </c>
      <c r="B166" s="787" t="s">
        <v>378</v>
      </c>
      <c r="C166" s="798"/>
      <c r="D166" s="798"/>
      <c r="E166" s="808" t="e">
        <f>E167</f>
        <v>#VALUE!</v>
      </c>
      <c r="F166" s="809"/>
      <c r="G166" s="795"/>
      <c r="H166" s="809">
        <f>'Dcu-DKDD'!$L$338</f>
        <v>0</v>
      </c>
      <c r="I166" s="809">
        <f>'VL-DKDD'!$J$342</f>
        <v>0</v>
      </c>
      <c r="J166" s="809">
        <f>'TB-DKDD'!$M$194</f>
        <v>0</v>
      </c>
      <c r="K166" s="809"/>
      <c r="L166" s="810" t="e">
        <f>SUM(E166:K166)</f>
        <v>#VALUE!</v>
      </c>
      <c r="M166" s="810" t="e">
        <f>L166*'He so chung'!$D$17/100</f>
        <v>#VALUE!</v>
      </c>
      <c r="N166" s="810" t="e">
        <f>L166+M166</f>
        <v>#VALUE!</v>
      </c>
      <c r="O166" s="808">
        <f>O167</f>
        <v>2459.2307692307695</v>
      </c>
      <c r="P166" s="815">
        <f t="shared" si="20"/>
        <v>2138.4615384615386</v>
      </c>
      <c r="Q166" s="815">
        <f t="shared" si="21"/>
        <v>320.76923076923077</v>
      </c>
      <c r="R166" s="813">
        <f>R167</f>
        <v>0.4</v>
      </c>
      <c r="S166" s="816"/>
    </row>
    <row r="167" spans="1:19" s="817" customFormat="1" ht="34.15" customHeight="1">
      <c r="A167" s="798">
        <v>1</v>
      </c>
      <c r="B167" s="799" t="s">
        <v>814</v>
      </c>
      <c r="C167" s="798" t="s">
        <v>532</v>
      </c>
      <c r="D167" s="792" t="s">
        <v>723</v>
      </c>
      <c r="E167" s="809" t="e">
        <f>NC_DKDD!H932</f>
        <v>#VALUE!</v>
      </c>
      <c r="F167" s="809"/>
      <c r="G167" s="795"/>
      <c r="H167" s="809"/>
      <c r="I167" s="809"/>
      <c r="J167" s="809"/>
      <c r="K167" s="809"/>
      <c r="L167" s="809"/>
      <c r="M167" s="809"/>
      <c r="N167" s="809"/>
      <c r="O167" s="809">
        <f>P167+Q167</f>
        <v>2459.2307692307695</v>
      </c>
      <c r="P167" s="815">
        <f t="shared" si="20"/>
        <v>2138.4615384615386</v>
      </c>
      <c r="Q167" s="815">
        <f t="shared" si="21"/>
        <v>320.76923076923077</v>
      </c>
      <c r="R167" s="813">
        <f>NC_DKDD!G932</f>
        <v>0.4</v>
      </c>
      <c r="S167" s="816"/>
    </row>
    <row r="168" spans="1:19" s="817" customFormat="1" ht="34.15" customHeight="1">
      <c r="A168" s="791" t="s">
        <v>755</v>
      </c>
      <c r="B168" s="787" t="s">
        <v>909</v>
      </c>
      <c r="C168" s="798"/>
      <c r="D168" s="798"/>
      <c r="E168" s="808" t="e">
        <f>E169</f>
        <v>#VALUE!</v>
      </c>
      <c r="F168" s="809"/>
      <c r="G168" s="795"/>
      <c r="H168" s="809">
        <f>'Dcu-DKDD'!$H$338</f>
        <v>766.82065384615373</v>
      </c>
      <c r="I168" s="809">
        <f>'VL-DKDD'!$F$342</f>
        <v>1611.36</v>
      </c>
      <c r="J168" s="809">
        <f>'TB-DKDD'!$I$194</f>
        <v>65.02</v>
      </c>
      <c r="K168" s="809">
        <f>'NL-DKDD'!$F$133</f>
        <v>138.30599999999998</v>
      </c>
      <c r="L168" s="810" t="e">
        <f>SUM(E168:K168)</f>
        <v>#VALUE!</v>
      </c>
      <c r="M168" s="810" t="e">
        <f>L168*'He so chung'!$D$17/100</f>
        <v>#VALUE!</v>
      </c>
      <c r="N168" s="810" t="e">
        <f>L168+M168</f>
        <v>#VALUE!</v>
      </c>
      <c r="O168" s="808">
        <f>O169</f>
        <v>614.80769230769238</v>
      </c>
      <c r="P168" s="815">
        <f t="shared" si="20"/>
        <v>534.61538461538464</v>
      </c>
      <c r="Q168" s="815">
        <f t="shared" si="21"/>
        <v>80.192307692307693</v>
      </c>
      <c r="R168" s="813">
        <f>R169</f>
        <v>0.1</v>
      </c>
      <c r="S168" s="816"/>
    </row>
    <row r="169" spans="1:19" s="817" customFormat="1" ht="34.15" customHeight="1">
      <c r="A169" s="798">
        <v>1</v>
      </c>
      <c r="B169" s="799" t="s">
        <v>815</v>
      </c>
      <c r="C169" s="798" t="s">
        <v>532</v>
      </c>
      <c r="D169" s="792" t="s">
        <v>723</v>
      </c>
      <c r="E169" s="809" t="e">
        <f>NC_DKDD!H934</f>
        <v>#VALUE!</v>
      </c>
      <c r="F169" s="809"/>
      <c r="G169" s="795"/>
      <c r="H169" s="809"/>
      <c r="I169" s="809"/>
      <c r="J169" s="809"/>
      <c r="K169" s="809"/>
      <c r="L169" s="809"/>
      <c r="M169" s="809"/>
      <c r="N169" s="809"/>
      <c r="O169" s="809">
        <f>P169+Q169</f>
        <v>614.80769230769238</v>
      </c>
      <c r="P169" s="815">
        <f t="shared" si="20"/>
        <v>534.61538461538464</v>
      </c>
      <c r="Q169" s="815">
        <f t="shared" si="21"/>
        <v>80.192307692307693</v>
      </c>
      <c r="R169" s="813">
        <f>NC_DKDD!G934</f>
        <v>0.1</v>
      </c>
      <c r="S169" s="816"/>
    </row>
    <row r="170" spans="1:19" ht="34.15" customHeight="1">
      <c r="A170" s="455"/>
      <c r="B170" s="1073" t="s">
        <v>854</v>
      </c>
      <c r="C170" s="1073"/>
      <c r="D170" s="1073"/>
      <c r="E170" s="1073"/>
      <c r="F170" s="1073"/>
      <c r="G170" s="1073"/>
      <c r="H170" s="1073"/>
      <c r="I170" s="1073"/>
      <c r="J170" s="1073"/>
      <c r="K170" s="1073"/>
      <c r="L170" s="1073"/>
      <c r="M170" s="1073"/>
      <c r="N170" s="1073"/>
      <c r="O170" s="1073"/>
      <c r="P170" s="420"/>
      <c r="Q170" s="420"/>
      <c r="R170" s="806"/>
    </row>
    <row r="171" spans="1:19" ht="34.15" customHeight="1">
      <c r="A171" s="807"/>
      <c r="B171" s="807"/>
      <c r="C171" s="807"/>
      <c r="D171" s="807"/>
      <c r="E171" s="807"/>
      <c r="F171" s="807"/>
      <c r="G171" s="807"/>
      <c r="H171" s="807"/>
      <c r="I171" s="807"/>
      <c r="J171" s="807"/>
      <c r="K171" s="807"/>
      <c r="L171" s="807"/>
      <c r="M171" s="807"/>
      <c r="N171" s="807"/>
      <c r="O171" s="807"/>
      <c r="R171" s="806"/>
    </row>
    <row r="172" spans="1:19" ht="37.15" customHeight="1">
      <c r="A172" s="1070" t="s">
        <v>521</v>
      </c>
      <c r="B172" s="1070"/>
      <c r="C172" s="1070"/>
      <c r="D172" s="1070"/>
      <c r="E172" s="1070"/>
      <c r="F172" s="1070"/>
      <c r="G172" s="1070"/>
      <c r="H172" s="1070"/>
      <c r="I172" s="1070"/>
      <c r="J172" s="1070"/>
      <c r="K172" s="1070"/>
      <c r="L172" s="1070"/>
      <c r="M172" s="1070"/>
      <c r="N172" s="1070"/>
      <c r="O172" s="1070"/>
      <c r="R172" s="806"/>
    </row>
    <row r="173" spans="1:19" s="421" customFormat="1" ht="19.5" customHeight="1">
      <c r="A173" s="414"/>
      <c r="B173" s="415"/>
      <c r="C173" s="776"/>
      <c r="D173" s="777" t="s">
        <v>430</v>
      </c>
      <c r="E173" s="419"/>
      <c r="F173" s="778"/>
      <c r="G173" s="779"/>
      <c r="H173" s="778"/>
      <c r="I173" s="780"/>
      <c r="J173" s="778"/>
      <c r="K173" s="778"/>
      <c r="L173" s="781" t="s">
        <v>262</v>
      </c>
      <c r="M173" s="778"/>
      <c r="N173" s="780"/>
      <c r="O173" s="419"/>
      <c r="P173" s="420"/>
      <c r="Q173" s="420"/>
      <c r="R173" s="420"/>
      <c r="S173" s="420"/>
    </row>
    <row r="174" spans="1:19" s="421" customFormat="1" ht="19.5" customHeight="1">
      <c r="A174" s="1068" t="s">
        <v>718</v>
      </c>
      <c r="B174" s="1068" t="s">
        <v>198</v>
      </c>
      <c r="C174" s="1071" t="s">
        <v>263</v>
      </c>
      <c r="D174" s="1071" t="s">
        <v>264</v>
      </c>
      <c r="E174" s="1071" t="s">
        <v>683</v>
      </c>
      <c r="F174" s="1071"/>
      <c r="G174" s="1071"/>
      <c r="H174" s="1071"/>
      <c r="I174" s="1071"/>
      <c r="J174" s="1071"/>
      <c r="K174" s="1071"/>
      <c r="L174" s="1071"/>
      <c r="M174" s="1071" t="s">
        <v>435</v>
      </c>
      <c r="N174" s="1071" t="s">
        <v>68</v>
      </c>
      <c r="O174" s="1071" t="s">
        <v>69</v>
      </c>
      <c r="P174" s="782"/>
      <c r="Q174" s="782"/>
      <c r="R174" s="420"/>
      <c r="S174" s="420"/>
    </row>
    <row r="175" spans="1:19" s="421" customFormat="1" ht="19.5" customHeight="1">
      <c r="A175" s="1068"/>
      <c r="B175" s="1068"/>
      <c r="C175" s="1071"/>
      <c r="D175" s="1071"/>
      <c r="E175" s="783" t="s">
        <v>686</v>
      </c>
      <c r="F175" s="783" t="s">
        <v>687</v>
      </c>
      <c r="G175" s="784" t="s">
        <v>285</v>
      </c>
      <c r="H175" s="783" t="s">
        <v>499</v>
      </c>
      <c r="I175" s="783" t="s">
        <v>688</v>
      </c>
      <c r="J175" s="783" t="s">
        <v>531</v>
      </c>
      <c r="K175" s="783" t="s">
        <v>689</v>
      </c>
      <c r="L175" s="783" t="s">
        <v>690</v>
      </c>
      <c r="M175" s="1071"/>
      <c r="N175" s="1071"/>
      <c r="O175" s="1071"/>
      <c r="P175" s="782"/>
      <c r="Q175" s="782"/>
      <c r="R175" s="420"/>
      <c r="S175" s="420"/>
    </row>
    <row r="176" spans="1:19" s="421" customFormat="1" ht="47.25" customHeight="1">
      <c r="A176" s="785"/>
      <c r="B176" s="786" t="s">
        <v>522</v>
      </c>
      <c r="C176" s="783"/>
      <c r="D176" s="783"/>
      <c r="E176" s="783"/>
      <c r="F176" s="783"/>
      <c r="G176" s="784"/>
      <c r="H176" s="783"/>
      <c r="I176" s="783"/>
      <c r="J176" s="783"/>
      <c r="K176" s="783"/>
      <c r="L176" s="783"/>
      <c r="M176" s="783"/>
      <c r="N176" s="783"/>
      <c r="O176" s="783"/>
      <c r="P176" s="782"/>
      <c r="Q176" s="782"/>
      <c r="R176" s="420"/>
      <c r="S176" s="420"/>
    </row>
    <row r="177" spans="1:19" s="421" customFormat="1" ht="19.5" customHeight="1">
      <c r="A177" s="785"/>
      <c r="B177" s="787" t="s">
        <v>668</v>
      </c>
      <c r="C177" s="783" t="s">
        <v>532</v>
      </c>
      <c r="D177" s="785" t="s">
        <v>723</v>
      </c>
      <c r="E177" s="788" t="e">
        <f>E181+E208+E210</f>
        <v>#VALUE!</v>
      </c>
      <c r="F177" s="788">
        <f t="shared" ref="F177:O177" si="22">F181+F208+F210</f>
        <v>0</v>
      </c>
      <c r="G177" s="788">
        <f t="shared" si="22"/>
        <v>0</v>
      </c>
      <c r="H177" s="788">
        <f t="shared" si="22"/>
        <v>15091.070487500001</v>
      </c>
      <c r="I177" s="788">
        <f t="shared" si="22"/>
        <v>27022.14</v>
      </c>
      <c r="J177" s="788">
        <f t="shared" si="22"/>
        <v>8535.4360000000015</v>
      </c>
      <c r="K177" s="788">
        <f t="shared" si="22"/>
        <v>16824.225600000002</v>
      </c>
      <c r="L177" s="788" t="e">
        <f t="shared" si="22"/>
        <v>#VALUE!</v>
      </c>
      <c r="M177" s="788" t="e">
        <f t="shared" si="22"/>
        <v>#VALUE!</v>
      </c>
      <c r="N177" s="788" t="e">
        <f t="shared" si="22"/>
        <v>#VALUE!</v>
      </c>
      <c r="O177" s="788">
        <f t="shared" si="22"/>
        <v>32922.951923076922</v>
      </c>
      <c r="P177" s="782"/>
      <c r="Q177" s="782"/>
      <c r="R177" s="420"/>
      <c r="S177" s="420"/>
    </row>
    <row r="178" spans="1:19" s="421" customFormat="1" ht="19.5" customHeight="1">
      <c r="A178" s="785"/>
      <c r="B178" s="787" t="s">
        <v>669</v>
      </c>
      <c r="C178" s="783" t="s">
        <v>532</v>
      </c>
      <c r="D178" s="785" t="s">
        <v>723</v>
      </c>
      <c r="E178" s="788" t="e">
        <f>E182+E208+E210</f>
        <v>#VALUE!</v>
      </c>
      <c r="F178" s="788">
        <f t="shared" ref="F178:O178" si="23">F182+F208+F210</f>
        <v>0</v>
      </c>
      <c r="G178" s="788">
        <f t="shared" si="23"/>
        <v>0</v>
      </c>
      <c r="H178" s="788">
        <f t="shared" si="23"/>
        <v>15091.070487500001</v>
      </c>
      <c r="I178" s="788">
        <f t="shared" si="23"/>
        <v>27022.14</v>
      </c>
      <c r="J178" s="788">
        <f t="shared" si="23"/>
        <v>8535.4360000000015</v>
      </c>
      <c r="K178" s="788">
        <f t="shared" si="23"/>
        <v>16824.225600000002</v>
      </c>
      <c r="L178" s="788" t="e">
        <f t="shared" si="23"/>
        <v>#VALUE!</v>
      </c>
      <c r="M178" s="788" t="e">
        <f t="shared" si="23"/>
        <v>#VALUE!</v>
      </c>
      <c r="N178" s="788" t="e">
        <f t="shared" si="23"/>
        <v>#VALUE!</v>
      </c>
      <c r="O178" s="788">
        <f t="shared" si="23"/>
        <v>32523.326923076922</v>
      </c>
      <c r="P178" s="782"/>
      <c r="Q178" s="782"/>
      <c r="R178" s="420"/>
      <c r="S178" s="420"/>
    </row>
    <row r="179" spans="1:19" s="421" customFormat="1" ht="19.5" customHeight="1">
      <c r="A179" s="785"/>
      <c r="B179" s="789"/>
      <c r="C179" s="783"/>
      <c r="D179" s="783"/>
      <c r="E179" s="783"/>
      <c r="F179" s="783"/>
      <c r="G179" s="784"/>
      <c r="H179" s="783"/>
      <c r="I179" s="783"/>
      <c r="J179" s="783"/>
      <c r="K179" s="783"/>
      <c r="L179" s="783"/>
      <c r="M179" s="783"/>
      <c r="N179" s="783"/>
      <c r="O179" s="783"/>
      <c r="P179" s="790">
        <f>'He so chung'!D$22</f>
        <v>5346.1538461538457</v>
      </c>
      <c r="Q179" s="790">
        <f>'He so chung'!D$23</f>
        <v>801.92307692307691</v>
      </c>
      <c r="R179" s="689"/>
      <c r="S179" s="420"/>
    </row>
    <row r="180" spans="1:19" s="421" customFormat="1" ht="19.5" customHeight="1">
      <c r="A180" s="785" t="s">
        <v>1000</v>
      </c>
      <c r="B180" s="789" t="s">
        <v>582</v>
      </c>
      <c r="C180" s="783"/>
      <c r="D180" s="783"/>
      <c r="E180" s="783"/>
      <c r="F180" s="783"/>
      <c r="G180" s="784"/>
      <c r="H180" s="783"/>
      <c r="I180" s="783"/>
      <c r="J180" s="783"/>
      <c r="K180" s="783"/>
      <c r="L180" s="783"/>
      <c r="M180" s="783"/>
      <c r="N180" s="783"/>
      <c r="O180" s="783"/>
      <c r="P180" s="790"/>
      <c r="Q180" s="790"/>
      <c r="R180" s="689"/>
      <c r="S180" s="420"/>
    </row>
    <row r="181" spans="1:19" s="421" customFormat="1" ht="19.5" customHeight="1">
      <c r="A181" s="791" t="s">
        <v>1008</v>
      </c>
      <c r="B181" s="787" t="s">
        <v>668</v>
      </c>
      <c r="C181" s="783" t="s">
        <v>532</v>
      </c>
      <c r="D181" s="792" t="s">
        <v>723</v>
      </c>
      <c r="E181" s="793" t="e">
        <f>E184+E186+E187+E188+E189+E191+E193+E194+E196+E198+E199+E200+E201+E204+E205+E206+E207</f>
        <v>#VALUE!</v>
      </c>
      <c r="F181" s="794"/>
      <c r="G181" s="795"/>
      <c r="H181" s="794">
        <f>'Dcu-DKDD'!$J$309*1.3</f>
        <v>12721.271500000001</v>
      </c>
      <c r="I181" s="794">
        <f>'VL-DKDD'!$H$312</f>
        <v>23921.46</v>
      </c>
      <c r="J181" s="794">
        <f>'TB-DKDD'!$K$176*1.3</f>
        <v>8360.3520000000008</v>
      </c>
      <c r="K181" s="794">
        <f>'NL-DKDD'!$H$120*1.3</f>
        <v>16442.407800000001</v>
      </c>
      <c r="L181" s="796" t="e">
        <f>SUM(E181:K181)</f>
        <v>#VALUE!</v>
      </c>
      <c r="M181" s="796" t="e">
        <f>L181*'He so chung'!$D$17/100</f>
        <v>#VALUE!</v>
      </c>
      <c r="N181" s="796" t="e">
        <f>L181+M181</f>
        <v>#VALUE!</v>
      </c>
      <c r="O181" s="793">
        <f>O184+O186+O187+O188+O189+O191+O193+O194+O196+O198+O199+O200+O201+O204+O205+O206+O207</f>
        <v>28926.701923076922</v>
      </c>
      <c r="P181" s="782"/>
      <c r="Q181" s="782"/>
      <c r="R181" s="420"/>
      <c r="S181" s="420"/>
    </row>
    <row r="182" spans="1:19" s="421" customFormat="1" ht="19.5" customHeight="1">
      <c r="A182" s="791" t="s">
        <v>1009</v>
      </c>
      <c r="B182" s="787" t="s">
        <v>669</v>
      </c>
      <c r="C182" s="783" t="s">
        <v>532</v>
      </c>
      <c r="D182" s="792" t="s">
        <v>723</v>
      </c>
      <c r="E182" s="793" t="e">
        <f>E185+E186+E187+E188+E189+E191+E193+E194+E196+E198+E199+E200+E201+E204+E205+E206+E207</f>
        <v>#VALUE!</v>
      </c>
      <c r="F182" s="794"/>
      <c r="G182" s="795"/>
      <c r="H182" s="794">
        <f>'Dcu-DKDD'!$J$309*1.3</f>
        <v>12721.271500000001</v>
      </c>
      <c r="I182" s="794">
        <f>'VL-DKDD'!$H$312</f>
        <v>23921.46</v>
      </c>
      <c r="J182" s="794">
        <f>'TB-DKDD'!$K$176*1.3</f>
        <v>8360.3520000000008</v>
      </c>
      <c r="K182" s="794">
        <f>'NL-DKDD'!$H$120*1.3</f>
        <v>16442.407800000001</v>
      </c>
      <c r="L182" s="796" t="e">
        <f>SUM(E182:K182)</f>
        <v>#VALUE!</v>
      </c>
      <c r="M182" s="796" t="e">
        <f>L182*'He so chung'!$D$17/100</f>
        <v>#VALUE!</v>
      </c>
      <c r="N182" s="796" t="e">
        <f>L182+M182</f>
        <v>#VALUE!</v>
      </c>
      <c r="O182" s="793">
        <f>O185+O186+O187+O188+O189+O191+O193+O194+O196+O198+O199+O200+O201+O204+O205+O206+O207</f>
        <v>28527.076923076922</v>
      </c>
      <c r="P182" s="782"/>
      <c r="Q182" s="782"/>
      <c r="R182" s="420"/>
      <c r="S182" s="420"/>
    </row>
    <row r="183" spans="1:19" s="421" customFormat="1" ht="29.25" customHeight="1">
      <c r="A183" s="798">
        <v>1</v>
      </c>
      <c r="B183" s="799" t="s">
        <v>816</v>
      </c>
      <c r="C183" s="794"/>
      <c r="D183" s="800"/>
      <c r="E183" s="794"/>
      <c r="F183" s="794"/>
      <c r="G183" s="795"/>
      <c r="H183" s="794"/>
      <c r="I183" s="794"/>
      <c r="J183" s="794"/>
      <c r="K183" s="794"/>
      <c r="L183" s="794"/>
      <c r="M183" s="794"/>
      <c r="N183" s="794"/>
      <c r="O183" s="794">
        <f t="shared" ref="O183:O207" si="24">P183+Q183</f>
        <v>0</v>
      </c>
      <c r="P183" s="782"/>
      <c r="Q183" s="782"/>
      <c r="R183" s="420"/>
      <c r="S183" s="420"/>
    </row>
    <row r="184" spans="1:19" s="421" customFormat="1" ht="24.75" customHeight="1">
      <c r="A184" s="798" t="s">
        <v>733</v>
      </c>
      <c r="B184" s="799" t="s">
        <v>846</v>
      </c>
      <c r="C184" s="798" t="s">
        <v>532</v>
      </c>
      <c r="D184" s="792" t="s">
        <v>723</v>
      </c>
      <c r="E184" s="794" t="e">
        <f>NC_DKDD!H941</f>
        <v>#VALUE!</v>
      </c>
      <c r="F184" s="794"/>
      <c r="G184" s="795"/>
      <c r="H184" s="794"/>
      <c r="I184" s="794"/>
      <c r="J184" s="794"/>
      <c r="K184" s="794"/>
      <c r="L184" s="794"/>
      <c r="M184" s="794"/>
      <c r="N184" s="794"/>
      <c r="O184" s="794">
        <f t="shared" si="24"/>
        <v>1598.5</v>
      </c>
      <c r="P184" s="782">
        <f t="shared" ref="P184:P211" si="25">R184*P$9</f>
        <v>1390</v>
      </c>
      <c r="Q184" s="782">
        <f t="shared" ref="Q184:Q211" si="26">R184*Q$9</f>
        <v>208.5</v>
      </c>
      <c r="R184" s="812">
        <f>NC_DKDD!G941</f>
        <v>0.26</v>
      </c>
      <c r="S184" s="420"/>
    </row>
    <row r="185" spans="1:19" s="421" customFormat="1" ht="24.75" customHeight="1">
      <c r="A185" s="798" t="s">
        <v>741</v>
      </c>
      <c r="B185" s="799" t="s">
        <v>849</v>
      </c>
      <c r="C185" s="798" t="s">
        <v>532</v>
      </c>
      <c r="D185" s="792" t="s">
        <v>723</v>
      </c>
      <c r="E185" s="794" t="e">
        <f>NC_DKDD!H942</f>
        <v>#VALUE!</v>
      </c>
      <c r="F185" s="794"/>
      <c r="G185" s="795"/>
      <c r="H185" s="794"/>
      <c r="I185" s="794"/>
      <c r="J185" s="794"/>
      <c r="K185" s="794"/>
      <c r="L185" s="794"/>
      <c r="M185" s="794"/>
      <c r="N185" s="794"/>
      <c r="O185" s="794">
        <f t="shared" si="24"/>
        <v>1198.875</v>
      </c>
      <c r="P185" s="782">
        <f t="shared" si="25"/>
        <v>1042.5</v>
      </c>
      <c r="Q185" s="782">
        <f t="shared" si="26"/>
        <v>156.375</v>
      </c>
      <c r="R185" s="812">
        <f>NC_DKDD!G942</f>
        <v>0.19500000000000001</v>
      </c>
      <c r="S185" s="420"/>
    </row>
    <row r="186" spans="1:19" s="421" customFormat="1" ht="33" customHeight="1">
      <c r="A186" s="798">
        <v>2</v>
      </c>
      <c r="B186" s="799" t="s">
        <v>797</v>
      </c>
      <c r="C186" s="798" t="s">
        <v>532</v>
      </c>
      <c r="D186" s="792" t="s">
        <v>723</v>
      </c>
      <c r="E186" s="794" t="e">
        <f>NC_DKDD!H943</f>
        <v>#VALUE!</v>
      </c>
      <c r="F186" s="794"/>
      <c r="G186" s="795"/>
      <c r="H186" s="794"/>
      <c r="I186" s="794"/>
      <c r="J186" s="794"/>
      <c r="K186" s="794"/>
      <c r="L186" s="794"/>
      <c r="M186" s="794"/>
      <c r="N186" s="794"/>
      <c r="O186" s="794">
        <f t="shared" si="24"/>
        <v>1998.125</v>
      </c>
      <c r="P186" s="782">
        <f t="shared" si="25"/>
        <v>1737.5</v>
      </c>
      <c r="Q186" s="782">
        <f t="shared" si="26"/>
        <v>260.625</v>
      </c>
      <c r="R186" s="812">
        <f>NC_DKDD!G943</f>
        <v>0.32500000000000001</v>
      </c>
      <c r="S186" s="420"/>
    </row>
    <row r="187" spans="1:19" s="421" customFormat="1" ht="33" customHeight="1">
      <c r="A187" s="798">
        <v>3</v>
      </c>
      <c r="B187" s="799" t="s">
        <v>851</v>
      </c>
      <c r="C187" s="798" t="s">
        <v>375</v>
      </c>
      <c r="D187" s="792" t="s">
        <v>723</v>
      </c>
      <c r="E187" s="794" t="e">
        <f>NC_DKDD!H944</f>
        <v>#VALUE!</v>
      </c>
      <c r="F187" s="794"/>
      <c r="G187" s="795"/>
      <c r="H187" s="794"/>
      <c r="I187" s="794"/>
      <c r="J187" s="794"/>
      <c r="K187" s="794"/>
      <c r="L187" s="794"/>
      <c r="M187" s="794"/>
      <c r="N187" s="794"/>
      <c r="O187" s="794">
        <f t="shared" si="24"/>
        <v>1026.728846153846</v>
      </c>
      <c r="P187" s="782">
        <f t="shared" si="25"/>
        <v>892.80769230769226</v>
      </c>
      <c r="Q187" s="782">
        <f t="shared" si="26"/>
        <v>133.92115384615386</v>
      </c>
      <c r="R187" s="812">
        <f>NC_DKDD!G944</f>
        <v>0.16700000000000001</v>
      </c>
      <c r="S187" s="420"/>
    </row>
    <row r="188" spans="1:19" s="421" customFormat="1" ht="71.25">
      <c r="A188" s="798">
        <v>4</v>
      </c>
      <c r="B188" s="799" t="s">
        <v>700</v>
      </c>
      <c r="C188" s="798" t="s">
        <v>532</v>
      </c>
      <c r="D188" s="792" t="s">
        <v>723</v>
      </c>
      <c r="E188" s="794" t="e">
        <f>NC_DKDD!H945</f>
        <v>#VALUE!</v>
      </c>
      <c r="F188" s="794"/>
      <c r="G188" s="795"/>
      <c r="H188" s="794"/>
      <c r="I188" s="794"/>
      <c r="J188" s="794"/>
      <c r="K188" s="794"/>
      <c r="L188" s="794"/>
      <c r="M188" s="794"/>
      <c r="N188" s="794"/>
      <c r="O188" s="794">
        <f t="shared" si="24"/>
        <v>13279.846153846152</v>
      </c>
      <c r="P188" s="782">
        <f t="shared" si="25"/>
        <v>11547.692307692307</v>
      </c>
      <c r="Q188" s="782">
        <f t="shared" si="26"/>
        <v>1732.1538461538462</v>
      </c>
      <c r="R188" s="812">
        <f>NC_DKDD!G945</f>
        <v>2.16</v>
      </c>
      <c r="S188" s="420"/>
    </row>
    <row r="189" spans="1:19" s="421" customFormat="1" ht="24.75" customHeight="1">
      <c r="A189" s="798">
        <v>5</v>
      </c>
      <c r="B189" s="799" t="s">
        <v>2</v>
      </c>
      <c r="C189" s="798" t="s">
        <v>375</v>
      </c>
      <c r="D189" s="792" t="s">
        <v>723</v>
      </c>
      <c r="E189" s="794" t="e">
        <f>NC_DKDD!H946</f>
        <v>#VALUE!</v>
      </c>
      <c r="F189" s="794"/>
      <c r="G189" s="795"/>
      <c r="H189" s="794"/>
      <c r="I189" s="794"/>
      <c r="J189" s="794"/>
      <c r="K189" s="794"/>
      <c r="L189" s="794"/>
      <c r="M189" s="794"/>
      <c r="N189" s="794"/>
      <c r="O189" s="794">
        <f t="shared" si="24"/>
        <v>36.888461538461534</v>
      </c>
      <c r="P189" s="782">
        <f t="shared" si="25"/>
        <v>32.076923076923073</v>
      </c>
      <c r="Q189" s="782">
        <f t="shared" si="26"/>
        <v>4.8115384615384613</v>
      </c>
      <c r="R189" s="812">
        <f>NC_DKDD!G946</f>
        <v>6.0000000000000001E-3</v>
      </c>
      <c r="S189" s="420"/>
    </row>
    <row r="190" spans="1:19" s="421" customFormat="1" ht="42.75">
      <c r="A190" s="798">
        <v>6</v>
      </c>
      <c r="B190" s="799" t="s">
        <v>702</v>
      </c>
      <c r="C190" s="798"/>
      <c r="D190" s="798"/>
      <c r="E190" s="794">
        <f>NC_DKDD!H947</f>
        <v>0</v>
      </c>
      <c r="F190" s="794"/>
      <c r="G190" s="795"/>
      <c r="H190" s="794"/>
      <c r="I190" s="794"/>
      <c r="J190" s="794"/>
      <c r="K190" s="794"/>
      <c r="L190" s="794"/>
      <c r="M190" s="794"/>
      <c r="N190" s="794"/>
      <c r="O190" s="794">
        <f t="shared" si="24"/>
        <v>0</v>
      </c>
      <c r="P190" s="782">
        <f t="shared" si="25"/>
        <v>0</v>
      </c>
      <c r="Q190" s="782">
        <f t="shared" si="26"/>
        <v>0</v>
      </c>
      <c r="R190" s="812">
        <f>NC_DKDD!G947</f>
        <v>0</v>
      </c>
      <c r="S190" s="420"/>
    </row>
    <row r="191" spans="1:19" s="421" customFormat="1" ht="19.5" customHeight="1">
      <c r="A191" s="798" t="s">
        <v>661</v>
      </c>
      <c r="B191" s="799" t="s">
        <v>587</v>
      </c>
      <c r="C191" s="798" t="s">
        <v>532</v>
      </c>
      <c r="D191" s="792" t="s">
        <v>723</v>
      </c>
      <c r="E191" s="794" t="e">
        <f>NC_DKDD!H948</f>
        <v>#VALUE!</v>
      </c>
      <c r="F191" s="794"/>
      <c r="G191" s="795"/>
      <c r="H191" s="794"/>
      <c r="I191" s="794"/>
      <c r="J191" s="794"/>
      <c r="K191" s="794"/>
      <c r="L191" s="794"/>
      <c r="M191" s="794"/>
      <c r="N191" s="794"/>
      <c r="O191" s="794">
        <f t="shared" si="24"/>
        <v>307.40384615384619</v>
      </c>
      <c r="P191" s="782">
        <f t="shared" si="25"/>
        <v>267.30769230769232</v>
      </c>
      <c r="Q191" s="782">
        <f t="shared" si="26"/>
        <v>40.096153846153847</v>
      </c>
      <c r="R191" s="812">
        <f>NC_DKDD!G948</f>
        <v>0.05</v>
      </c>
      <c r="S191" s="420"/>
    </row>
    <row r="192" spans="1:19" s="421" customFormat="1" ht="19.5" customHeight="1">
      <c r="A192" s="798" t="s">
        <v>662</v>
      </c>
      <c r="B192" s="799" t="s">
        <v>588</v>
      </c>
      <c r="C192" s="798" t="s">
        <v>532</v>
      </c>
      <c r="D192" s="792" t="s">
        <v>723</v>
      </c>
      <c r="E192" s="794" t="e">
        <f>NC_DKDD!H949</f>
        <v>#VALUE!</v>
      </c>
      <c r="F192" s="794"/>
      <c r="G192" s="795"/>
      <c r="H192" s="794"/>
      <c r="I192" s="794"/>
      <c r="J192" s="794"/>
      <c r="K192" s="794"/>
      <c r="L192" s="794"/>
      <c r="M192" s="794"/>
      <c r="N192" s="794"/>
      <c r="O192" s="794">
        <f t="shared" si="24"/>
        <v>614.80769230769238</v>
      </c>
      <c r="P192" s="782">
        <f t="shared" si="25"/>
        <v>534.61538461538464</v>
      </c>
      <c r="Q192" s="782">
        <f t="shared" si="26"/>
        <v>80.192307692307693</v>
      </c>
      <c r="R192" s="812">
        <f>NC_DKDD!G949</f>
        <v>0.1</v>
      </c>
      <c r="S192" s="420"/>
    </row>
    <row r="193" spans="1:19" s="421" customFormat="1" ht="33.75" customHeight="1">
      <c r="A193" s="798">
        <v>7</v>
      </c>
      <c r="B193" s="799" t="s">
        <v>408</v>
      </c>
      <c r="C193" s="798" t="s">
        <v>532</v>
      </c>
      <c r="D193" s="792" t="s">
        <v>723</v>
      </c>
      <c r="E193" s="794" t="e">
        <f>NC_DKDD!H950</f>
        <v>#VALUE!</v>
      </c>
      <c r="F193" s="794"/>
      <c r="G193" s="795"/>
      <c r="H193" s="794"/>
      <c r="I193" s="794"/>
      <c r="J193" s="794"/>
      <c r="K193" s="794"/>
      <c r="L193" s="794"/>
      <c r="M193" s="794"/>
      <c r="N193" s="794"/>
      <c r="O193" s="794">
        <f t="shared" si="24"/>
        <v>1598.5</v>
      </c>
      <c r="P193" s="782">
        <f t="shared" si="25"/>
        <v>1390</v>
      </c>
      <c r="Q193" s="782">
        <f t="shared" si="26"/>
        <v>208.5</v>
      </c>
      <c r="R193" s="812">
        <f>NC_DKDD!G950</f>
        <v>0.26</v>
      </c>
      <c r="S193" s="420"/>
    </row>
    <row r="194" spans="1:19" s="421" customFormat="1" ht="23.25" customHeight="1">
      <c r="A194" s="798">
        <v>8</v>
      </c>
      <c r="B194" s="799" t="s">
        <v>78</v>
      </c>
      <c r="C194" s="798" t="s">
        <v>375</v>
      </c>
      <c r="D194" s="792" t="s">
        <v>723</v>
      </c>
      <c r="E194" s="794" t="e">
        <f>NC_DKDD!H951</f>
        <v>#VALUE!</v>
      </c>
      <c r="F194" s="794"/>
      <c r="G194" s="795"/>
      <c r="H194" s="794"/>
      <c r="I194" s="794"/>
      <c r="J194" s="794"/>
      <c r="K194" s="794"/>
      <c r="L194" s="794"/>
      <c r="M194" s="794"/>
      <c r="N194" s="794"/>
      <c r="O194" s="794">
        <f t="shared" si="24"/>
        <v>1444.7980769230767</v>
      </c>
      <c r="P194" s="782">
        <f t="shared" si="25"/>
        <v>1256.3461538461536</v>
      </c>
      <c r="Q194" s="782">
        <f t="shared" si="26"/>
        <v>188.45192307692307</v>
      </c>
      <c r="R194" s="812">
        <f>NC_DKDD!G951</f>
        <v>0.23499999999999999</v>
      </c>
      <c r="S194" s="420"/>
    </row>
    <row r="195" spans="1:19" s="421" customFormat="1" ht="23.25" customHeight="1">
      <c r="A195" s="798">
        <v>9</v>
      </c>
      <c r="B195" s="799" t="s">
        <v>80</v>
      </c>
      <c r="C195" s="798"/>
      <c r="D195" s="798"/>
      <c r="E195" s="794">
        <f>NC_DKDD!H952</f>
        <v>0</v>
      </c>
      <c r="F195" s="794"/>
      <c r="G195" s="795"/>
      <c r="H195" s="794"/>
      <c r="I195" s="794"/>
      <c r="J195" s="794"/>
      <c r="K195" s="794"/>
      <c r="L195" s="794"/>
      <c r="M195" s="794"/>
      <c r="N195" s="794"/>
      <c r="O195" s="794">
        <f t="shared" si="24"/>
        <v>0</v>
      </c>
      <c r="P195" s="782">
        <f t="shared" si="25"/>
        <v>0</v>
      </c>
      <c r="Q195" s="782">
        <f t="shared" si="26"/>
        <v>0</v>
      </c>
      <c r="R195" s="812">
        <f>NC_DKDD!G952</f>
        <v>0</v>
      </c>
      <c r="S195" s="420"/>
    </row>
    <row r="196" spans="1:19" s="421" customFormat="1" ht="23.25" customHeight="1">
      <c r="A196" s="798" t="s">
        <v>663</v>
      </c>
      <c r="B196" s="799" t="s">
        <v>82</v>
      </c>
      <c r="C196" s="798" t="s">
        <v>559</v>
      </c>
      <c r="D196" s="792" t="s">
        <v>723</v>
      </c>
      <c r="E196" s="794" t="e">
        <f>NC_DKDD!H953</f>
        <v>#VALUE!</v>
      </c>
      <c r="F196" s="794"/>
      <c r="G196" s="795"/>
      <c r="H196" s="794"/>
      <c r="I196" s="794"/>
      <c r="J196" s="794"/>
      <c r="K196" s="794"/>
      <c r="L196" s="794"/>
      <c r="M196" s="794"/>
      <c r="N196" s="794"/>
      <c r="O196" s="794">
        <f t="shared" si="24"/>
        <v>614.80769230769238</v>
      </c>
      <c r="P196" s="782">
        <f t="shared" si="25"/>
        <v>534.61538461538464</v>
      </c>
      <c r="Q196" s="782">
        <f t="shared" si="26"/>
        <v>80.192307692307693</v>
      </c>
      <c r="R196" s="812">
        <f>NC_DKDD!G953</f>
        <v>0.1</v>
      </c>
      <c r="S196" s="420"/>
    </row>
    <row r="197" spans="1:19" s="421" customFormat="1" ht="23.25" customHeight="1">
      <c r="A197" s="798" t="s">
        <v>664</v>
      </c>
      <c r="B197" s="799" t="s">
        <v>84</v>
      </c>
      <c r="C197" s="798" t="s">
        <v>559</v>
      </c>
      <c r="D197" s="792" t="s">
        <v>723</v>
      </c>
      <c r="E197" s="794" t="e">
        <f>NC_DKDD!H954</f>
        <v>#VALUE!</v>
      </c>
      <c r="F197" s="794"/>
      <c r="G197" s="795"/>
      <c r="H197" s="794"/>
      <c r="I197" s="794"/>
      <c r="J197" s="794"/>
      <c r="K197" s="794"/>
      <c r="L197" s="794"/>
      <c r="M197" s="794"/>
      <c r="N197" s="794"/>
      <c r="O197" s="794">
        <f t="shared" si="24"/>
        <v>1229.6153846153848</v>
      </c>
      <c r="P197" s="782">
        <f t="shared" si="25"/>
        <v>1069.2307692307693</v>
      </c>
      <c r="Q197" s="782">
        <f t="shared" si="26"/>
        <v>160.38461538461539</v>
      </c>
      <c r="R197" s="812">
        <f>NC_DKDD!G954</f>
        <v>0.2</v>
      </c>
      <c r="S197" s="420"/>
    </row>
    <row r="198" spans="1:19" s="421" customFormat="1" ht="35.25" customHeight="1">
      <c r="A198" s="798" t="s">
        <v>409</v>
      </c>
      <c r="B198" s="799" t="s">
        <v>410</v>
      </c>
      <c r="C198" s="798" t="s">
        <v>559</v>
      </c>
      <c r="D198" s="792" t="s">
        <v>723</v>
      </c>
      <c r="E198" s="794" t="e">
        <f>NC_DKDD!H955</f>
        <v>#VALUE!</v>
      </c>
      <c r="F198" s="794"/>
      <c r="G198" s="795"/>
      <c r="H198" s="794"/>
      <c r="I198" s="794"/>
      <c r="J198" s="794"/>
      <c r="K198" s="794"/>
      <c r="L198" s="794"/>
      <c r="M198" s="794"/>
      <c r="N198" s="794"/>
      <c r="O198" s="794">
        <f t="shared" si="24"/>
        <v>614.80769230769238</v>
      </c>
      <c r="P198" s="782">
        <f t="shared" si="25"/>
        <v>534.61538461538464</v>
      </c>
      <c r="Q198" s="782">
        <f t="shared" si="26"/>
        <v>80.192307692307693</v>
      </c>
      <c r="R198" s="812">
        <f>NC_DKDD!G955</f>
        <v>0.1</v>
      </c>
      <c r="S198" s="420"/>
    </row>
    <row r="199" spans="1:19" s="421" customFormat="1" ht="35.25" customHeight="1">
      <c r="A199" s="798">
        <v>10</v>
      </c>
      <c r="B199" s="799" t="s">
        <v>411</v>
      </c>
      <c r="C199" s="798" t="s">
        <v>532</v>
      </c>
      <c r="D199" s="792" t="s">
        <v>723</v>
      </c>
      <c r="E199" s="794" t="e">
        <f>NC_DKDD!H956</f>
        <v>#VALUE!</v>
      </c>
      <c r="F199" s="794"/>
      <c r="G199" s="795"/>
      <c r="H199" s="794"/>
      <c r="I199" s="794"/>
      <c r="J199" s="794"/>
      <c r="K199" s="794"/>
      <c r="L199" s="794"/>
      <c r="M199" s="794"/>
      <c r="N199" s="794"/>
      <c r="O199" s="794">
        <f t="shared" si="24"/>
        <v>3197</v>
      </c>
      <c r="P199" s="782">
        <f t="shared" si="25"/>
        <v>2780</v>
      </c>
      <c r="Q199" s="782">
        <f t="shared" si="26"/>
        <v>417</v>
      </c>
      <c r="R199" s="812">
        <f>NC_DKDD!G956</f>
        <v>0.52</v>
      </c>
      <c r="S199" s="420"/>
    </row>
    <row r="200" spans="1:19" s="421" customFormat="1" ht="57">
      <c r="A200" s="798">
        <v>11</v>
      </c>
      <c r="B200" s="799" t="s">
        <v>813</v>
      </c>
      <c r="C200" s="798" t="s">
        <v>532</v>
      </c>
      <c r="D200" s="792" t="s">
        <v>723</v>
      </c>
      <c r="E200" s="794" t="e">
        <f>NC_DKDD!H957</f>
        <v>#VALUE!</v>
      </c>
      <c r="F200" s="794"/>
      <c r="G200" s="795"/>
      <c r="H200" s="794"/>
      <c r="I200" s="794"/>
      <c r="J200" s="794"/>
      <c r="K200" s="794"/>
      <c r="L200" s="794"/>
      <c r="M200" s="794"/>
      <c r="N200" s="794"/>
      <c r="O200" s="794">
        <f t="shared" si="24"/>
        <v>2729.7461538461539</v>
      </c>
      <c r="P200" s="782">
        <f t="shared" si="25"/>
        <v>2373.6923076923076</v>
      </c>
      <c r="Q200" s="782">
        <f t="shared" si="26"/>
        <v>356.05384615384617</v>
      </c>
      <c r="R200" s="812">
        <f>NC_DKDD!G957</f>
        <v>0.44400000000000001</v>
      </c>
      <c r="S200" s="420"/>
    </row>
    <row r="201" spans="1:19" s="421" customFormat="1" ht="23.25" customHeight="1">
      <c r="A201" s="798">
        <v>12</v>
      </c>
      <c r="B201" s="799" t="s">
        <v>87</v>
      </c>
      <c r="C201" s="798" t="s">
        <v>375</v>
      </c>
      <c r="D201" s="792" t="s">
        <v>723</v>
      </c>
      <c r="E201" s="794" t="e">
        <f>NC_DKDD!H958</f>
        <v>#VALUE!</v>
      </c>
      <c r="F201" s="794"/>
      <c r="G201" s="795"/>
      <c r="H201" s="794"/>
      <c r="I201" s="794"/>
      <c r="J201" s="794"/>
      <c r="K201" s="794"/>
      <c r="L201" s="794"/>
      <c r="M201" s="794"/>
      <c r="N201" s="794"/>
      <c r="O201" s="794">
        <f t="shared" si="24"/>
        <v>202.88653846153844</v>
      </c>
      <c r="P201" s="782">
        <f t="shared" si="25"/>
        <v>176.42307692307691</v>
      </c>
      <c r="Q201" s="782">
        <f t="shared" si="26"/>
        <v>26.463461538461541</v>
      </c>
      <c r="R201" s="812">
        <f>NC_DKDD!G958</f>
        <v>3.3000000000000002E-2</v>
      </c>
      <c r="S201" s="420"/>
    </row>
    <row r="202" spans="1:19" s="421" customFormat="1" ht="19.5" customHeight="1">
      <c r="A202" s="798">
        <v>13</v>
      </c>
      <c r="B202" s="799" t="s">
        <v>88</v>
      </c>
      <c r="C202" s="798"/>
      <c r="D202" s="798"/>
      <c r="E202" s="794">
        <f>NC_DKDD!H959</f>
        <v>0</v>
      </c>
      <c r="F202" s="794"/>
      <c r="G202" s="795"/>
      <c r="H202" s="794"/>
      <c r="I202" s="794"/>
      <c r="J202" s="794"/>
      <c r="K202" s="794"/>
      <c r="L202" s="794"/>
      <c r="M202" s="794"/>
      <c r="N202" s="794"/>
      <c r="O202" s="794">
        <f t="shared" si="24"/>
        <v>0</v>
      </c>
      <c r="P202" s="782">
        <f t="shared" si="25"/>
        <v>0</v>
      </c>
      <c r="Q202" s="782">
        <f t="shared" si="26"/>
        <v>0</v>
      </c>
      <c r="R202" s="812">
        <f>NC_DKDD!G959</f>
        <v>0</v>
      </c>
      <c r="S202" s="420"/>
    </row>
    <row r="203" spans="1:19" s="421" customFormat="1" ht="28.5">
      <c r="A203" s="798" t="s">
        <v>110</v>
      </c>
      <c r="B203" s="799" t="s">
        <v>775</v>
      </c>
      <c r="C203" s="798"/>
      <c r="D203" s="798"/>
      <c r="E203" s="794">
        <f>NC_DKDD!H960</f>
        <v>0</v>
      </c>
      <c r="F203" s="794"/>
      <c r="G203" s="795"/>
      <c r="H203" s="794"/>
      <c r="I203" s="794"/>
      <c r="J203" s="794"/>
      <c r="K203" s="794"/>
      <c r="L203" s="794"/>
      <c r="M203" s="794"/>
      <c r="N203" s="794"/>
      <c r="O203" s="794">
        <f t="shared" si="24"/>
        <v>0</v>
      </c>
      <c r="P203" s="782">
        <f t="shared" si="25"/>
        <v>0</v>
      </c>
      <c r="Q203" s="782">
        <f t="shared" si="26"/>
        <v>0</v>
      </c>
      <c r="R203" s="812">
        <f>NC_DKDD!G960</f>
        <v>0</v>
      </c>
      <c r="S203" s="420"/>
    </row>
    <row r="204" spans="1:19" s="421" customFormat="1" ht="22.5" customHeight="1">
      <c r="A204" s="798" t="s">
        <v>111</v>
      </c>
      <c r="B204" s="799" t="s">
        <v>777</v>
      </c>
      <c r="C204" s="798" t="s">
        <v>377</v>
      </c>
      <c r="D204" s="792" t="s">
        <v>723</v>
      </c>
      <c r="E204" s="794" t="e">
        <f>NC_DKDD!H961</f>
        <v>#VALUE!</v>
      </c>
      <c r="F204" s="794"/>
      <c r="G204" s="795"/>
      <c r="H204" s="794"/>
      <c r="I204" s="794"/>
      <c r="J204" s="794"/>
      <c r="K204" s="794"/>
      <c r="L204" s="794"/>
      <c r="M204" s="794"/>
      <c r="N204" s="794"/>
      <c r="O204" s="794">
        <f t="shared" si="24"/>
        <v>122.96153846153845</v>
      </c>
      <c r="P204" s="782">
        <f t="shared" si="25"/>
        <v>106.92307692307692</v>
      </c>
      <c r="Q204" s="782">
        <f t="shared" si="26"/>
        <v>16.03846153846154</v>
      </c>
      <c r="R204" s="812">
        <f>NC_DKDD!G961</f>
        <v>0.02</v>
      </c>
      <c r="S204" s="420"/>
    </row>
    <row r="205" spans="1:19" s="421" customFormat="1" ht="22.5" customHeight="1">
      <c r="A205" s="798" t="s">
        <v>112</v>
      </c>
      <c r="B205" s="799" t="s">
        <v>781</v>
      </c>
      <c r="C205" s="798" t="s">
        <v>377</v>
      </c>
      <c r="D205" s="792" t="s">
        <v>723</v>
      </c>
      <c r="E205" s="794" t="e">
        <f>NC_DKDD!H962</f>
        <v>#VALUE!</v>
      </c>
      <c r="F205" s="794"/>
      <c r="G205" s="795"/>
      <c r="H205" s="794"/>
      <c r="I205" s="794"/>
      <c r="J205" s="794"/>
      <c r="K205" s="794"/>
      <c r="L205" s="794"/>
      <c r="M205" s="794"/>
      <c r="N205" s="794"/>
      <c r="O205" s="794">
        <f t="shared" si="24"/>
        <v>61.480769230769226</v>
      </c>
      <c r="P205" s="782">
        <f t="shared" si="25"/>
        <v>53.46153846153846</v>
      </c>
      <c r="Q205" s="782">
        <f t="shared" si="26"/>
        <v>8.0192307692307701</v>
      </c>
      <c r="R205" s="812">
        <f>NC_DKDD!G962</f>
        <v>0.01</v>
      </c>
      <c r="S205" s="420"/>
    </row>
    <row r="206" spans="1:19" s="421" customFormat="1" ht="31.5" customHeight="1">
      <c r="A206" s="798" t="s">
        <v>113</v>
      </c>
      <c r="B206" s="799" t="s">
        <v>861</v>
      </c>
      <c r="C206" s="798" t="s">
        <v>377</v>
      </c>
      <c r="D206" s="792" t="s">
        <v>723</v>
      </c>
      <c r="E206" s="794" t="e">
        <f>NC_DKDD!H963</f>
        <v>#VALUE!</v>
      </c>
      <c r="F206" s="794"/>
      <c r="G206" s="795"/>
      <c r="H206" s="794"/>
      <c r="I206" s="794"/>
      <c r="J206" s="794"/>
      <c r="K206" s="794"/>
      <c r="L206" s="794"/>
      <c r="M206" s="794"/>
      <c r="N206" s="794"/>
      <c r="O206" s="794">
        <f t="shared" si="24"/>
        <v>30.740384615384613</v>
      </c>
      <c r="P206" s="782">
        <f t="shared" si="25"/>
        <v>26.73076923076923</v>
      </c>
      <c r="Q206" s="782">
        <f t="shared" si="26"/>
        <v>4.009615384615385</v>
      </c>
      <c r="R206" s="812">
        <f>NC_DKDD!G963</f>
        <v>5.0000000000000001E-3</v>
      </c>
      <c r="S206" s="420"/>
    </row>
    <row r="207" spans="1:19" s="421" customFormat="1" ht="24" customHeight="1">
      <c r="A207" s="798" t="s">
        <v>114</v>
      </c>
      <c r="B207" s="799" t="s">
        <v>863</v>
      </c>
      <c r="C207" s="798" t="s">
        <v>375</v>
      </c>
      <c r="D207" s="792" t="s">
        <v>723</v>
      </c>
      <c r="E207" s="794" t="e">
        <f>NC_DKDD!H964</f>
        <v>#VALUE!</v>
      </c>
      <c r="F207" s="794"/>
      <c r="G207" s="795"/>
      <c r="H207" s="794"/>
      <c r="I207" s="794"/>
      <c r="J207" s="794"/>
      <c r="K207" s="794"/>
      <c r="L207" s="794"/>
      <c r="M207" s="794"/>
      <c r="N207" s="794"/>
      <c r="O207" s="794">
        <f t="shared" si="24"/>
        <v>61.480769230769226</v>
      </c>
      <c r="P207" s="782">
        <f t="shared" si="25"/>
        <v>53.46153846153846</v>
      </c>
      <c r="Q207" s="782">
        <f t="shared" si="26"/>
        <v>8.0192307692307701</v>
      </c>
      <c r="R207" s="812">
        <f>NC_DKDD!G964</f>
        <v>0.01</v>
      </c>
      <c r="S207" s="420"/>
    </row>
    <row r="208" spans="1:19" s="421" customFormat="1" ht="24" customHeight="1">
      <c r="A208" s="791" t="s">
        <v>1005</v>
      </c>
      <c r="B208" s="787" t="s">
        <v>378</v>
      </c>
      <c r="C208" s="798"/>
      <c r="D208" s="798"/>
      <c r="E208" s="793" t="e">
        <f>E209</f>
        <v>#VALUE!</v>
      </c>
      <c r="F208" s="794"/>
      <c r="G208" s="795"/>
      <c r="H208" s="794">
        <f>'Dcu-DKDD'!$L$309</f>
        <v>0</v>
      </c>
      <c r="I208" s="794">
        <f>'VL-DKDD'!$J$312</f>
        <v>0</v>
      </c>
      <c r="J208" s="794">
        <f>'TB-DKDD'!$M$176</f>
        <v>0</v>
      </c>
      <c r="K208" s="794"/>
      <c r="L208" s="796" t="e">
        <f>SUM(E208:K208)</f>
        <v>#VALUE!</v>
      </c>
      <c r="M208" s="796" t="e">
        <f>L208*'He so chung'!$D$17/100</f>
        <v>#VALUE!</v>
      </c>
      <c r="N208" s="796" t="e">
        <f>L208+M208</f>
        <v>#VALUE!</v>
      </c>
      <c r="O208" s="793">
        <f>O209</f>
        <v>3197</v>
      </c>
      <c r="P208" s="782">
        <f t="shared" si="25"/>
        <v>0</v>
      </c>
      <c r="Q208" s="782">
        <f t="shared" si="26"/>
        <v>0</v>
      </c>
      <c r="R208" s="812">
        <f>NC_DKDD!G965</f>
        <v>0</v>
      </c>
      <c r="S208" s="420"/>
    </row>
    <row r="209" spans="1:19" s="421" customFormat="1" ht="24" customHeight="1">
      <c r="A209" s="798">
        <v>1</v>
      </c>
      <c r="B209" s="799" t="s">
        <v>814</v>
      </c>
      <c r="C209" s="798" t="s">
        <v>532</v>
      </c>
      <c r="D209" s="792" t="s">
        <v>723</v>
      </c>
      <c r="E209" s="794" t="e">
        <f>NC_DKDD!H966</f>
        <v>#VALUE!</v>
      </c>
      <c r="F209" s="794"/>
      <c r="G209" s="795"/>
      <c r="H209" s="794"/>
      <c r="I209" s="794"/>
      <c r="J209" s="794"/>
      <c r="K209" s="794"/>
      <c r="L209" s="794"/>
      <c r="M209" s="794"/>
      <c r="N209" s="794"/>
      <c r="O209" s="794">
        <f>P209+Q209</f>
        <v>3197</v>
      </c>
      <c r="P209" s="782">
        <f t="shared" si="25"/>
        <v>2780</v>
      </c>
      <c r="Q209" s="782">
        <f t="shared" si="26"/>
        <v>417</v>
      </c>
      <c r="R209" s="812">
        <f>NC_DKDD!G966</f>
        <v>0.52</v>
      </c>
      <c r="S209" s="420"/>
    </row>
    <row r="210" spans="1:19" s="421" customFormat="1" ht="24" customHeight="1">
      <c r="A210" s="791" t="s">
        <v>755</v>
      </c>
      <c r="B210" s="787" t="s">
        <v>909</v>
      </c>
      <c r="C210" s="798"/>
      <c r="D210" s="798"/>
      <c r="E210" s="793" t="e">
        <f>E211</f>
        <v>#VALUE!</v>
      </c>
      <c r="F210" s="794"/>
      <c r="G210" s="795"/>
      <c r="H210" s="794">
        <f>'Dcu-DKDD'!$H$309*1.3</f>
        <v>2369.7989874999998</v>
      </c>
      <c r="I210" s="794">
        <f>'VL-DKDD'!$F$312</f>
        <v>3100.68</v>
      </c>
      <c r="J210" s="794">
        <f>'TB-DKDD'!$I$176*1.3</f>
        <v>175.08399999999997</v>
      </c>
      <c r="K210" s="794">
        <f>'NL-DKDD'!$F$120*1.3</f>
        <v>381.81780000000003</v>
      </c>
      <c r="L210" s="796" t="e">
        <f>SUM(E210:K210)</f>
        <v>#VALUE!</v>
      </c>
      <c r="M210" s="796" t="e">
        <f>L210*'He so chung'!$D$17/100</f>
        <v>#VALUE!</v>
      </c>
      <c r="N210" s="796" t="e">
        <f>L210+M210</f>
        <v>#VALUE!</v>
      </c>
      <c r="O210" s="793">
        <f>O211</f>
        <v>799.25</v>
      </c>
      <c r="P210" s="782">
        <f t="shared" si="25"/>
        <v>0</v>
      </c>
      <c r="Q210" s="782">
        <f t="shared" si="26"/>
        <v>0</v>
      </c>
      <c r="R210" s="812">
        <f>NC_DKDD!G967</f>
        <v>0</v>
      </c>
      <c r="S210" s="420"/>
    </row>
    <row r="211" spans="1:19" s="421" customFormat="1" ht="24" customHeight="1">
      <c r="A211" s="798">
        <v>1</v>
      </c>
      <c r="B211" s="799" t="s">
        <v>815</v>
      </c>
      <c r="C211" s="798" t="s">
        <v>532</v>
      </c>
      <c r="D211" s="792" t="s">
        <v>723</v>
      </c>
      <c r="E211" s="794" t="e">
        <f>NC_DKDD!H968</f>
        <v>#VALUE!</v>
      </c>
      <c r="F211" s="794"/>
      <c r="G211" s="795"/>
      <c r="H211" s="794"/>
      <c r="I211" s="794"/>
      <c r="J211" s="794"/>
      <c r="K211" s="794"/>
      <c r="L211" s="794"/>
      <c r="M211" s="794"/>
      <c r="N211" s="794"/>
      <c r="O211" s="794">
        <f>P211+Q211</f>
        <v>799.25</v>
      </c>
      <c r="P211" s="782">
        <f t="shared" si="25"/>
        <v>695</v>
      </c>
      <c r="Q211" s="782">
        <f t="shared" si="26"/>
        <v>104.25</v>
      </c>
      <c r="R211" s="812">
        <f>NC_DKDD!G968</f>
        <v>0.13</v>
      </c>
      <c r="S211" s="420"/>
    </row>
    <row r="212" spans="1:19" s="421" customFormat="1" ht="19.5" customHeight="1">
      <c r="A212" s="414"/>
      <c r="B212" s="802" t="s">
        <v>533</v>
      </c>
      <c r="C212" s="439"/>
      <c r="D212" s="437"/>
      <c r="E212" s="803"/>
      <c r="F212" s="803"/>
      <c r="G212" s="804"/>
      <c r="H212" s="803"/>
      <c r="I212" s="803"/>
      <c r="J212" s="805"/>
      <c r="K212" s="805"/>
      <c r="L212" s="805"/>
      <c r="M212" s="419"/>
      <c r="N212" s="419"/>
      <c r="O212" s="442"/>
      <c r="P212" s="420"/>
      <c r="Q212" s="420"/>
      <c r="R212" s="820"/>
      <c r="S212" s="420"/>
    </row>
    <row r="213" spans="1:19" s="421" customFormat="1" ht="19.5" customHeight="1">
      <c r="A213" s="414"/>
      <c r="B213" s="1073" t="s">
        <v>833</v>
      </c>
      <c r="C213" s="1073"/>
      <c r="D213" s="1073"/>
      <c r="E213" s="1073"/>
      <c r="F213" s="1073"/>
      <c r="G213" s="1073"/>
      <c r="H213" s="1073"/>
      <c r="I213" s="1073"/>
      <c r="J213" s="1073"/>
      <c r="K213" s="1073"/>
      <c r="L213" s="1073"/>
      <c r="M213" s="1073"/>
      <c r="N213" s="1073"/>
      <c r="O213" s="1073"/>
      <c r="P213" s="420"/>
      <c r="Q213" s="420"/>
      <c r="R213" s="820"/>
      <c r="S213" s="420"/>
    </row>
    <row r="214" spans="1:19" s="421" customFormat="1" ht="19.5" customHeight="1">
      <c r="A214" s="414"/>
      <c r="B214" s="445"/>
      <c r="C214" s="445"/>
      <c r="D214" s="445"/>
      <c r="E214" s="445"/>
      <c r="F214" s="445"/>
      <c r="G214" s="445"/>
      <c r="H214" s="445"/>
      <c r="I214" s="445"/>
      <c r="J214" s="445"/>
      <c r="K214" s="445"/>
      <c r="L214" s="445"/>
      <c r="M214" s="445"/>
      <c r="N214" s="445"/>
      <c r="O214" s="445"/>
      <c r="P214" s="420"/>
      <c r="Q214" s="420"/>
      <c r="R214" s="820"/>
      <c r="S214" s="420"/>
    </row>
    <row r="215" spans="1:19" s="421" customFormat="1" ht="19.5" customHeight="1">
      <c r="A215" s="1070" t="s">
        <v>519</v>
      </c>
      <c r="B215" s="1070"/>
      <c r="C215" s="1070"/>
      <c r="D215" s="1070"/>
      <c r="E215" s="1070"/>
      <c r="F215" s="1070"/>
      <c r="G215" s="1070"/>
      <c r="H215" s="1070"/>
      <c r="I215" s="1070"/>
      <c r="J215" s="1070"/>
      <c r="K215" s="1070"/>
      <c r="L215" s="1070"/>
      <c r="M215" s="1070"/>
      <c r="N215" s="1070"/>
      <c r="O215" s="1070"/>
      <c r="P215" s="409"/>
      <c r="Q215" s="409" t="s">
        <v>328</v>
      </c>
      <c r="R215" s="806"/>
      <c r="S215" s="420"/>
    </row>
    <row r="216" spans="1:19" s="421" customFormat="1" ht="19.5" customHeight="1">
      <c r="A216" s="807"/>
      <c r="B216" s="807"/>
      <c r="C216" s="807"/>
      <c r="D216" s="807"/>
      <c r="E216" s="807"/>
      <c r="F216" s="807"/>
      <c r="G216" s="807"/>
      <c r="H216" s="807"/>
      <c r="I216" s="807"/>
      <c r="J216" s="807"/>
      <c r="K216" s="807"/>
      <c r="L216" s="781" t="s">
        <v>262</v>
      </c>
      <c r="M216" s="807"/>
      <c r="N216" s="807"/>
      <c r="O216" s="807"/>
      <c r="P216" s="409"/>
      <c r="Q216" s="409"/>
      <c r="R216" s="806"/>
      <c r="S216" s="420"/>
    </row>
    <row r="217" spans="1:19" s="421" customFormat="1" ht="19.5" customHeight="1">
      <c r="A217" s="1068" t="s">
        <v>718</v>
      </c>
      <c r="B217" s="1068" t="s">
        <v>198</v>
      </c>
      <c r="C217" s="1071" t="s">
        <v>263</v>
      </c>
      <c r="D217" s="1071" t="s">
        <v>264</v>
      </c>
      <c r="E217" s="1071" t="s">
        <v>683</v>
      </c>
      <c r="F217" s="1071"/>
      <c r="G217" s="1071"/>
      <c r="H217" s="1071"/>
      <c r="I217" s="1071"/>
      <c r="J217" s="1071"/>
      <c r="K217" s="1071"/>
      <c r="L217" s="1071"/>
      <c r="M217" s="1071" t="s">
        <v>435</v>
      </c>
      <c r="N217" s="1071" t="s">
        <v>68</v>
      </c>
      <c r="O217" s="1071" t="s">
        <v>67</v>
      </c>
      <c r="P217" s="782"/>
      <c r="Q217" s="782"/>
      <c r="R217" s="420"/>
      <c r="S217" s="420"/>
    </row>
    <row r="218" spans="1:19" s="421" customFormat="1" ht="19.5" customHeight="1">
      <c r="A218" s="1068"/>
      <c r="B218" s="1068"/>
      <c r="C218" s="1071"/>
      <c r="D218" s="1071"/>
      <c r="E218" s="783" t="s">
        <v>686</v>
      </c>
      <c r="F218" s="783" t="s">
        <v>687</v>
      </c>
      <c r="G218" s="784" t="s">
        <v>285</v>
      </c>
      <c r="H218" s="783" t="s">
        <v>499</v>
      </c>
      <c r="I218" s="783" t="s">
        <v>688</v>
      </c>
      <c r="J218" s="783" t="s">
        <v>531</v>
      </c>
      <c r="K218" s="783" t="s">
        <v>689</v>
      </c>
      <c r="L218" s="783" t="s">
        <v>690</v>
      </c>
      <c r="M218" s="1071"/>
      <c r="N218" s="1071"/>
      <c r="O218" s="1071"/>
      <c r="P218" s="782"/>
      <c r="Q218" s="782"/>
      <c r="R218" s="420"/>
      <c r="S218" s="420"/>
    </row>
    <row r="219" spans="1:19" s="421" customFormat="1" ht="45">
      <c r="A219" s="785"/>
      <c r="B219" s="786" t="s">
        <v>520</v>
      </c>
      <c r="C219" s="783"/>
      <c r="D219" s="783"/>
      <c r="E219" s="783"/>
      <c r="F219" s="783"/>
      <c r="G219" s="784"/>
      <c r="H219" s="783"/>
      <c r="I219" s="783"/>
      <c r="J219" s="783"/>
      <c r="K219" s="783"/>
      <c r="L219" s="783"/>
      <c r="M219" s="783"/>
      <c r="N219" s="783"/>
      <c r="O219" s="783"/>
      <c r="P219" s="782"/>
      <c r="Q219" s="782"/>
      <c r="R219" s="420"/>
      <c r="S219" s="420"/>
    </row>
    <row r="220" spans="1:19" s="421" customFormat="1" ht="19.5" customHeight="1">
      <c r="A220" s="785"/>
      <c r="B220" s="787" t="s">
        <v>668</v>
      </c>
      <c r="C220" s="783" t="s">
        <v>532</v>
      </c>
      <c r="D220" s="785" t="s">
        <v>723</v>
      </c>
      <c r="E220" s="788" t="e">
        <f>E224+E251+E253</f>
        <v>#VALUE!</v>
      </c>
      <c r="F220" s="788">
        <f t="shared" ref="F220:O220" si="27">F224+F251+F253</f>
        <v>0</v>
      </c>
      <c r="G220" s="788">
        <f t="shared" si="27"/>
        <v>0</v>
      </c>
      <c r="H220" s="788">
        <f t="shared" si="27"/>
        <v>15091.1908</v>
      </c>
      <c r="I220" s="788">
        <f t="shared" si="27"/>
        <v>26923.86</v>
      </c>
      <c r="J220" s="788">
        <f t="shared" si="27"/>
        <v>8538.4520000000011</v>
      </c>
      <c r="K220" s="788">
        <f t="shared" si="27"/>
        <v>16846.447800000002</v>
      </c>
      <c r="L220" s="788" t="e">
        <f t="shared" si="27"/>
        <v>#VALUE!</v>
      </c>
      <c r="M220" s="788" t="e">
        <f t="shared" si="27"/>
        <v>#VALUE!</v>
      </c>
      <c r="N220" s="788" t="e">
        <f t="shared" si="27"/>
        <v>#VALUE!</v>
      </c>
      <c r="O220" s="788">
        <f t="shared" si="27"/>
        <v>32922.951923076922</v>
      </c>
      <c r="P220" s="782"/>
      <c r="Q220" s="782"/>
      <c r="R220" s="420"/>
      <c r="S220" s="420"/>
    </row>
    <row r="221" spans="1:19" s="421" customFormat="1" ht="19.5" customHeight="1">
      <c r="A221" s="785"/>
      <c r="B221" s="787" t="s">
        <v>669</v>
      </c>
      <c r="C221" s="783" t="s">
        <v>532</v>
      </c>
      <c r="D221" s="785" t="s">
        <v>723</v>
      </c>
      <c r="E221" s="788" t="e">
        <f>E225+E251+E253</f>
        <v>#VALUE!</v>
      </c>
      <c r="F221" s="788">
        <f t="shared" ref="F221:O221" si="28">F225+F251+F253</f>
        <v>0</v>
      </c>
      <c r="G221" s="788">
        <f t="shared" si="28"/>
        <v>0</v>
      </c>
      <c r="H221" s="788">
        <f t="shared" si="28"/>
        <v>15091.1908</v>
      </c>
      <c r="I221" s="788">
        <f t="shared" si="28"/>
        <v>26923.86</v>
      </c>
      <c r="J221" s="788">
        <f t="shared" si="28"/>
        <v>8538.4520000000011</v>
      </c>
      <c r="K221" s="788">
        <f t="shared" si="28"/>
        <v>16846.447800000002</v>
      </c>
      <c r="L221" s="788" t="e">
        <f t="shared" si="28"/>
        <v>#VALUE!</v>
      </c>
      <c r="M221" s="788" t="e">
        <f t="shared" si="28"/>
        <v>#VALUE!</v>
      </c>
      <c r="N221" s="788" t="e">
        <f t="shared" si="28"/>
        <v>#VALUE!</v>
      </c>
      <c r="O221" s="788">
        <f t="shared" si="28"/>
        <v>32523.326923076922</v>
      </c>
      <c r="P221" s="782"/>
      <c r="Q221" s="782"/>
      <c r="R221" s="420"/>
      <c r="S221" s="420"/>
    </row>
    <row r="222" spans="1:19" s="421" customFormat="1" ht="19.5" customHeight="1">
      <c r="A222" s="785"/>
      <c r="B222" s="789"/>
      <c r="C222" s="783"/>
      <c r="D222" s="783"/>
      <c r="E222" s="783"/>
      <c r="F222" s="783"/>
      <c r="G222" s="784"/>
      <c r="H222" s="783"/>
      <c r="I222" s="783"/>
      <c r="J222" s="783"/>
      <c r="K222" s="783"/>
      <c r="L222" s="783"/>
      <c r="M222" s="783"/>
      <c r="N222" s="783"/>
      <c r="O222" s="783"/>
      <c r="P222" s="790">
        <f>'He so chung'!D$22</f>
        <v>5346.1538461538457</v>
      </c>
      <c r="Q222" s="790">
        <f>'He so chung'!D$23</f>
        <v>801.92307692307691</v>
      </c>
      <c r="R222" s="689"/>
      <c r="S222" s="420"/>
    </row>
    <row r="223" spans="1:19" s="421" customFormat="1" ht="19.5" customHeight="1">
      <c r="A223" s="785" t="s">
        <v>1000</v>
      </c>
      <c r="B223" s="789" t="s">
        <v>582</v>
      </c>
      <c r="C223" s="783"/>
      <c r="D223" s="783"/>
      <c r="E223" s="783"/>
      <c r="F223" s="783"/>
      <c r="G223" s="784"/>
      <c r="H223" s="783"/>
      <c r="I223" s="783"/>
      <c r="J223" s="783"/>
      <c r="K223" s="783"/>
      <c r="L223" s="783"/>
      <c r="M223" s="783"/>
      <c r="N223" s="783"/>
      <c r="O223" s="783"/>
      <c r="P223" s="790"/>
      <c r="Q223" s="790"/>
      <c r="R223" s="689"/>
      <c r="S223" s="420"/>
    </row>
    <row r="224" spans="1:19" s="421" customFormat="1" ht="22.5" customHeight="1">
      <c r="A224" s="791" t="s">
        <v>1008</v>
      </c>
      <c r="B224" s="787" t="s">
        <v>668</v>
      </c>
      <c r="C224" s="783" t="s">
        <v>532</v>
      </c>
      <c r="D224" s="792" t="s">
        <v>723</v>
      </c>
      <c r="E224" s="793" t="e">
        <f>E227+E229+E230+E231+E232+E234+E236+E237+E239+E241+E242+E243+E244+E247+E248+E249+E250</f>
        <v>#VALUE!</v>
      </c>
      <c r="F224" s="794"/>
      <c r="G224" s="795"/>
      <c r="H224" s="794">
        <f>'Dcu-DKDD'!$J$338*1.3</f>
        <v>14094.32395</v>
      </c>
      <c r="I224" s="794">
        <f>'VL-DKDD'!$H$342</f>
        <v>25312.5</v>
      </c>
      <c r="J224" s="794">
        <f>'TB-DKDD'!$K$194*1.3</f>
        <v>8453.9260000000013</v>
      </c>
      <c r="K224" s="794">
        <f>'NL-DKDD'!$H$133*1.3</f>
        <v>16666.650000000001</v>
      </c>
      <c r="L224" s="796" t="e">
        <f>SUM(E224:K224)</f>
        <v>#VALUE!</v>
      </c>
      <c r="M224" s="796" t="e">
        <f>L224*'He so chung'!$D$17/100</f>
        <v>#VALUE!</v>
      </c>
      <c r="N224" s="796" t="e">
        <f>L224+M224</f>
        <v>#VALUE!</v>
      </c>
      <c r="O224" s="793">
        <f>O227+O229+O230+O231+O232+O234+O236+O237+O239+O241+O242+O243+O244+O247+O248+O249+O250</f>
        <v>28926.701923076922</v>
      </c>
      <c r="P224" s="782"/>
      <c r="Q224" s="782"/>
      <c r="R224" s="420"/>
      <c r="S224" s="420"/>
    </row>
    <row r="225" spans="1:19" s="421" customFormat="1" ht="22.5" customHeight="1">
      <c r="A225" s="791" t="s">
        <v>1009</v>
      </c>
      <c r="B225" s="787" t="s">
        <v>669</v>
      </c>
      <c r="C225" s="783" t="s">
        <v>532</v>
      </c>
      <c r="D225" s="792" t="s">
        <v>723</v>
      </c>
      <c r="E225" s="793" t="e">
        <f>E228+E229+E230+E231+E232+E234+E236+E237+E239+E241+E242+E243+E244+E247+E248+E249+E250</f>
        <v>#VALUE!</v>
      </c>
      <c r="F225" s="794"/>
      <c r="G225" s="795"/>
      <c r="H225" s="794">
        <f>'Dcu-DKDD'!$J$338*1.3</f>
        <v>14094.32395</v>
      </c>
      <c r="I225" s="794">
        <f>'VL-DKDD'!$H$342</f>
        <v>25312.5</v>
      </c>
      <c r="J225" s="794">
        <f>'TB-DKDD'!$K$194*1.3</f>
        <v>8453.9260000000013</v>
      </c>
      <c r="K225" s="794">
        <f>'NL-DKDD'!$H$133*1.3</f>
        <v>16666.650000000001</v>
      </c>
      <c r="L225" s="796" t="e">
        <f>SUM(E225:K225)</f>
        <v>#VALUE!</v>
      </c>
      <c r="M225" s="796" t="e">
        <f>L225*'He so chung'!$D$17/100</f>
        <v>#VALUE!</v>
      </c>
      <c r="N225" s="796" t="e">
        <f>L225+M225</f>
        <v>#VALUE!</v>
      </c>
      <c r="O225" s="793">
        <f>O228+O229+O230+O231+O232+O234+O236+O237+O239+O241+O242+O243+O244+O247+O248+O249+O250</f>
        <v>28527.076923076922</v>
      </c>
      <c r="P225" s="782"/>
      <c r="Q225" s="782"/>
      <c r="R225" s="420"/>
      <c r="S225" s="420"/>
    </row>
    <row r="226" spans="1:19" s="421" customFormat="1" ht="22.5" customHeight="1">
      <c r="A226" s="798">
        <v>1</v>
      </c>
      <c r="B226" s="799" t="s">
        <v>816</v>
      </c>
      <c r="C226" s="794"/>
      <c r="D226" s="800"/>
      <c r="E226" s="794"/>
      <c r="F226" s="794"/>
      <c r="G226" s="795"/>
      <c r="H226" s="794"/>
      <c r="I226" s="794"/>
      <c r="J226" s="794"/>
      <c r="K226" s="794"/>
      <c r="L226" s="794"/>
      <c r="M226" s="794"/>
      <c r="N226" s="794"/>
      <c r="O226" s="794">
        <f t="shared" ref="O226:O250" si="29">P226+Q226</f>
        <v>0</v>
      </c>
      <c r="P226" s="782"/>
      <c r="Q226" s="782"/>
      <c r="R226" s="420"/>
      <c r="S226" s="420"/>
    </row>
    <row r="227" spans="1:19" s="421" customFormat="1" ht="22.5" customHeight="1">
      <c r="A227" s="798" t="s">
        <v>733</v>
      </c>
      <c r="B227" s="799" t="s">
        <v>846</v>
      </c>
      <c r="C227" s="798" t="s">
        <v>532</v>
      </c>
      <c r="D227" s="792" t="s">
        <v>723</v>
      </c>
      <c r="E227" s="794" t="e">
        <f>NC_DKDD!H941</f>
        <v>#VALUE!</v>
      </c>
      <c r="F227" s="794"/>
      <c r="G227" s="795"/>
      <c r="H227" s="794"/>
      <c r="I227" s="794"/>
      <c r="J227" s="794"/>
      <c r="K227" s="794"/>
      <c r="L227" s="794"/>
      <c r="M227" s="794"/>
      <c r="N227" s="794"/>
      <c r="O227" s="794">
        <f t="shared" si="29"/>
        <v>1598.5</v>
      </c>
      <c r="P227" s="782">
        <f t="shared" ref="P227:P254" si="30">R227*P$9</f>
        <v>1390</v>
      </c>
      <c r="Q227" s="782">
        <f t="shared" ref="Q227:Q254" si="31">R227*Q$9</f>
        <v>208.5</v>
      </c>
      <c r="R227" s="813">
        <f>NC_DKDD!G941</f>
        <v>0.26</v>
      </c>
      <c r="S227" s="420"/>
    </row>
    <row r="228" spans="1:19" s="421" customFormat="1" ht="22.5" customHeight="1">
      <c r="A228" s="798" t="s">
        <v>741</v>
      </c>
      <c r="B228" s="799" t="s">
        <v>849</v>
      </c>
      <c r="C228" s="798" t="s">
        <v>532</v>
      </c>
      <c r="D228" s="792" t="s">
        <v>723</v>
      </c>
      <c r="E228" s="794" t="e">
        <f>NC_DKDD!H942</f>
        <v>#VALUE!</v>
      </c>
      <c r="F228" s="794"/>
      <c r="G228" s="795"/>
      <c r="H228" s="794"/>
      <c r="I228" s="794"/>
      <c r="J228" s="794"/>
      <c r="K228" s="794"/>
      <c r="L228" s="794"/>
      <c r="M228" s="794"/>
      <c r="N228" s="794"/>
      <c r="O228" s="794">
        <f t="shared" si="29"/>
        <v>1198.875</v>
      </c>
      <c r="P228" s="782">
        <f t="shared" si="30"/>
        <v>1042.5</v>
      </c>
      <c r="Q228" s="782">
        <f t="shared" si="31"/>
        <v>156.375</v>
      </c>
      <c r="R228" s="813">
        <f>NC_DKDD!G942</f>
        <v>0.19500000000000001</v>
      </c>
      <c r="S228" s="420"/>
    </row>
    <row r="229" spans="1:19" s="421" customFormat="1" ht="32.25" customHeight="1">
      <c r="A229" s="798">
        <v>2</v>
      </c>
      <c r="B229" s="799" t="s">
        <v>797</v>
      </c>
      <c r="C229" s="798" t="s">
        <v>532</v>
      </c>
      <c r="D229" s="792" t="s">
        <v>723</v>
      </c>
      <c r="E229" s="794" t="e">
        <f>NC_DKDD!H943</f>
        <v>#VALUE!</v>
      </c>
      <c r="F229" s="794"/>
      <c r="G229" s="795"/>
      <c r="H229" s="794"/>
      <c r="I229" s="794"/>
      <c r="J229" s="794"/>
      <c r="K229" s="794"/>
      <c r="L229" s="794"/>
      <c r="M229" s="794"/>
      <c r="N229" s="794"/>
      <c r="O229" s="794">
        <f t="shared" si="29"/>
        <v>1998.125</v>
      </c>
      <c r="P229" s="782">
        <f t="shared" si="30"/>
        <v>1737.5</v>
      </c>
      <c r="Q229" s="782">
        <f t="shared" si="31"/>
        <v>260.625</v>
      </c>
      <c r="R229" s="813">
        <f>NC_DKDD!G943</f>
        <v>0.32500000000000001</v>
      </c>
      <c r="S229" s="420"/>
    </row>
    <row r="230" spans="1:19" s="421" customFormat="1" ht="32.25" customHeight="1">
      <c r="A230" s="798">
        <v>3</v>
      </c>
      <c r="B230" s="799" t="s">
        <v>851</v>
      </c>
      <c r="C230" s="798" t="s">
        <v>375</v>
      </c>
      <c r="D230" s="792" t="s">
        <v>723</v>
      </c>
      <c r="E230" s="794" t="e">
        <f>NC_DKDD!H944</f>
        <v>#VALUE!</v>
      </c>
      <c r="F230" s="794"/>
      <c r="G230" s="795"/>
      <c r="H230" s="794"/>
      <c r="I230" s="794"/>
      <c r="J230" s="794"/>
      <c r="K230" s="794"/>
      <c r="L230" s="794"/>
      <c r="M230" s="794"/>
      <c r="N230" s="794"/>
      <c r="O230" s="794">
        <f t="shared" si="29"/>
        <v>1026.728846153846</v>
      </c>
      <c r="P230" s="782">
        <f t="shared" si="30"/>
        <v>892.80769230769226</v>
      </c>
      <c r="Q230" s="782">
        <f t="shared" si="31"/>
        <v>133.92115384615386</v>
      </c>
      <c r="R230" s="813">
        <f>NC_DKDD!G944</f>
        <v>0.16700000000000001</v>
      </c>
      <c r="S230" s="420"/>
    </row>
    <row r="231" spans="1:19" s="421" customFormat="1" ht="71.25">
      <c r="A231" s="798">
        <v>4</v>
      </c>
      <c r="B231" s="799" t="s">
        <v>700</v>
      </c>
      <c r="C231" s="798" t="s">
        <v>532</v>
      </c>
      <c r="D231" s="792" t="s">
        <v>723</v>
      </c>
      <c r="E231" s="794" t="e">
        <f>NC_DKDD!H945</f>
        <v>#VALUE!</v>
      </c>
      <c r="F231" s="794"/>
      <c r="G231" s="795"/>
      <c r="H231" s="794"/>
      <c r="I231" s="794"/>
      <c r="J231" s="794"/>
      <c r="K231" s="794"/>
      <c r="L231" s="794"/>
      <c r="M231" s="794"/>
      <c r="N231" s="794"/>
      <c r="O231" s="794">
        <f t="shared" si="29"/>
        <v>13279.846153846152</v>
      </c>
      <c r="P231" s="782">
        <f t="shared" si="30"/>
        <v>11547.692307692307</v>
      </c>
      <c r="Q231" s="782">
        <f t="shared" si="31"/>
        <v>1732.1538461538462</v>
      </c>
      <c r="R231" s="813">
        <f>NC_DKDD!G945</f>
        <v>2.16</v>
      </c>
      <c r="S231" s="420"/>
    </row>
    <row r="232" spans="1:19" s="421" customFormat="1" ht="29.25" customHeight="1">
      <c r="A232" s="798">
        <v>5</v>
      </c>
      <c r="B232" s="799" t="s">
        <v>2</v>
      </c>
      <c r="C232" s="798" t="s">
        <v>375</v>
      </c>
      <c r="D232" s="792" t="s">
        <v>723</v>
      </c>
      <c r="E232" s="794" t="e">
        <f>NC_DKDD!H946</f>
        <v>#VALUE!</v>
      </c>
      <c r="F232" s="794"/>
      <c r="G232" s="795"/>
      <c r="H232" s="794"/>
      <c r="I232" s="794"/>
      <c r="J232" s="794"/>
      <c r="K232" s="794"/>
      <c r="L232" s="794"/>
      <c r="M232" s="794"/>
      <c r="N232" s="794"/>
      <c r="O232" s="794">
        <f t="shared" si="29"/>
        <v>36.888461538461534</v>
      </c>
      <c r="P232" s="782">
        <f t="shared" si="30"/>
        <v>32.076923076923073</v>
      </c>
      <c r="Q232" s="782">
        <f t="shared" si="31"/>
        <v>4.8115384615384613</v>
      </c>
      <c r="R232" s="813">
        <f>NC_DKDD!G946</f>
        <v>6.0000000000000001E-3</v>
      </c>
      <c r="S232" s="420"/>
    </row>
    <row r="233" spans="1:19" s="421" customFormat="1" ht="42.75">
      <c r="A233" s="798">
        <v>6</v>
      </c>
      <c r="B233" s="799" t="s">
        <v>702</v>
      </c>
      <c r="C233" s="798"/>
      <c r="D233" s="798"/>
      <c r="E233" s="794">
        <f>NC_DKDD!H947</f>
        <v>0</v>
      </c>
      <c r="F233" s="794"/>
      <c r="G233" s="795"/>
      <c r="H233" s="794"/>
      <c r="I233" s="794"/>
      <c r="J233" s="794"/>
      <c r="K233" s="794"/>
      <c r="L233" s="794"/>
      <c r="M233" s="794"/>
      <c r="N233" s="794"/>
      <c r="O233" s="794">
        <f t="shared" si="29"/>
        <v>0</v>
      </c>
      <c r="P233" s="782">
        <f t="shared" si="30"/>
        <v>0</v>
      </c>
      <c r="Q233" s="782">
        <f t="shared" si="31"/>
        <v>0</v>
      </c>
      <c r="R233" s="813">
        <f>NC_DKDD!G947</f>
        <v>0</v>
      </c>
      <c r="S233" s="420"/>
    </row>
    <row r="234" spans="1:19" s="421" customFormat="1" ht="19.5" customHeight="1">
      <c r="A234" s="798" t="s">
        <v>661</v>
      </c>
      <c r="B234" s="799" t="s">
        <v>587</v>
      </c>
      <c r="C234" s="798" t="s">
        <v>532</v>
      </c>
      <c r="D234" s="792" t="s">
        <v>723</v>
      </c>
      <c r="E234" s="794" t="e">
        <f>NC_DKDD!H948</f>
        <v>#VALUE!</v>
      </c>
      <c r="F234" s="794"/>
      <c r="G234" s="795"/>
      <c r="H234" s="794"/>
      <c r="I234" s="794"/>
      <c r="J234" s="794"/>
      <c r="K234" s="794"/>
      <c r="L234" s="794"/>
      <c r="M234" s="794"/>
      <c r="N234" s="794"/>
      <c r="O234" s="794">
        <f t="shared" si="29"/>
        <v>307.40384615384619</v>
      </c>
      <c r="P234" s="782">
        <f t="shared" si="30"/>
        <v>267.30769230769232</v>
      </c>
      <c r="Q234" s="782">
        <f t="shared" si="31"/>
        <v>40.096153846153847</v>
      </c>
      <c r="R234" s="813">
        <f>NC_DKDD!G948</f>
        <v>0.05</v>
      </c>
      <c r="S234" s="420"/>
    </row>
    <row r="235" spans="1:19" s="421" customFormat="1" ht="19.5" customHeight="1">
      <c r="A235" s="798" t="s">
        <v>662</v>
      </c>
      <c r="B235" s="799" t="s">
        <v>588</v>
      </c>
      <c r="C235" s="798" t="s">
        <v>532</v>
      </c>
      <c r="D235" s="792" t="s">
        <v>723</v>
      </c>
      <c r="E235" s="794" t="e">
        <f>NC_DKDD!H949</f>
        <v>#VALUE!</v>
      </c>
      <c r="F235" s="794"/>
      <c r="G235" s="795"/>
      <c r="H235" s="794"/>
      <c r="I235" s="794"/>
      <c r="J235" s="794"/>
      <c r="K235" s="794"/>
      <c r="L235" s="794"/>
      <c r="M235" s="794"/>
      <c r="N235" s="794"/>
      <c r="O235" s="794">
        <f t="shared" si="29"/>
        <v>614.80769230769238</v>
      </c>
      <c r="P235" s="782">
        <f t="shared" si="30"/>
        <v>534.61538461538464</v>
      </c>
      <c r="Q235" s="782">
        <f t="shared" si="31"/>
        <v>80.192307692307693</v>
      </c>
      <c r="R235" s="813">
        <f>NC_DKDD!G949</f>
        <v>0.1</v>
      </c>
      <c r="S235" s="420"/>
    </row>
    <row r="236" spans="1:19" s="421" customFormat="1" ht="28.5">
      <c r="A236" s="798">
        <v>7</v>
      </c>
      <c r="B236" s="799" t="s">
        <v>408</v>
      </c>
      <c r="C236" s="798" t="s">
        <v>532</v>
      </c>
      <c r="D236" s="792" t="s">
        <v>723</v>
      </c>
      <c r="E236" s="794" t="e">
        <f>NC_DKDD!H950</f>
        <v>#VALUE!</v>
      </c>
      <c r="F236" s="794"/>
      <c r="G236" s="795"/>
      <c r="H236" s="794"/>
      <c r="I236" s="794"/>
      <c r="J236" s="794"/>
      <c r="K236" s="794"/>
      <c r="L236" s="794"/>
      <c r="M236" s="794"/>
      <c r="N236" s="794"/>
      <c r="O236" s="794">
        <f t="shared" si="29"/>
        <v>1598.5</v>
      </c>
      <c r="P236" s="782">
        <f t="shared" si="30"/>
        <v>1390</v>
      </c>
      <c r="Q236" s="782">
        <f t="shared" si="31"/>
        <v>208.5</v>
      </c>
      <c r="R236" s="813">
        <f>NC_DKDD!G950</f>
        <v>0.26</v>
      </c>
      <c r="S236" s="420"/>
    </row>
    <row r="237" spans="1:19" s="421" customFormat="1" ht="23.25" customHeight="1">
      <c r="A237" s="798">
        <v>8</v>
      </c>
      <c r="B237" s="799" t="s">
        <v>78</v>
      </c>
      <c r="C237" s="798" t="s">
        <v>375</v>
      </c>
      <c r="D237" s="792" t="s">
        <v>723</v>
      </c>
      <c r="E237" s="794" t="e">
        <f>NC_DKDD!H951</f>
        <v>#VALUE!</v>
      </c>
      <c r="F237" s="794"/>
      <c r="G237" s="795"/>
      <c r="H237" s="794"/>
      <c r="I237" s="794"/>
      <c r="J237" s="794"/>
      <c r="K237" s="794"/>
      <c r="L237" s="794"/>
      <c r="M237" s="794"/>
      <c r="N237" s="794"/>
      <c r="O237" s="794">
        <f t="shared" si="29"/>
        <v>1444.7980769230767</v>
      </c>
      <c r="P237" s="782">
        <f t="shared" si="30"/>
        <v>1256.3461538461536</v>
      </c>
      <c r="Q237" s="782">
        <f t="shared" si="31"/>
        <v>188.45192307692307</v>
      </c>
      <c r="R237" s="813">
        <f>NC_DKDD!G951</f>
        <v>0.23499999999999999</v>
      </c>
      <c r="S237" s="420"/>
    </row>
    <row r="238" spans="1:19" s="421" customFormat="1" ht="23.25" customHeight="1">
      <c r="A238" s="798">
        <v>9</v>
      </c>
      <c r="B238" s="799" t="s">
        <v>80</v>
      </c>
      <c r="C238" s="798"/>
      <c r="D238" s="798"/>
      <c r="E238" s="794">
        <f>NC_DKDD!H952</f>
        <v>0</v>
      </c>
      <c r="F238" s="794"/>
      <c r="G238" s="795"/>
      <c r="H238" s="794"/>
      <c r="I238" s="794"/>
      <c r="J238" s="794"/>
      <c r="K238" s="794"/>
      <c r="L238" s="794"/>
      <c r="M238" s="794"/>
      <c r="N238" s="794"/>
      <c r="O238" s="794">
        <f t="shared" si="29"/>
        <v>0</v>
      </c>
      <c r="P238" s="782">
        <f t="shared" si="30"/>
        <v>0</v>
      </c>
      <c r="Q238" s="782">
        <f t="shared" si="31"/>
        <v>0</v>
      </c>
      <c r="R238" s="813">
        <f>NC_DKDD!G952</f>
        <v>0</v>
      </c>
      <c r="S238" s="420"/>
    </row>
    <row r="239" spans="1:19" s="421" customFormat="1" ht="23.25" customHeight="1">
      <c r="A239" s="798" t="s">
        <v>663</v>
      </c>
      <c r="B239" s="799" t="s">
        <v>82</v>
      </c>
      <c r="C239" s="798" t="s">
        <v>559</v>
      </c>
      <c r="D239" s="792" t="s">
        <v>723</v>
      </c>
      <c r="E239" s="794" t="e">
        <f>NC_DKDD!H953</f>
        <v>#VALUE!</v>
      </c>
      <c r="F239" s="794"/>
      <c r="G239" s="795"/>
      <c r="H239" s="794"/>
      <c r="I239" s="794"/>
      <c r="J239" s="794"/>
      <c r="K239" s="794"/>
      <c r="L239" s="794"/>
      <c r="M239" s="794"/>
      <c r="N239" s="794"/>
      <c r="O239" s="794">
        <f t="shared" si="29"/>
        <v>614.80769230769238</v>
      </c>
      <c r="P239" s="782">
        <f t="shared" si="30"/>
        <v>534.61538461538464</v>
      </c>
      <c r="Q239" s="782">
        <f t="shared" si="31"/>
        <v>80.192307692307693</v>
      </c>
      <c r="R239" s="813">
        <f>NC_DKDD!G953</f>
        <v>0.1</v>
      </c>
      <c r="S239" s="420"/>
    </row>
    <row r="240" spans="1:19" s="421" customFormat="1" ht="19.5" customHeight="1">
      <c r="A240" s="798" t="s">
        <v>664</v>
      </c>
      <c r="B240" s="799" t="s">
        <v>84</v>
      </c>
      <c r="C240" s="798" t="s">
        <v>559</v>
      </c>
      <c r="D240" s="792" t="s">
        <v>723</v>
      </c>
      <c r="E240" s="794" t="e">
        <f>NC_DKDD!H954</f>
        <v>#VALUE!</v>
      </c>
      <c r="F240" s="794"/>
      <c r="G240" s="795"/>
      <c r="H240" s="794"/>
      <c r="I240" s="794"/>
      <c r="J240" s="794"/>
      <c r="K240" s="794"/>
      <c r="L240" s="794"/>
      <c r="M240" s="794"/>
      <c r="N240" s="794"/>
      <c r="O240" s="794">
        <f t="shared" si="29"/>
        <v>1229.6153846153848</v>
      </c>
      <c r="P240" s="782">
        <f t="shared" si="30"/>
        <v>1069.2307692307693</v>
      </c>
      <c r="Q240" s="782">
        <f t="shared" si="31"/>
        <v>160.38461538461539</v>
      </c>
      <c r="R240" s="813">
        <f>NC_DKDD!G954</f>
        <v>0.2</v>
      </c>
      <c r="S240" s="420"/>
    </row>
    <row r="241" spans="1:19" s="421" customFormat="1" ht="28.5">
      <c r="A241" s="798" t="s">
        <v>409</v>
      </c>
      <c r="B241" s="799" t="s">
        <v>410</v>
      </c>
      <c r="C241" s="798" t="s">
        <v>559</v>
      </c>
      <c r="D241" s="792" t="s">
        <v>723</v>
      </c>
      <c r="E241" s="794" t="e">
        <f>NC_DKDD!H955</f>
        <v>#VALUE!</v>
      </c>
      <c r="F241" s="794"/>
      <c r="G241" s="795"/>
      <c r="H241" s="794"/>
      <c r="I241" s="794"/>
      <c r="J241" s="794"/>
      <c r="K241" s="794"/>
      <c r="L241" s="794"/>
      <c r="M241" s="794"/>
      <c r="N241" s="794"/>
      <c r="O241" s="794">
        <f t="shared" si="29"/>
        <v>614.80769230769238</v>
      </c>
      <c r="P241" s="782">
        <f t="shared" si="30"/>
        <v>534.61538461538464</v>
      </c>
      <c r="Q241" s="782">
        <f t="shared" si="31"/>
        <v>80.192307692307693</v>
      </c>
      <c r="R241" s="813">
        <f>NC_DKDD!G955</f>
        <v>0.1</v>
      </c>
      <c r="S241" s="420"/>
    </row>
    <row r="242" spans="1:19" s="421" customFormat="1" ht="31.5" customHeight="1">
      <c r="A242" s="798">
        <v>10</v>
      </c>
      <c r="B242" s="799" t="s">
        <v>411</v>
      </c>
      <c r="C242" s="798" t="s">
        <v>532</v>
      </c>
      <c r="D242" s="792" t="s">
        <v>723</v>
      </c>
      <c r="E242" s="794" t="e">
        <f>NC_DKDD!H956</f>
        <v>#VALUE!</v>
      </c>
      <c r="F242" s="794"/>
      <c r="G242" s="795"/>
      <c r="H242" s="794"/>
      <c r="I242" s="794"/>
      <c r="J242" s="794"/>
      <c r="K242" s="794"/>
      <c r="L242" s="794"/>
      <c r="M242" s="794"/>
      <c r="N242" s="794"/>
      <c r="O242" s="794">
        <f t="shared" si="29"/>
        <v>3197</v>
      </c>
      <c r="P242" s="782">
        <f t="shared" si="30"/>
        <v>2780</v>
      </c>
      <c r="Q242" s="782">
        <f t="shared" si="31"/>
        <v>417</v>
      </c>
      <c r="R242" s="813">
        <f>NC_DKDD!G956</f>
        <v>0.52</v>
      </c>
      <c r="S242" s="420"/>
    </row>
    <row r="243" spans="1:19" s="421" customFormat="1" ht="57">
      <c r="A243" s="798">
        <v>11</v>
      </c>
      <c r="B243" s="799" t="s">
        <v>813</v>
      </c>
      <c r="C243" s="798" t="s">
        <v>532</v>
      </c>
      <c r="D243" s="792" t="s">
        <v>723</v>
      </c>
      <c r="E243" s="794" t="e">
        <f>NC_DKDD!H957</f>
        <v>#VALUE!</v>
      </c>
      <c r="F243" s="794"/>
      <c r="G243" s="795"/>
      <c r="H243" s="794"/>
      <c r="I243" s="794"/>
      <c r="J243" s="794"/>
      <c r="K243" s="794"/>
      <c r="L243" s="794"/>
      <c r="M243" s="794"/>
      <c r="N243" s="794"/>
      <c r="O243" s="794">
        <f t="shared" si="29"/>
        <v>2729.7461538461539</v>
      </c>
      <c r="P243" s="782">
        <f t="shared" si="30"/>
        <v>2373.6923076923076</v>
      </c>
      <c r="Q243" s="782">
        <f t="shared" si="31"/>
        <v>356.05384615384617</v>
      </c>
      <c r="R243" s="813">
        <f>NC_DKDD!G957</f>
        <v>0.44400000000000001</v>
      </c>
      <c r="S243" s="420"/>
    </row>
    <row r="244" spans="1:19" s="421" customFormat="1" ht="19.5" customHeight="1">
      <c r="A244" s="798">
        <v>12</v>
      </c>
      <c r="B244" s="799" t="s">
        <v>87</v>
      </c>
      <c r="C244" s="798" t="s">
        <v>375</v>
      </c>
      <c r="D244" s="792" t="s">
        <v>723</v>
      </c>
      <c r="E244" s="794" t="e">
        <f>NC_DKDD!H958</f>
        <v>#VALUE!</v>
      </c>
      <c r="F244" s="794"/>
      <c r="G244" s="795"/>
      <c r="H244" s="794"/>
      <c r="I244" s="794"/>
      <c r="J244" s="794"/>
      <c r="K244" s="794"/>
      <c r="L244" s="794"/>
      <c r="M244" s="794"/>
      <c r="N244" s="794"/>
      <c r="O244" s="794">
        <f t="shared" si="29"/>
        <v>202.88653846153844</v>
      </c>
      <c r="P244" s="782">
        <f t="shared" si="30"/>
        <v>176.42307692307691</v>
      </c>
      <c r="Q244" s="782">
        <f t="shared" si="31"/>
        <v>26.463461538461541</v>
      </c>
      <c r="R244" s="813">
        <f>NC_DKDD!G958</f>
        <v>3.3000000000000002E-2</v>
      </c>
      <c r="S244" s="420"/>
    </row>
    <row r="245" spans="1:19" s="421" customFormat="1" ht="19.5" customHeight="1">
      <c r="A245" s="798">
        <v>13</v>
      </c>
      <c r="B245" s="799" t="s">
        <v>88</v>
      </c>
      <c r="C245" s="798"/>
      <c r="D245" s="798"/>
      <c r="E245" s="794">
        <f>NC_DKDD!H959</f>
        <v>0</v>
      </c>
      <c r="F245" s="794"/>
      <c r="G245" s="795"/>
      <c r="H245" s="794"/>
      <c r="I245" s="794"/>
      <c r="J245" s="794"/>
      <c r="K245" s="794"/>
      <c r="L245" s="794"/>
      <c r="M245" s="794"/>
      <c r="N245" s="794"/>
      <c r="O245" s="794">
        <f t="shared" si="29"/>
        <v>0</v>
      </c>
      <c r="P245" s="782">
        <f t="shared" si="30"/>
        <v>0</v>
      </c>
      <c r="Q245" s="782">
        <f t="shared" si="31"/>
        <v>0</v>
      </c>
      <c r="R245" s="813">
        <f>NC_DKDD!G959</f>
        <v>0</v>
      </c>
      <c r="S245" s="420"/>
    </row>
    <row r="246" spans="1:19" s="421" customFormat="1" ht="28.5">
      <c r="A246" s="798" t="s">
        <v>110</v>
      </c>
      <c r="B246" s="799" t="s">
        <v>775</v>
      </c>
      <c r="C246" s="798"/>
      <c r="D246" s="798"/>
      <c r="E246" s="794">
        <f>NC_DKDD!H960</f>
        <v>0</v>
      </c>
      <c r="F246" s="794"/>
      <c r="G246" s="795"/>
      <c r="H246" s="794"/>
      <c r="I246" s="794"/>
      <c r="J246" s="794"/>
      <c r="K246" s="794"/>
      <c r="L246" s="794"/>
      <c r="M246" s="794"/>
      <c r="N246" s="794"/>
      <c r="O246" s="794">
        <f t="shared" si="29"/>
        <v>0</v>
      </c>
      <c r="P246" s="782">
        <f t="shared" si="30"/>
        <v>0</v>
      </c>
      <c r="Q246" s="782">
        <f t="shared" si="31"/>
        <v>0</v>
      </c>
      <c r="R246" s="813">
        <f>NC_DKDD!G960</f>
        <v>0</v>
      </c>
      <c r="S246" s="420"/>
    </row>
    <row r="247" spans="1:19" s="421" customFormat="1" ht="19.5" customHeight="1">
      <c r="A247" s="798" t="s">
        <v>111</v>
      </c>
      <c r="B247" s="799" t="s">
        <v>777</v>
      </c>
      <c r="C247" s="798" t="s">
        <v>377</v>
      </c>
      <c r="D247" s="792" t="s">
        <v>723</v>
      </c>
      <c r="E247" s="794" t="e">
        <f>NC_DKDD!H961</f>
        <v>#VALUE!</v>
      </c>
      <c r="F247" s="794"/>
      <c r="G247" s="795"/>
      <c r="H247" s="794"/>
      <c r="I247" s="794"/>
      <c r="J247" s="794"/>
      <c r="K247" s="794"/>
      <c r="L247" s="794"/>
      <c r="M247" s="794"/>
      <c r="N247" s="794"/>
      <c r="O247" s="794">
        <f t="shared" si="29"/>
        <v>122.96153846153845</v>
      </c>
      <c r="P247" s="782">
        <f t="shared" si="30"/>
        <v>106.92307692307692</v>
      </c>
      <c r="Q247" s="782">
        <f t="shared" si="31"/>
        <v>16.03846153846154</v>
      </c>
      <c r="R247" s="813">
        <f>NC_DKDD!G961</f>
        <v>0.02</v>
      </c>
      <c r="S247" s="420"/>
    </row>
    <row r="248" spans="1:19" s="421" customFormat="1" ht="19.5" customHeight="1">
      <c r="A248" s="798" t="s">
        <v>112</v>
      </c>
      <c r="B248" s="799" t="s">
        <v>781</v>
      </c>
      <c r="C248" s="798" t="s">
        <v>377</v>
      </c>
      <c r="D248" s="792" t="s">
        <v>723</v>
      </c>
      <c r="E248" s="794" t="e">
        <f>NC_DKDD!H962</f>
        <v>#VALUE!</v>
      </c>
      <c r="F248" s="794"/>
      <c r="G248" s="795"/>
      <c r="H248" s="794"/>
      <c r="I248" s="794"/>
      <c r="J248" s="794"/>
      <c r="K248" s="794"/>
      <c r="L248" s="794"/>
      <c r="M248" s="794"/>
      <c r="N248" s="794"/>
      <c r="O248" s="794">
        <f t="shared" si="29"/>
        <v>61.480769230769226</v>
      </c>
      <c r="P248" s="782">
        <f t="shared" si="30"/>
        <v>53.46153846153846</v>
      </c>
      <c r="Q248" s="782">
        <f t="shared" si="31"/>
        <v>8.0192307692307701</v>
      </c>
      <c r="R248" s="813">
        <f>NC_DKDD!G962</f>
        <v>0.01</v>
      </c>
      <c r="S248" s="420"/>
    </row>
    <row r="249" spans="1:19" s="421" customFormat="1" ht="28.5">
      <c r="A249" s="798" t="s">
        <v>113</v>
      </c>
      <c r="B249" s="799" t="s">
        <v>861</v>
      </c>
      <c r="C249" s="798" t="s">
        <v>377</v>
      </c>
      <c r="D249" s="792" t="s">
        <v>723</v>
      </c>
      <c r="E249" s="794" t="e">
        <f>NC_DKDD!H963</f>
        <v>#VALUE!</v>
      </c>
      <c r="F249" s="794"/>
      <c r="G249" s="795"/>
      <c r="H249" s="794"/>
      <c r="I249" s="794"/>
      <c r="J249" s="794"/>
      <c r="K249" s="794"/>
      <c r="L249" s="794"/>
      <c r="M249" s="794"/>
      <c r="N249" s="794"/>
      <c r="O249" s="794">
        <f t="shared" si="29"/>
        <v>30.740384615384613</v>
      </c>
      <c r="P249" s="782">
        <f t="shared" si="30"/>
        <v>26.73076923076923</v>
      </c>
      <c r="Q249" s="782">
        <f t="shared" si="31"/>
        <v>4.009615384615385</v>
      </c>
      <c r="R249" s="813">
        <f>NC_DKDD!G963</f>
        <v>5.0000000000000001E-3</v>
      </c>
      <c r="S249" s="420"/>
    </row>
    <row r="250" spans="1:19" s="421" customFormat="1" ht="24.75" customHeight="1">
      <c r="A250" s="798" t="s">
        <v>114</v>
      </c>
      <c r="B250" s="799" t="s">
        <v>863</v>
      </c>
      <c r="C250" s="798" t="s">
        <v>375</v>
      </c>
      <c r="D250" s="792" t="s">
        <v>723</v>
      </c>
      <c r="E250" s="794" t="e">
        <f>NC_DKDD!H964</f>
        <v>#VALUE!</v>
      </c>
      <c r="F250" s="794"/>
      <c r="G250" s="795"/>
      <c r="H250" s="794"/>
      <c r="I250" s="794"/>
      <c r="J250" s="794"/>
      <c r="K250" s="794"/>
      <c r="L250" s="794"/>
      <c r="M250" s="794"/>
      <c r="N250" s="794"/>
      <c r="O250" s="794">
        <f t="shared" si="29"/>
        <v>61.480769230769226</v>
      </c>
      <c r="P250" s="782">
        <f t="shared" si="30"/>
        <v>53.46153846153846</v>
      </c>
      <c r="Q250" s="782">
        <f t="shared" si="31"/>
        <v>8.0192307692307701</v>
      </c>
      <c r="R250" s="813">
        <f>NC_DKDD!G964</f>
        <v>0.01</v>
      </c>
      <c r="S250" s="420"/>
    </row>
    <row r="251" spans="1:19" s="421" customFormat="1" ht="24.75" customHeight="1">
      <c r="A251" s="791" t="s">
        <v>1005</v>
      </c>
      <c r="B251" s="787" t="s">
        <v>378</v>
      </c>
      <c r="C251" s="798"/>
      <c r="D251" s="798"/>
      <c r="E251" s="793" t="e">
        <f>E252</f>
        <v>#VALUE!</v>
      </c>
      <c r="F251" s="794"/>
      <c r="G251" s="795"/>
      <c r="H251" s="794">
        <f>'Dcu-DKDD'!$L$338</f>
        <v>0</v>
      </c>
      <c r="I251" s="794">
        <f>'VL-DKDD'!$J$342</f>
        <v>0</v>
      </c>
      <c r="J251" s="794">
        <f>'TB-DKDD'!$M$194</f>
        <v>0</v>
      </c>
      <c r="K251" s="794"/>
      <c r="L251" s="796" t="e">
        <f>SUM(E251:K251)</f>
        <v>#VALUE!</v>
      </c>
      <c r="M251" s="796" t="e">
        <f>L251*'He so chung'!$D$17/100</f>
        <v>#VALUE!</v>
      </c>
      <c r="N251" s="796" t="e">
        <f>L251+M251</f>
        <v>#VALUE!</v>
      </c>
      <c r="O251" s="793">
        <f>O252</f>
        <v>3197</v>
      </c>
      <c r="P251" s="782">
        <f t="shared" si="30"/>
        <v>0</v>
      </c>
      <c r="Q251" s="782">
        <f t="shared" si="31"/>
        <v>0</v>
      </c>
      <c r="R251" s="813">
        <f>NC_DKDD!G965</f>
        <v>0</v>
      </c>
      <c r="S251" s="420"/>
    </row>
    <row r="252" spans="1:19" s="421" customFormat="1" ht="24.75" customHeight="1">
      <c r="A252" s="798">
        <v>1</v>
      </c>
      <c r="B252" s="799" t="s">
        <v>814</v>
      </c>
      <c r="C252" s="798" t="s">
        <v>532</v>
      </c>
      <c r="D252" s="792" t="s">
        <v>723</v>
      </c>
      <c r="E252" s="794" t="e">
        <f>NC_DKDD!H966</f>
        <v>#VALUE!</v>
      </c>
      <c r="F252" s="794"/>
      <c r="G252" s="795"/>
      <c r="H252" s="794"/>
      <c r="I252" s="794"/>
      <c r="J252" s="794"/>
      <c r="K252" s="794"/>
      <c r="L252" s="794"/>
      <c r="M252" s="794"/>
      <c r="N252" s="794"/>
      <c r="O252" s="794">
        <f>P252+Q252</f>
        <v>3197</v>
      </c>
      <c r="P252" s="782">
        <f t="shared" si="30"/>
        <v>2780</v>
      </c>
      <c r="Q252" s="782">
        <f t="shared" si="31"/>
        <v>417</v>
      </c>
      <c r="R252" s="813">
        <f>NC_DKDD!G966</f>
        <v>0.52</v>
      </c>
      <c r="S252" s="420"/>
    </row>
    <row r="253" spans="1:19" s="421" customFormat="1" ht="24.75" customHeight="1">
      <c r="A253" s="791" t="s">
        <v>755</v>
      </c>
      <c r="B253" s="787" t="s">
        <v>909</v>
      </c>
      <c r="C253" s="798"/>
      <c r="D253" s="798"/>
      <c r="E253" s="793" t="e">
        <f>E254</f>
        <v>#VALUE!</v>
      </c>
      <c r="F253" s="794"/>
      <c r="G253" s="795"/>
      <c r="H253" s="794">
        <f>'Dcu-DKDD'!$H$338*1.3</f>
        <v>996.86684999999989</v>
      </c>
      <c r="I253" s="794">
        <f>'VL-DKDD'!$F$342</f>
        <v>1611.36</v>
      </c>
      <c r="J253" s="794">
        <f>'TB-DKDD'!$I$194*1.3</f>
        <v>84.525999999999996</v>
      </c>
      <c r="K253" s="794">
        <f>'NL-DKDD'!$F$133*1.3</f>
        <v>179.7978</v>
      </c>
      <c r="L253" s="796" t="e">
        <f>SUM(E253:K253)</f>
        <v>#VALUE!</v>
      </c>
      <c r="M253" s="796" t="e">
        <f>L253*'He so chung'!$D$17/100</f>
        <v>#VALUE!</v>
      </c>
      <c r="N253" s="796" t="e">
        <f>L253+M253</f>
        <v>#VALUE!</v>
      </c>
      <c r="O253" s="793">
        <f>O254</f>
        <v>799.25</v>
      </c>
      <c r="P253" s="782">
        <f t="shared" si="30"/>
        <v>0</v>
      </c>
      <c r="Q253" s="782">
        <f t="shared" si="31"/>
        <v>0</v>
      </c>
      <c r="R253" s="813">
        <f>NC_DKDD!G967</f>
        <v>0</v>
      </c>
      <c r="S253" s="420"/>
    </row>
    <row r="254" spans="1:19" s="421" customFormat="1" ht="24.75" customHeight="1">
      <c r="A254" s="798">
        <v>1</v>
      </c>
      <c r="B254" s="799" t="s">
        <v>815</v>
      </c>
      <c r="C254" s="798" t="s">
        <v>532</v>
      </c>
      <c r="D254" s="792" t="s">
        <v>723</v>
      </c>
      <c r="E254" s="794" t="e">
        <f>NC_DKDD!H968</f>
        <v>#VALUE!</v>
      </c>
      <c r="F254" s="794"/>
      <c r="G254" s="795"/>
      <c r="H254" s="794"/>
      <c r="I254" s="794"/>
      <c r="J254" s="794"/>
      <c r="K254" s="794"/>
      <c r="L254" s="794"/>
      <c r="M254" s="794"/>
      <c r="N254" s="794"/>
      <c r="O254" s="794">
        <f>P254+Q254</f>
        <v>799.25</v>
      </c>
      <c r="P254" s="782">
        <f t="shared" si="30"/>
        <v>695</v>
      </c>
      <c r="Q254" s="782">
        <f t="shared" si="31"/>
        <v>104.25</v>
      </c>
      <c r="R254" s="813">
        <f>NC_DKDD!G968</f>
        <v>0.13</v>
      </c>
      <c r="S254" s="420"/>
    </row>
    <row r="255" spans="1:19" s="421" customFormat="1" ht="19.5" customHeight="1">
      <c r="A255" s="455"/>
      <c r="B255" s="1073" t="s">
        <v>854</v>
      </c>
      <c r="C255" s="1073"/>
      <c r="D255" s="1073"/>
      <c r="E255" s="1073"/>
      <c r="F255" s="1073"/>
      <c r="G255" s="1073"/>
      <c r="H255" s="1073"/>
      <c r="I255" s="1073"/>
      <c r="J255" s="1073"/>
      <c r="K255" s="1073"/>
      <c r="L255" s="1073"/>
      <c r="M255" s="1073"/>
      <c r="N255" s="1073"/>
      <c r="O255" s="1073"/>
      <c r="P255" s="420"/>
      <c r="Q255" s="420"/>
      <c r="R255" s="806"/>
      <c r="S255" s="420"/>
    </row>
    <row r="256" spans="1:19" ht="42" customHeight="1">
      <c r="A256" s="1070" t="s">
        <v>297</v>
      </c>
      <c r="B256" s="1070"/>
      <c r="C256" s="1070"/>
      <c r="D256" s="1070"/>
      <c r="E256" s="1070"/>
      <c r="F256" s="1070"/>
      <c r="G256" s="1070"/>
      <c r="H256" s="1070"/>
      <c r="I256" s="1070"/>
      <c r="J256" s="1070"/>
      <c r="K256" s="1070"/>
      <c r="L256" s="1070"/>
      <c r="M256" s="1070"/>
      <c r="N256" s="1070"/>
      <c r="O256" s="1070"/>
      <c r="R256" s="806"/>
    </row>
    <row r="257" spans="1:19" s="421" customFormat="1" ht="19.5" customHeight="1">
      <c r="A257" s="414"/>
      <c r="B257" s="415"/>
      <c r="C257" s="776"/>
      <c r="D257" s="777" t="s">
        <v>430</v>
      </c>
      <c r="E257" s="419"/>
      <c r="F257" s="778"/>
      <c r="G257" s="779"/>
      <c r="H257" s="778"/>
      <c r="I257" s="780"/>
      <c r="J257" s="778"/>
      <c r="K257" s="778"/>
      <c r="L257" s="781" t="s">
        <v>262</v>
      </c>
      <c r="M257" s="778"/>
      <c r="N257" s="780"/>
      <c r="O257" s="419"/>
      <c r="P257" s="420"/>
      <c r="Q257" s="420"/>
      <c r="R257" s="820"/>
      <c r="S257" s="420"/>
    </row>
    <row r="258" spans="1:19" s="421" customFormat="1" ht="7.5" customHeight="1">
      <c r="A258" s="414"/>
      <c r="B258" s="415"/>
      <c r="C258" s="776"/>
      <c r="D258" s="821"/>
      <c r="E258" s="419"/>
      <c r="F258" s="419"/>
      <c r="G258" s="822"/>
      <c r="H258" s="419"/>
      <c r="I258" s="419"/>
      <c r="J258" s="419"/>
      <c r="K258" s="419"/>
      <c r="L258" s="419"/>
      <c r="M258" s="419"/>
      <c r="N258" s="419"/>
      <c r="O258" s="419"/>
      <c r="P258" s="420"/>
      <c r="Q258" s="420"/>
      <c r="R258" s="820"/>
      <c r="S258" s="420"/>
    </row>
    <row r="259" spans="1:19" s="824" customFormat="1" ht="34.15" customHeight="1">
      <c r="A259" s="1068" t="s">
        <v>718</v>
      </c>
      <c r="B259" s="1068" t="s">
        <v>198</v>
      </c>
      <c r="C259" s="1071" t="s">
        <v>263</v>
      </c>
      <c r="D259" s="1071" t="s">
        <v>264</v>
      </c>
      <c r="E259" s="1071" t="s">
        <v>718</v>
      </c>
      <c r="F259" s="1071"/>
      <c r="G259" s="1071"/>
      <c r="H259" s="1071"/>
      <c r="I259" s="1071"/>
      <c r="J259" s="1071"/>
      <c r="K259" s="1071"/>
      <c r="L259" s="1071"/>
      <c r="M259" s="1071" t="s">
        <v>435</v>
      </c>
      <c r="N259" s="1071" t="s">
        <v>68</v>
      </c>
      <c r="O259" s="1071" t="s">
        <v>67</v>
      </c>
      <c r="P259" s="815"/>
      <c r="Q259" s="815"/>
      <c r="R259" s="823"/>
      <c r="S259" s="816"/>
    </row>
    <row r="260" spans="1:19" s="824" customFormat="1" ht="40.15" customHeight="1">
      <c r="A260" s="1068"/>
      <c r="B260" s="1068"/>
      <c r="C260" s="1071"/>
      <c r="D260" s="1071"/>
      <c r="E260" s="783" t="s">
        <v>686</v>
      </c>
      <c r="F260" s="783" t="s">
        <v>687</v>
      </c>
      <c r="G260" s="784" t="s">
        <v>285</v>
      </c>
      <c r="H260" s="783" t="s">
        <v>499</v>
      </c>
      <c r="I260" s="783" t="s">
        <v>688</v>
      </c>
      <c r="J260" s="783" t="s">
        <v>531</v>
      </c>
      <c r="K260" s="783" t="s">
        <v>689</v>
      </c>
      <c r="L260" s="783" t="s">
        <v>690</v>
      </c>
      <c r="M260" s="1071"/>
      <c r="N260" s="1071"/>
      <c r="O260" s="1071"/>
      <c r="P260" s="815"/>
      <c r="Q260" s="815"/>
      <c r="R260" s="823"/>
      <c r="S260" s="816"/>
    </row>
    <row r="261" spans="1:19" s="824" customFormat="1" ht="22.5" customHeight="1">
      <c r="A261" s="785"/>
      <c r="B261" s="785" t="s">
        <v>748</v>
      </c>
      <c r="C261" s="783"/>
      <c r="D261" s="783"/>
      <c r="E261" s="783"/>
      <c r="F261" s="783"/>
      <c r="G261" s="784"/>
      <c r="H261" s="783"/>
      <c r="I261" s="783"/>
      <c r="J261" s="783"/>
      <c r="K261" s="783"/>
      <c r="L261" s="783"/>
      <c r="M261" s="783"/>
      <c r="N261" s="783"/>
      <c r="O261" s="783"/>
      <c r="P261" s="815"/>
      <c r="Q261" s="815"/>
      <c r="R261" s="823"/>
      <c r="S261" s="816"/>
    </row>
    <row r="262" spans="1:19" s="824" customFormat="1" ht="22.5" customHeight="1">
      <c r="A262" s="785"/>
      <c r="B262" s="787" t="s">
        <v>668</v>
      </c>
      <c r="C262" s="783" t="s">
        <v>532</v>
      </c>
      <c r="D262" s="785" t="s">
        <v>723</v>
      </c>
      <c r="E262" s="788" t="e">
        <f>E266+E293+E295</f>
        <v>#VALUE!</v>
      </c>
      <c r="F262" s="788">
        <f t="shared" ref="F262:O262" si="32">F266+F293+F295</f>
        <v>0</v>
      </c>
      <c r="G262" s="788">
        <f t="shared" si="32"/>
        <v>0</v>
      </c>
      <c r="H262" s="788">
        <f t="shared" si="32"/>
        <v>15311.343956730771</v>
      </c>
      <c r="I262" s="788">
        <f t="shared" si="32"/>
        <v>24075.468000000001</v>
      </c>
      <c r="J262" s="788">
        <f t="shared" si="32"/>
        <v>9608.4799999999977</v>
      </c>
      <c r="K262" s="788">
        <f t="shared" si="32"/>
        <v>18643.338</v>
      </c>
      <c r="L262" s="788" t="e">
        <f t="shared" si="32"/>
        <v>#VALUE!</v>
      </c>
      <c r="M262" s="788" t="e">
        <f t="shared" si="32"/>
        <v>#VALUE!</v>
      </c>
      <c r="N262" s="788" t="e">
        <f t="shared" si="32"/>
        <v>#VALUE!</v>
      </c>
      <c r="O262" s="788">
        <f t="shared" si="32"/>
        <v>39556.726923076923</v>
      </c>
      <c r="P262" s="815"/>
      <c r="Q262" s="815"/>
      <c r="R262" s="823"/>
      <c r="S262" s="816"/>
    </row>
    <row r="263" spans="1:19" s="824" customFormat="1" ht="22.5" customHeight="1">
      <c r="A263" s="785"/>
      <c r="B263" s="787" t="s">
        <v>669</v>
      </c>
      <c r="C263" s="783" t="s">
        <v>532</v>
      </c>
      <c r="D263" s="785" t="s">
        <v>723</v>
      </c>
      <c r="E263" s="788" t="e">
        <f>E267+E293+E295</f>
        <v>#VALUE!</v>
      </c>
      <c r="F263" s="788">
        <f t="shared" ref="F263:N263" si="33">F267+F293+F295</f>
        <v>0</v>
      </c>
      <c r="G263" s="788">
        <f t="shared" si="33"/>
        <v>0</v>
      </c>
      <c r="H263" s="788">
        <f t="shared" si="33"/>
        <v>15311.343956730771</v>
      </c>
      <c r="I263" s="788">
        <f t="shared" si="33"/>
        <v>24075.468000000001</v>
      </c>
      <c r="J263" s="788">
        <f t="shared" si="33"/>
        <v>9608.4799999999977</v>
      </c>
      <c r="K263" s="788">
        <f t="shared" si="33"/>
        <v>18643.338</v>
      </c>
      <c r="L263" s="788" t="e">
        <f t="shared" si="33"/>
        <v>#VALUE!</v>
      </c>
      <c r="M263" s="788" t="e">
        <f t="shared" si="33"/>
        <v>#VALUE!</v>
      </c>
      <c r="N263" s="788" t="e">
        <f t="shared" si="33"/>
        <v>#VALUE!</v>
      </c>
      <c r="O263" s="788">
        <f>O267+O293+O295</f>
        <v>39249.323076923079</v>
      </c>
      <c r="P263" s="815"/>
      <c r="Q263" s="815"/>
      <c r="R263" s="823"/>
      <c r="S263" s="816"/>
    </row>
    <row r="264" spans="1:19" s="824" customFormat="1" ht="22.5" customHeight="1">
      <c r="A264" s="785"/>
      <c r="B264" s="789"/>
      <c r="C264" s="783"/>
      <c r="D264" s="783"/>
      <c r="E264" s="825"/>
      <c r="F264" s="825"/>
      <c r="G264" s="825"/>
      <c r="H264" s="825"/>
      <c r="I264" s="825"/>
      <c r="J264" s="825"/>
      <c r="K264" s="825"/>
      <c r="L264" s="825"/>
      <c r="M264" s="825"/>
      <c r="N264" s="825"/>
      <c r="O264" s="825"/>
      <c r="P264" s="818">
        <f>'He so chung'!D$22</f>
        <v>5346.1538461538457</v>
      </c>
      <c r="Q264" s="818">
        <f>'He so chung'!D$23</f>
        <v>801.92307692307691</v>
      </c>
      <c r="R264" s="826"/>
      <c r="S264" s="816"/>
    </row>
    <row r="265" spans="1:19" s="824" customFormat="1" ht="22.5" customHeight="1">
      <c r="A265" s="785" t="s">
        <v>1000</v>
      </c>
      <c r="B265" s="789" t="s">
        <v>339</v>
      </c>
      <c r="C265" s="783"/>
      <c r="D265" s="783"/>
      <c r="E265" s="825"/>
      <c r="F265" s="825"/>
      <c r="G265" s="825"/>
      <c r="H265" s="825"/>
      <c r="I265" s="825"/>
      <c r="J265" s="825"/>
      <c r="K265" s="825"/>
      <c r="L265" s="825"/>
      <c r="M265" s="825"/>
      <c r="N265" s="825"/>
      <c r="O265" s="825"/>
      <c r="P265" s="818"/>
      <c r="Q265" s="818"/>
      <c r="R265" s="826"/>
      <c r="S265" s="816"/>
    </row>
    <row r="266" spans="1:19" s="828" customFormat="1" ht="22.5" customHeight="1">
      <c r="A266" s="791" t="s">
        <v>1008</v>
      </c>
      <c r="B266" s="787" t="s">
        <v>668</v>
      </c>
      <c r="C266" s="783" t="s">
        <v>532</v>
      </c>
      <c r="D266" s="800"/>
      <c r="E266" s="793" t="e">
        <f>E269+E271+E272+E273+E274+E276+E278+E279+E281+E283+E284+E285+E286+E289+E290+E291+E292</f>
        <v>#VALUE!</v>
      </c>
      <c r="F266" s="794"/>
      <c r="G266" s="827"/>
      <c r="H266" s="794">
        <f>'Dcu-DKDD'!$L$363</f>
        <v>15234.264365384617</v>
      </c>
      <c r="I266" s="794">
        <f>'VL-DKDD'!$J$371</f>
        <v>23603.4</v>
      </c>
      <c r="J266" s="794">
        <f>'TB-DKDD'!$M$212</f>
        <v>9608.4799999999977</v>
      </c>
      <c r="K266" s="794">
        <f>'NL-DKDD'!$J$142</f>
        <v>18643.338</v>
      </c>
      <c r="L266" s="796" t="e">
        <f>SUM(E266:K266)</f>
        <v>#VALUE!</v>
      </c>
      <c r="M266" s="796" t="e">
        <f>L266*'He so chung'!$D$17/100</f>
        <v>#VALUE!</v>
      </c>
      <c r="N266" s="796" t="e">
        <f>L266+M266</f>
        <v>#VALUE!</v>
      </c>
      <c r="O266" s="793">
        <f>O269+O271+O272+O273+O274+O276+O278+O279+O281+O283+O284+O285+O286+O289+O290+O291+O292</f>
        <v>37097.49615384615</v>
      </c>
      <c r="P266" s="815"/>
      <c r="Q266" s="815"/>
      <c r="R266" s="823"/>
      <c r="S266" s="819"/>
    </row>
    <row r="267" spans="1:19" s="828" customFormat="1" ht="22.5" customHeight="1">
      <c r="A267" s="791" t="s">
        <v>1009</v>
      </c>
      <c r="B267" s="787" t="s">
        <v>669</v>
      </c>
      <c r="C267" s="783" t="s">
        <v>532</v>
      </c>
      <c r="D267" s="800"/>
      <c r="E267" s="793" t="e">
        <f>E270+E271+E272+E273+E274+E276+E278+E279+E281+E283+E284+E285+E286+E289+E290+E291+E292</f>
        <v>#VALUE!</v>
      </c>
      <c r="F267" s="794"/>
      <c r="G267" s="827"/>
      <c r="H267" s="794">
        <f>'Dcu-DKDD'!$L$363</f>
        <v>15234.264365384617</v>
      </c>
      <c r="I267" s="794">
        <f>'VL-DKDD'!$J$371</f>
        <v>23603.4</v>
      </c>
      <c r="J267" s="794">
        <f>'TB-DKDD'!$M$212</f>
        <v>9608.4799999999977</v>
      </c>
      <c r="K267" s="794">
        <f>'NL-DKDD'!$J$142</f>
        <v>18643.338</v>
      </c>
      <c r="L267" s="796" t="e">
        <f>SUM(E267:K267)</f>
        <v>#VALUE!</v>
      </c>
      <c r="M267" s="796" t="e">
        <f>L267*'He so chung'!$D$17/100</f>
        <v>#VALUE!</v>
      </c>
      <c r="N267" s="796" t="e">
        <f>L267+M267</f>
        <v>#VALUE!</v>
      </c>
      <c r="O267" s="793">
        <f>O270+O271+O272+O273+O274+O276+O278+O279+O281+O283+O284+O285+O286+O289+O290+O291+O292</f>
        <v>36790.092307692306</v>
      </c>
      <c r="P267" s="815"/>
      <c r="Q267" s="815"/>
      <c r="R267" s="823"/>
      <c r="S267" s="819"/>
    </row>
    <row r="268" spans="1:19" s="828" customFormat="1" ht="27" customHeight="1">
      <c r="A268" s="798">
        <v>1</v>
      </c>
      <c r="B268" s="799" t="s">
        <v>824</v>
      </c>
      <c r="C268" s="798"/>
      <c r="D268" s="800"/>
      <c r="E268" s="794"/>
      <c r="F268" s="794"/>
      <c r="G268" s="827"/>
      <c r="H268" s="794"/>
      <c r="I268" s="794"/>
      <c r="J268" s="794"/>
      <c r="K268" s="794"/>
      <c r="L268" s="794"/>
      <c r="M268" s="794"/>
      <c r="N268" s="794"/>
      <c r="O268" s="794"/>
      <c r="P268" s="815"/>
      <c r="Q268" s="815"/>
      <c r="R268" s="823"/>
      <c r="S268" s="819"/>
    </row>
    <row r="269" spans="1:19" s="828" customFormat="1" ht="21.75" customHeight="1">
      <c r="A269" s="798" t="s">
        <v>733</v>
      </c>
      <c r="B269" s="799" t="s">
        <v>846</v>
      </c>
      <c r="C269" s="798" t="s">
        <v>532</v>
      </c>
      <c r="D269" s="792" t="s">
        <v>723</v>
      </c>
      <c r="E269" s="794" t="e">
        <f>NC_DKDD!H975</f>
        <v>#VALUE!</v>
      </c>
      <c r="F269" s="794"/>
      <c r="G269" s="827"/>
      <c r="H269" s="794"/>
      <c r="I269" s="794"/>
      <c r="J269" s="794"/>
      <c r="K269" s="794"/>
      <c r="L269" s="794"/>
      <c r="M269" s="794"/>
      <c r="N269" s="794"/>
      <c r="O269" s="794">
        <f>P269+Q269</f>
        <v>1229.6153846153848</v>
      </c>
      <c r="P269" s="815">
        <f>R269*P$264</f>
        <v>1069.2307692307693</v>
      </c>
      <c r="Q269" s="815">
        <f t="shared" ref="Q269:Q296" si="34">R269*Q$264</f>
        <v>160.38461538461539</v>
      </c>
      <c r="R269" s="829">
        <f>NC_DKDD!G975</f>
        <v>0.2</v>
      </c>
      <c r="S269" s="819"/>
    </row>
    <row r="270" spans="1:19" s="828" customFormat="1" ht="21.75" customHeight="1">
      <c r="A270" s="798" t="s">
        <v>741</v>
      </c>
      <c r="B270" s="799" t="s">
        <v>849</v>
      </c>
      <c r="C270" s="798" t="s">
        <v>532</v>
      </c>
      <c r="D270" s="792" t="s">
        <v>723</v>
      </c>
      <c r="E270" s="794" t="e">
        <f>NC_DKDD!H976</f>
        <v>#VALUE!</v>
      </c>
      <c r="F270" s="794"/>
      <c r="G270" s="827"/>
      <c r="H270" s="794"/>
      <c r="I270" s="794"/>
      <c r="J270" s="794"/>
      <c r="K270" s="794"/>
      <c r="L270" s="794"/>
      <c r="M270" s="794"/>
      <c r="N270" s="794"/>
      <c r="O270" s="794">
        <f>P270+Q270</f>
        <v>922.21153846153834</v>
      </c>
      <c r="P270" s="815">
        <f>R270*P$264</f>
        <v>801.92307692307679</v>
      </c>
      <c r="Q270" s="815">
        <f t="shared" si="34"/>
        <v>120.28846153846153</v>
      </c>
      <c r="R270" s="829">
        <f>NC_DKDD!G976</f>
        <v>0.15</v>
      </c>
      <c r="S270" s="819"/>
    </row>
    <row r="271" spans="1:19" s="828" customFormat="1" ht="30.75" customHeight="1">
      <c r="A271" s="798">
        <v>2</v>
      </c>
      <c r="B271" s="799" t="s">
        <v>797</v>
      </c>
      <c r="C271" s="798" t="s">
        <v>532</v>
      </c>
      <c r="D271" s="792" t="s">
        <v>723</v>
      </c>
      <c r="E271" s="794" t="e">
        <f>NC_DKDD!H977</f>
        <v>#VALUE!</v>
      </c>
      <c r="F271" s="794"/>
      <c r="G271" s="827"/>
      <c r="H271" s="794"/>
      <c r="I271" s="794"/>
      <c r="J271" s="794"/>
      <c r="K271" s="794"/>
      <c r="L271" s="794"/>
      <c r="M271" s="794"/>
      <c r="N271" s="794"/>
      <c r="O271" s="794">
        <f>P271+Q271</f>
        <v>1844.4230769230767</v>
      </c>
      <c r="P271" s="815">
        <f>R271*P$264</f>
        <v>1603.8461538461536</v>
      </c>
      <c r="Q271" s="815">
        <f t="shared" si="34"/>
        <v>240.57692307692307</v>
      </c>
      <c r="R271" s="829">
        <f>NC_DKDD!G977</f>
        <v>0.3</v>
      </c>
      <c r="S271" s="819"/>
    </row>
    <row r="272" spans="1:19" s="828" customFormat="1" ht="32.25" customHeight="1">
      <c r="A272" s="798">
        <v>3</v>
      </c>
      <c r="B272" s="799" t="s">
        <v>881</v>
      </c>
      <c r="C272" s="798" t="s">
        <v>375</v>
      </c>
      <c r="D272" s="792" t="s">
        <v>723</v>
      </c>
      <c r="E272" s="794" t="e">
        <f>NC_DKDD!H978</f>
        <v>#VALUE!</v>
      </c>
      <c r="F272" s="794"/>
      <c r="G272" s="827"/>
      <c r="H272" s="794"/>
      <c r="I272" s="794"/>
      <c r="J272" s="794"/>
      <c r="K272" s="794"/>
      <c r="L272" s="794"/>
      <c r="M272" s="794"/>
      <c r="N272" s="794"/>
      <c r="O272" s="794">
        <f t="shared" ref="O272:O285" si="35">P272+Q272</f>
        <v>657.84423076923065</v>
      </c>
      <c r="P272" s="815">
        <f t="shared" ref="P272:P285" si="36">R272*P$264</f>
        <v>572.03846153846143</v>
      </c>
      <c r="Q272" s="815">
        <f t="shared" si="34"/>
        <v>85.805769230769229</v>
      </c>
      <c r="R272" s="829">
        <f>NC_DKDD!G978</f>
        <v>0.107</v>
      </c>
      <c r="S272" s="819"/>
    </row>
    <row r="273" spans="1:19" s="828" customFormat="1" ht="71.25">
      <c r="A273" s="798">
        <v>4</v>
      </c>
      <c r="B273" s="799" t="s">
        <v>700</v>
      </c>
      <c r="C273" s="798" t="s">
        <v>532</v>
      </c>
      <c r="D273" s="792" t="s">
        <v>723</v>
      </c>
      <c r="E273" s="794" t="e">
        <f>NC_DKDD!H979</f>
        <v>#VALUE!</v>
      </c>
      <c r="F273" s="794"/>
      <c r="G273" s="827"/>
      <c r="H273" s="794"/>
      <c r="I273" s="794"/>
      <c r="J273" s="794"/>
      <c r="K273" s="794"/>
      <c r="L273" s="794"/>
      <c r="M273" s="794"/>
      <c r="N273" s="794"/>
      <c r="O273" s="794">
        <f t="shared" si="35"/>
        <v>24592.307692307691</v>
      </c>
      <c r="P273" s="815">
        <f t="shared" si="36"/>
        <v>21384.615384615383</v>
      </c>
      <c r="Q273" s="815">
        <f t="shared" si="34"/>
        <v>3207.6923076923076</v>
      </c>
      <c r="R273" s="829">
        <f>NC_DKDD!G979</f>
        <v>4</v>
      </c>
      <c r="S273" s="819"/>
    </row>
    <row r="274" spans="1:19" s="828" customFormat="1" ht="28.5" customHeight="1">
      <c r="A274" s="798">
        <v>5</v>
      </c>
      <c r="B274" s="799" t="s">
        <v>886</v>
      </c>
      <c r="C274" s="798" t="s">
        <v>375</v>
      </c>
      <c r="D274" s="792" t="s">
        <v>723</v>
      </c>
      <c r="E274" s="794" t="e">
        <f>NC_DKDD!H980</f>
        <v>#VALUE!</v>
      </c>
      <c r="F274" s="794"/>
      <c r="G274" s="827"/>
      <c r="H274" s="794"/>
      <c r="I274" s="794"/>
      <c r="J274" s="794"/>
      <c r="K274" s="794"/>
      <c r="L274" s="794"/>
      <c r="M274" s="794"/>
      <c r="N274" s="794"/>
      <c r="O274" s="794">
        <f t="shared" si="35"/>
        <v>18.444230769230767</v>
      </c>
      <c r="P274" s="815">
        <f t="shared" si="36"/>
        <v>16.038461538461537</v>
      </c>
      <c r="Q274" s="815">
        <f t="shared" si="34"/>
        <v>2.4057692307692307</v>
      </c>
      <c r="R274" s="829">
        <f>NC_DKDD!G980</f>
        <v>3.0000000000000001E-3</v>
      </c>
      <c r="S274" s="819"/>
    </row>
    <row r="275" spans="1:19" s="828" customFormat="1" ht="42.75">
      <c r="A275" s="798">
        <v>6</v>
      </c>
      <c r="B275" s="799" t="s">
        <v>802</v>
      </c>
      <c r="C275" s="798"/>
      <c r="D275" s="798"/>
      <c r="E275" s="794">
        <f>NC_DKDD!H981</f>
        <v>0</v>
      </c>
      <c r="F275" s="794"/>
      <c r="G275" s="827"/>
      <c r="H275" s="794"/>
      <c r="I275" s="794"/>
      <c r="J275" s="794"/>
      <c r="K275" s="794"/>
      <c r="L275" s="794"/>
      <c r="M275" s="794"/>
      <c r="N275" s="794"/>
      <c r="O275" s="794">
        <f t="shared" si="35"/>
        <v>0</v>
      </c>
      <c r="P275" s="815">
        <f t="shared" si="36"/>
        <v>0</v>
      </c>
      <c r="Q275" s="815">
        <f t="shared" si="34"/>
        <v>0</v>
      </c>
      <c r="R275" s="829">
        <f>NC_DKDD!G981</f>
        <v>0</v>
      </c>
      <c r="S275" s="819"/>
    </row>
    <row r="276" spans="1:19" s="828" customFormat="1" ht="21.75" customHeight="1">
      <c r="A276" s="798" t="s">
        <v>661</v>
      </c>
      <c r="B276" s="799" t="s">
        <v>587</v>
      </c>
      <c r="C276" s="798" t="s">
        <v>532</v>
      </c>
      <c r="D276" s="792" t="s">
        <v>723</v>
      </c>
      <c r="E276" s="794" t="e">
        <f>NC_DKDD!H982</f>
        <v>#VALUE!</v>
      </c>
      <c r="F276" s="794"/>
      <c r="G276" s="827"/>
      <c r="H276" s="794"/>
      <c r="I276" s="794"/>
      <c r="J276" s="794"/>
      <c r="K276" s="794"/>
      <c r="L276" s="794"/>
      <c r="M276" s="794"/>
      <c r="N276" s="794"/>
      <c r="O276" s="794">
        <f t="shared" si="35"/>
        <v>307.40384615384619</v>
      </c>
      <c r="P276" s="815">
        <f t="shared" si="36"/>
        <v>267.30769230769232</v>
      </c>
      <c r="Q276" s="815">
        <f t="shared" si="34"/>
        <v>40.096153846153847</v>
      </c>
      <c r="R276" s="829">
        <f>NC_DKDD!G982</f>
        <v>0.05</v>
      </c>
      <c r="S276" s="819"/>
    </row>
    <row r="277" spans="1:19" s="828" customFormat="1" ht="21.75" customHeight="1">
      <c r="A277" s="798" t="s">
        <v>662</v>
      </c>
      <c r="B277" s="799" t="s">
        <v>588</v>
      </c>
      <c r="C277" s="798" t="s">
        <v>532</v>
      </c>
      <c r="D277" s="792" t="s">
        <v>723</v>
      </c>
      <c r="E277" s="794" t="e">
        <f>NC_DKDD!H983</f>
        <v>#VALUE!</v>
      </c>
      <c r="F277" s="794"/>
      <c r="G277" s="827"/>
      <c r="H277" s="794"/>
      <c r="I277" s="794"/>
      <c r="J277" s="794"/>
      <c r="K277" s="794"/>
      <c r="L277" s="794"/>
      <c r="M277" s="794"/>
      <c r="N277" s="794"/>
      <c r="O277" s="794">
        <f t="shared" si="35"/>
        <v>614.80769230769238</v>
      </c>
      <c r="P277" s="815">
        <f t="shared" si="36"/>
        <v>534.61538461538464</v>
      </c>
      <c r="Q277" s="815">
        <f t="shared" si="34"/>
        <v>80.192307692307693</v>
      </c>
      <c r="R277" s="829">
        <f>NC_DKDD!G983</f>
        <v>0.1</v>
      </c>
      <c r="S277" s="819"/>
    </row>
    <row r="278" spans="1:19" s="828" customFormat="1" ht="31.5" customHeight="1">
      <c r="A278" s="798">
        <v>7</v>
      </c>
      <c r="B278" s="799" t="s">
        <v>408</v>
      </c>
      <c r="C278" s="798" t="s">
        <v>532</v>
      </c>
      <c r="D278" s="792" t="s">
        <v>723</v>
      </c>
      <c r="E278" s="794" t="e">
        <f>NC_DKDD!H984</f>
        <v>#VALUE!</v>
      </c>
      <c r="F278" s="794"/>
      <c r="G278" s="827"/>
      <c r="H278" s="794"/>
      <c r="I278" s="794"/>
      <c r="J278" s="794"/>
      <c r="K278" s="794"/>
      <c r="L278" s="794"/>
      <c r="M278" s="794"/>
      <c r="N278" s="794"/>
      <c r="O278" s="794">
        <f t="shared" si="35"/>
        <v>1229.6153846153848</v>
      </c>
      <c r="P278" s="815">
        <f t="shared" si="36"/>
        <v>1069.2307692307693</v>
      </c>
      <c r="Q278" s="815">
        <f t="shared" si="34"/>
        <v>160.38461538461539</v>
      </c>
      <c r="R278" s="829">
        <f>NC_DKDD!G984</f>
        <v>0.2</v>
      </c>
      <c r="S278" s="819"/>
    </row>
    <row r="279" spans="1:19" s="828" customFormat="1" ht="21.75" customHeight="1">
      <c r="A279" s="798">
        <v>8</v>
      </c>
      <c r="B279" s="799" t="s">
        <v>78</v>
      </c>
      <c r="C279" s="798" t="s">
        <v>375</v>
      </c>
      <c r="D279" s="792" t="s">
        <v>723</v>
      </c>
      <c r="E279" s="794" t="e">
        <f>NC_DKDD!H985</f>
        <v>#VALUE!</v>
      </c>
      <c r="F279" s="794"/>
      <c r="G279" s="827"/>
      <c r="H279" s="794"/>
      <c r="I279" s="794"/>
      <c r="J279" s="794"/>
      <c r="K279" s="794"/>
      <c r="L279" s="794"/>
      <c r="M279" s="794"/>
      <c r="N279" s="794"/>
      <c r="O279" s="794">
        <f t="shared" si="35"/>
        <v>202.88653846153844</v>
      </c>
      <c r="P279" s="815">
        <f t="shared" si="36"/>
        <v>176.42307692307691</v>
      </c>
      <c r="Q279" s="815">
        <f t="shared" si="34"/>
        <v>26.463461538461541</v>
      </c>
      <c r="R279" s="829">
        <f>NC_DKDD!G985</f>
        <v>3.3000000000000002E-2</v>
      </c>
      <c r="S279" s="819"/>
    </row>
    <row r="280" spans="1:19" s="828" customFormat="1" ht="21.75" customHeight="1">
      <c r="A280" s="798">
        <v>9</v>
      </c>
      <c r="B280" s="799" t="s">
        <v>80</v>
      </c>
      <c r="C280" s="798"/>
      <c r="D280" s="798"/>
      <c r="E280" s="794">
        <f>NC_DKDD!H986</f>
        <v>0</v>
      </c>
      <c r="F280" s="794"/>
      <c r="G280" s="827"/>
      <c r="H280" s="794"/>
      <c r="I280" s="794"/>
      <c r="J280" s="794"/>
      <c r="K280" s="794"/>
      <c r="L280" s="794"/>
      <c r="M280" s="794"/>
      <c r="N280" s="794"/>
      <c r="O280" s="794">
        <f t="shared" si="35"/>
        <v>0</v>
      </c>
      <c r="P280" s="815">
        <f t="shared" si="36"/>
        <v>0</v>
      </c>
      <c r="Q280" s="815">
        <f t="shared" si="34"/>
        <v>0</v>
      </c>
      <c r="R280" s="829">
        <f>NC_DKDD!G986</f>
        <v>0</v>
      </c>
      <c r="S280" s="819"/>
    </row>
    <row r="281" spans="1:19" s="828" customFormat="1" ht="21.75" customHeight="1">
      <c r="A281" s="798" t="s">
        <v>663</v>
      </c>
      <c r="B281" s="799" t="s">
        <v>82</v>
      </c>
      <c r="C281" s="798" t="s">
        <v>559</v>
      </c>
      <c r="D281" s="792" t="s">
        <v>723</v>
      </c>
      <c r="E281" s="794" t="e">
        <f>NC_DKDD!H987</f>
        <v>#VALUE!</v>
      </c>
      <c r="F281" s="794"/>
      <c r="G281" s="827"/>
      <c r="H281" s="794"/>
      <c r="I281" s="794"/>
      <c r="J281" s="794"/>
      <c r="K281" s="794"/>
      <c r="L281" s="794"/>
      <c r="M281" s="794"/>
      <c r="N281" s="794"/>
      <c r="O281" s="794">
        <f t="shared" si="35"/>
        <v>614.80769230769238</v>
      </c>
      <c r="P281" s="815">
        <f t="shared" si="36"/>
        <v>534.61538461538464</v>
      </c>
      <c r="Q281" s="815">
        <f t="shared" si="34"/>
        <v>80.192307692307693</v>
      </c>
      <c r="R281" s="829">
        <f>NC_DKDD!G987</f>
        <v>0.1</v>
      </c>
      <c r="S281" s="819"/>
    </row>
    <row r="282" spans="1:19" s="828" customFormat="1" ht="21.75" customHeight="1">
      <c r="A282" s="798" t="s">
        <v>664</v>
      </c>
      <c r="B282" s="799" t="s">
        <v>84</v>
      </c>
      <c r="C282" s="798" t="s">
        <v>559</v>
      </c>
      <c r="D282" s="792" t="s">
        <v>723</v>
      </c>
      <c r="E282" s="794" t="e">
        <f>NC_DKDD!H988</f>
        <v>#VALUE!</v>
      </c>
      <c r="F282" s="794"/>
      <c r="G282" s="827"/>
      <c r="H282" s="794"/>
      <c r="I282" s="794"/>
      <c r="J282" s="794"/>
      <c r="K282" s="794"/>
      <c r="L282" s="794"/>
      <c r="M282" s="794"/>
      <c r="N282" s="794"/>
      <c r="O282" s="794">
        <f t="shared" si="35"/>
        <v>922.21153846153834</v>
      </c>
      <c r="P282" s="815">
        <f t="shared" si="36"/>
        <v>801.92307692307679</v>
      </c>
      <c r="Q282" s="815">
        <f t="shared" si="34"/>
        <v>120.28846153846153</v>
      </c>
      <c r="R282" s="829">
        <f>NC_DKDD!G988</f>
        <v>0.15</v>
      </c>
      <c r="S282" s="819"/>
    </row>
    <row r="283" spans="1:19" s="828" customFormat="1" ht="31.5" customHeight="1">
      <c r="A283" s="798" t="s">
        <v>409</v>
      </c>
      <c r="B283" s="799" t="s">
        <v>410</v>
      </c>
      <c r="C283" s="798" t="s">
        <v>559</v>
      </c>
      <c r="D283" s="792" t="s">
        <v>723</v>
      </c>
      <c r="E283" s="794" t="e">
        <f>NC_DKDD!H989</f>
        <v>#VALUE!</v>
      </c>
      <c r="F283" s="794"/>
      <c r="G283" s="827"/>
      <c r="H283" s="794"/>
      <c r="I283" s="794"/>
      <c r="J283" s="794"/>
      <c r="K283" s="794"/>
      <c r="L283" s="794"/>
      <c r="M283" s="794"/>
      <c r="N283" s="794"/>
      <c r="O283" s="794">
        <f t="shared" si="35"/>
        <v>614.80769230769238</v>
      </c>
      <c r="P283" s="815">
        <f t="shared" si="36"/>
        <v>534.61538461538464</v>
      </c>
      <c r="Q283" s="815">
        <f t="shared" si="34"/>
        <v>80.192307692307693</v>
      </c>
      <c r="R283" s="829">
        <f>NC_DKDD!G989</f>
        <v>0.1</v>
      </c>
      <c r="S283" s="819"/>
    </row>
    <row r="284" spans="1:19" s="828" customFormat="1" ht="30" customHeight="1">
      <c r="A284" s="798">
        <v>10</v>
      </c>
      <c r="B284" s="799" t="s">
        <v>411</v>
      </c>
      <c r="C284" s="798" t="s">
        <v>532</v>
      </c>
      <c r="D284" s="792" t="s">
        <v>723</v>
      </c>
      <c r="E284" s="794" t="e">
        <f>NC_DKDD!H990</f>
        <v>#VALUE!</v>
      </c>
      <c r="F284" s="794"/>
      <c r="G284" s="827"/>
      <c r="H284" s="794"/>
      <c r="I284" s="794"/>
      <c r="J284" s="794"/>
      <c r="K284" s="794"/>
      <c r="L284" s="794"/>
      <c r="M284" s="794"/>
      <c r="N284" s="794"/>
      <c r="O284" s="794">
        <f t="shared" si="35"/>
        <v>3074.0384615384614</v>
      </c>
      <c r="P284" s="815">
        <f t="shared" si="36"/>
        <v>2673.0769230769229</v>
      </c>
      <c r="Q284" s="815">
        <f t="shared" si="34"/>
        <v>400.96153846153845</v>
      </c>
      <c r="R284" s="829">
        <f>NC_DKDD!G990</f>
        <v>0.5</v>
      </c>
      <c r="S284" s="819"/>
    </row>
    <row r="285" spans="1:19" s="828" customFormat="1" ht="57">
      <c r="A285" s="798">
        <v>11</v>
      </c>
      <c r="B285" s="799" t="s">
        <v>826</v>
      </c>
      <c r="C285" s="798" t="s">
        <v>532</v>
      </c>
      <c r="D285" s="792" t="s">
        <v>723</v>
      </c>
      <c r="E285" s="794" t="e">
        <f>NC_DKDD!H991</f>
        <v>#VALUE!</v>
      </c>
      <c r="F285" s="794"/>
      <c r="G285" s="827"/>
      <c r="H285" s="794"/>
      <c r="I285" s="794"/>
      <c r="J285" s="794"/>
      <c r="K285" s="794"/>
      <c r="L285" s="794"/>
      <c r="M285" s="794"/>
      <c r="N285" s="794"/>
      <c r="O285" s="794">
        <f t="shared" si="35"/>
        <v>2274.7884615384614</v>
      </c>
      <c r="P285" s="815">
        <f t="shared" si="36"/>
        <v>1978.0769230769229</v>
      </c>
      <c r="Q285" s="815">
        <f t="shared" si="34"/>
        <v>296.71153846153845</v>
      </c>
      <c r="R285" s="829">
        <f>NC_DKDD!G991</f>
        <v>0.37</v>
      </c>
      <c r="S285" s="819"/>
    </row>
    <row r="286" spans="1:19" s="828" customFormat="1" ht="21.75" customHeight="1">
      <c r="A286" s="798">
        <v>12</v>
      </c>
      <c r="B286" s="799" t="s">
        <v>87</v>
      </c>
      <c r="C286" s="798" t="s">
        <v>375</v>
      </c>
      <c r="D286" s="792" t="s">
        <v>723</v>
      </c>
      <c r="E286" s="794" t="e">
        <f>NC_DKDD!H992</f>
        <v>#VALUE!</v>
      </c>
      <c r="F286" s="794"/>
      <c r="G286" s="827"/>
      <c r="H286" s="794"/>
      <c r="I286" s="794"/>
      <c r="J286" s="794"/>
      <c r="K286" s="794"/>
      <c r="L286" s="794"/>
      <c r="M286" s="794"/>
      <c r="N286" s="794"/>
      <c r="O286" s="794">
        <f t="shared" ref="O286:O296" si="37">P286+Q286</f>
        <v>202.88653846153844</v>
      </c>
      <c r="P286" s="815">
        <f t="shared" ref="P286:P296" si="38">R286*P$264</f>
        <v>176.42307692307691</v>
      </c>
      <c r="Q286" s="815">
        <f t="shared" si="34"/>
        <v>26.463461538461541</v>
      </c>
      <c r="R286" s="829">
        <f>NC_DKDD!G992</f>
        <v>3.3000000000000002E-2</v>
      </c>
      <c r="S286" s="819"/>
    </row>
    <row r="287" spans="1:19" s="828" customFormat="1" ht="21.75" customHeight="1">
      <c r="A287" s="798">
        <v>13</v>
      </c>
      <c r="B287" s="799" t="s">
        <v>88</v>
      </c>
      <c r="C287" s="798"/>
      <c r="D287" s="798"/>
      <c r="E287" s="794">
        <f>NC_DKDD!H993</f>
        <v>0</v>
      </c>
      <c r="F287" s="794"/>
      <c r="G287" s="827"/>
      <c r="H287" s="794"/>
      <c r="I287" s="794"/>
      <c r="J287" s="794"/>
      <c r="K287" s="794"/>
      <c r="L287" s="794"/>
      <c r="M287" s="794"/>
      <c r="N287" s="794"/>
      <c r="O287" s="794">
        <f t="shared" si="37"/>
        <v>0</v>
      </c>
      <c r="P287" s="815">
        <f t="shared" si="38"/>
        <v>0</v>
      </c>
      <c r="Q287" s="815">
        <f t="shared" si="34"/>
        <v>0</v>
      </c>
      <c r="R287" s="829">
        <f>NC_DKDD!G993</f>
        <v>0</v>
      </c>
      <c r="S287" s="819"/>
    </row>
    <row r="288" spans="1:19" s="828" customFormat="1" ht="33.75" customHeight="1">
      <c r="A288" s="798" t="s">
        <v>110</v>
      </c>
      <c r="B288" s="799" t="s">
        <v>775</v>
      </c>
      <c r="C288" s="798"/>
      <c r="D288" s="798"/>
      <c r="E288" s="794">
        <f>NC_DKDD!H994</f>
        <v>0</v>
      </c>
      <c r="F288" s="794"/>
      <c r="G288" s="827"/>
      <c r="H288" s="794"/>
      <c r="I288" s="794"/>
      <c r="J288" s="794"/>
      <c r="K288" s="794"/>
      <c r="L288" s="794"/>
      <c r="M288" s="794"/>
      <c r="N288" s="794"/>
      <c r="O288" s="794">
        <f t="shared" si="37"/>
        <v>0</v>
      </c>
      <c r="P288" s="815">
        <f t="shared" si="38"/>
        <v>0</v>
      </c>
      <c r="Q288" s="815">
        <f t="shared" si="34"/>
        <v>0</v>
      </c>
      <c r="R288" s="829">
        <f>NC_DKDD!G994</f>
        <v>0</v>
      </c>
      <c r="S288" s="819"/>
    </row>
    <row r="289" spans="1:19" s="828" customFormat="1" ht="21.75" customHeight="1">
      <c r="A289" s="798" t="s">
        <v>111</v>
      </c>
      <c r="B289" s="799" t="s">
        <v>777</v>
      </c>
      <c r="C289" s="798" t="s">
        <v>377</v>
      </c>
      <c r="D289" s="792" t="s">
        <v>723</v>
      </c>
      <c r="E289" s="794" t="e">
        <f>NC_DKDD!H995</f>
        <v>#VALUE!</v>
      </c>
      <c r="F289" s="794"/>
      <c r="G289" s="827"/>
      <c r="H289" s="794"/>
      <c r="I289" s="794"/>
      <c r="J289" s="794"/>
      <c r="K289" s="794"/>
      <c r="L289" s="794"/>
      <c r="M289" s="794"/>
      <c r="N289" s="794"/>
      <c r="O289" s="794">
        <f t="shared" si="37"/>
        <v>98.369230769230768</v>
      </c>
      <c r="P289" s="815">
        <f t="shared" si="38"/>
        <v>85.538461538461533</v>
      </c>
      <c r="Q289" s="815">
        <f t="shared" si="34"/>
        <v>12.830769230769231</v>
      </c>
      <c r="R289" s="829">
        <f>NC_DKDD!G995</f>
        <v>1.6E-2</v>
      </c>
      <c r="S289" s="819"/>
    </row>
    <row r="290" spans="1:19" s="828" customFormat="1" ht="21.75" customHeight="1">
      <c r="A290" s="798" t="s">
        <v>112</v>
      </c>
      <c r="B290" s="799" t="s">
        <v>781</v>
      </c>
      <c r="C290" s="798" t="s">
        <v>377</v>
      </c>
      <c r="D290" s="792" t="s">
        <v>723</v>
      </c>
      <c r="E290" s="794" t="e">
        <f>NC_DKDD!H996</f>
        <v>#VALUE!</v>
      </c>
      <c r="F290" s="794"/>
      <c r="G290" s="827"/>
      <c r="H290" s="794"/>
      <c r="I290" s="794"/>
      <c r="J290" s="794"/>
      <c r="K290" s="794"/>
      <c r="L290" s="794"/>
      <c r="M290" s="794"/>
      <c r="N290" s="794"/>
      <c r="O290" s="794">
        <f t="shared" si="37"/>
        <v>49.184615384615384</v>
      </c>
      <c r="P290" s="815">
        <f t="shared" si="38"/>
        <v>42.769230769230766</v>
      </c>
      <c r="Q290" s="815">
        <f t="shared" si="34"/>
        <v>6.4153846153846157</v>
      </c>
      <c r="R290" s="829">
        <f>NC_DKDD!G996</f>
        <v>8.0000000000000002E-3</v>
      </c>
      <c r="S290" s="819"/>
    </row>
    <row r="291" spans="1:19" s="828" customFormat="1" ht="31.5" customHeight="1">
      <c r="A291" s="798" t="s">
        <v>113</v>
      </c>
      <c r="B291" s="799" t="s">
        <v>861</v>
      </c>
      <c r="C291" s="798" t="s">
        <v>377</v>
      </c>
      <c r="D291" s="792" t="s">
        <v>723</v>
      </c>
      <c r="E291" s="794" t="e">
        <f>NC_DKDD!H997</f>
        <v>#VALUE!</v>
      </c>
      <c r="F291" s="794"/>
      <c r="G291" s="827"/>
      <c r="H291" s="794"/>
      <c r="I291" s="794"/>
      <c r="J291" s="794"/>
      <c r="K291" s="794"/>
      <c r="L291" s="794"/>
      <c r="M291" s="794"/>
      <c r="N291" s="794"/>
      <c r="O291" s="794">
        <f t="shared" si="37"/>
        <v>24.592307692307692</v>
      </c>
      <c r="P291" s="815">
        <f t="shared" si="38"/>
        <v>21.384615384615383</v>
      </c>
      <c r="Q291" s="815">
        <f t="shared" si="34"/>
        <v>3.2076923076923078</v>
      </c>
      <c r="R291" s="829">
        <f>NC_DKDD!G997</f>
        <v>4.0000000000000001E-3</v>
      </c>
      <c r="S291" s="819"/>
    </row>
    <row r="292" spans="1:19" s="828" customFormat="1" ht="25.5" customHeight="1">
      <c r="A292" s="798" t="s">
        <v>114</v>
      </c>
      <c r="B292" s="799" t="s">
        <v>863</v>
      </c>
      <c r="C292" s="798" t="s">
        <v>375</v>
      </c>
      <c r="D292" s="792" t="s">
        <v>723</v>
      </c>
      <c r="E292" s="794" t="e">
        <f>NC_DKDD!H998</f>
        <v>#VALUE!</v>
      </c>
      <c r="F292" s="794"/>
      <c r="G292" s="827"/>
      <c r="H292" s="794"/>
      <c r="I292" s="794"/>
      <c r="J292" s="794"/>
      <c r="K292" s="794"/>
      <c r="L292" s="794"/>
      <c r="M292" s="794"/>
      <c r="N292" s="794"/>
      <c r="O292" s="794">
        <f t="shared" si="37"/>
        <v>61.480769230769226</v>
      </c>
      <c r="P292" s="815">
        <f t="shared" si="38"/>
        <v>53.46153846153846</v>
      </c>
      <c r="Q292" s="815">
        <f t="shared" si="34"/>
        <v>8.0192307692307701</v>
      </c>
      <c r="R292" s="829">
        <f>NC_DKDD!G998</f>
        <v>0.01</v>
      </c>
      <c r="S292" s="819"/>
    </row>
    <row r="293" spans="1:19" s="828" customFormat="1" ht="21.75" customHeight="1">
      <c r="A293" s="791" t="s">
        <v>1005</v>
      </c>
      <c r="B293" s="787" t="s">
        <v>582</v>
      </c>
      <c r="C293" s="798"/>
      <c r="D293" s="798"/>
      <c r="E293" s="793" t="e">
        <f>E294</f>
        <v>#VALUE!</v>
      </c>
      <c r="F293" s="794"/>
      <c r="G293" s="827"/>
      <c r="H293" s="794">
        <f>'Dcu-DKDD'!$J$363</f>
        <v>0</v>
      </c>
      <c r="I293" s="794"/>
      <c r="J293" s="794"/>
      <c r="K293" s="794"/>
      <c r="L293" s="796" t="e">
        <f>SUM(E293:K293)</f>
        <v>#VALUE!</v>
      </c>
      <c r="M293" s="796" t="e">
        <f>L293*'He so chung'!$D$17/100</f>
        <v>#VALUE!</v>
      </c>
      <c r="N293" s="796" t="e">
        <f>L293+M293</f>
        <v>#VALUE!</v>
      </c>
      <c r="O293" s="793">
        <f>O294</f>
        <v>1844.4230769230767</v>
      </c>
      <c r="P293" s="815">
        <f t="shared" si="38"/>
        <v>0</v>
      </c>
      <c r="Q293" s="815">
        <f t="shared" si="34"/>
        <v>0</v>
      </c>
      <c r="R293" s="829">
        <f>NC_DKDD!G999</f>
        <v>0</v>
      </c>
      <c r="S293" s="819"/>
    </row>
    <row r="294" spans="1:19" s="828" customFormat="1" ht="27.75" customHeight="1">
      <c r="A294" s="798">
        <v>1</v>
      </c>
      <c r="B294" s="799" t="s">
        <v>626</v>
      </c>
      <c r="C294" s="798" t="s">
        <v>532</v>
      </c>
      <c r="D294" s="792" t="s">
        <v>723</v>
      </c>
      <c r="E294" s="794" t="e">
        <f>NC_DKDD!H1000</f>
        <v>#VALUE!</v>
      </c>
      <c r="F294" s="794"/>
      <c r="G294" s="827"/>
      <c r="H294" s="794"/>
      <c r="I294" s="794"/>
      <c r="J294" s="794"/>
      <c r="K294" s="794"/>
      <c r="L294" s="794"/>
      <c r="M294" s="794"/>
      <c r="N294" s="794"/>
      <c r="O294" s="794">
        <f t="shared" si="37"/>
        <v>1844.4230769230767</v>
      </c>
      <c r="P294" s="815">
        <f t="shared" si="38"/>
        <v>1603.8461538461536</v>
      </c>
      <c r="Q294" s="815">
        <f t="shared" si="34"/>
        <v>240.57692307692307</v>
      </c>
      <c r="R294" s="829">
        <f>NC_DKDD!G1000</f>
        <v>0.3</v>
      </c>
      <c r="S294" s="819"/>
    </row>
    <row r="295" spans="1:19" s="828" customFormat="1" ht="21.75" customHeight="1">
      <c r="A295" s="791" t="s">
        <v>755</v>
      </c>
      <c r="B295" s="787" t="s">
        <v>460</v>
      </c>
      <c r="C295" s="798"/>
      <c r="D295" s="800"/>
      <c r="E295" s="793" t="e">
        <f>E296</f>
        <v>#VALUE!</v>
      </c>
      <c r="F295" s="794"/>
      <c r="G295" s="827"/>
      <c r="H295" s="794">
        <f>'Dcu-DKDD'!$H$363</f>
        <v>77.079591346153833</v>
      </c>
      <c r="I295" s="794">
        <f>'VL-DKDD'!$F$371</f>
        <v>472.06800000000004</v>
      </c>
      <c r="J295" s="794"/>
      <c r="K295" s="794"/>
      <c r="L295" s="796" t="e">
        <f>SUM(E295:K295)</f>
        <v>#VALUE!</v>
      </c>
      <c r="M295" s="796" t="e">
        <f>L295*'He so chung'!$D$17/100</f>
        <v>#VALUE!</v>
      </c>
      <c r="N295" s="796" t="e">
        <f>L295+M295</f>
        <v>#VALUE!</v>
      </c>
      <c r="O295" s="793">
        <f>O296</f>
        <v>614.80769230769238</v>
      </c>
      <c r="P295" s="815">
        <f t="shared" si="38"/>
        <v>0</v>
      </c>
      <c r="Q295" s="815">
        <f t="shared" si="34"/>
        <v>0</v>
      </c>
      <c r="R295" s="829">
        <f>NC_DKDD!G1001</f>
        <v>0</v>
      </c>
      <c r="S295" s="819"/>
    </row>
    <row r="296" spans="1:19" s="828" customFormat="1" ht="37.5" customHeight="1">
      <c r="A296" s="798">
        <v>1</v>
      </c>
      <c r="B296" s="799" t="s">
        <v>627</v>
      </c>
      <c r="C296" s="798" t="s">
        <v>532</v>
      </c>
      <c r="D296" s="792" t="s">
        <v>723</v>
      </c>
      <c r="E296" s="794" t="e">
        <f>NC_DKDD!H1002</f>
        <v>#VALUE!</v>
      </c>
      <c r="F296" s="794"/>
      <c r="G296" s="827"/>
      <c r="H296" s="794"/>
      <c r="I296" s="794"/>
      <c r="J296" s="794"/>
      <c r="K296" s="794"/>
      <c r="L296" s="794"/>
      <c r="M296" s="794"/>
      <c r="N296" s="794"/>
      <c r="O296" s="794">
        <f t="shared" si="37"/>
        <v>614.80769230769238</v>
      </c>
      <c r="P296" s="815">
        <f t="shared" si="38"/>
        <v>534.61538461538464</v>
      </c>
      <c r="Q296" s="815">
        <f t="shared" si="34"/>
        <v>80.192307692307693</v>
      </c>
      <c r="R296" s="829">
        <f>NC_DKDD!G1002</f>
        <v>0.1</v>
      </c>
      <c r="S296" s="819"/>
    </row>
    <row r="297" spans="1:19" s="409" customFormat="1" ht="28.15" customHeight="1">
      <c r="A297" s="437"/>
      <c r="B297" s="802" t="s">
        <v>533</v>
      </c>
      <c r="C297" s="439"/>
      <c r="D297" s="437"/>
      <c r="E297" s="803"/>
      <c r="F297" s="803"/>
      <c r="G297" s="804"/>
      <c r="H297" s="803"/>
      <c r="I297" s="803"/>
      <c r="J297" s="805"/>
      <c r="K297" s="805"/>
      <c r="L297" s="805"/>
      <c r="M297" s="419"/>
      <c r="N297" s="419"/>
      <c r="O297" s="442"/>
      <c r="P297" s="420"/>
      <c r="Q297" s="420"/>
      <c r="R297" s="806"/>
    </row>
    <row r="298" spans="1:19" s="409" customFormat="1" ht="33" customHeight="1">
      <c r="A298" s="455"/>
      <c r="B298" s="1073" t="s">
        <v>854</v>
      </c>
      <c r="C298" s="1073"/>
      <c r="D298" s="1073"/>
      <c r="E298" s="1073"/>
      <c r="F298" s="1073"/>
      <c r="G298" s="1073"/>
      <c r="H298" s="1073"/>
      <c r="I298" s="1073"/>
      <c r="J298" s="1073"/>
      <c r="K298" s="1073"/>
      <c r="L298" s="1073"/>
      <c r="M298" s="1073"/>
      <c r="N298" s="1073"/>
      <c r="O298" s="1073"/>
      <c r="P298" s="420"/>
      <c r="Q298" s="420"/>
      <c r="R298" s="806"/>
    </row>
    <row r="299" spans="1:19" ht="42" customHeight="1">
      <c r="A299" s="1070" t="s">
        <v>298</v>
      </c>
      <c r="B299" s="1070"/>
      <c r="C299" s="1070"/>
      <c r="D299" s="1070"/>
      <c r="E299" s="1070"/>
      <c r="F299" s="1070"/>
      <c r="G299" s="1070"/>
      <c r="H299" s="1070"/>
      <c r="I299" s="1070"/>
      <c r="J299" s="1070"/>
      <c r="K299" s="1070"/>
      <c r="L299" s="1070"/>
      <c r="M299" s="1070"/>
      <c r="N299" s="1070"/>
      <c r="O299" s="1070"/>
      <c r="R299" s="806"/>
    </row>
    <row r="300" spans="1:19" s="421" customFormat="1" ht="19.5" customHeight="1">
      <c r="A300" s="414"/>
      <c r="B300" s="415"/>
      <c r="C300" s="776"/>
      <c r="D300" s="777" t="s">
        <v>430</v>
      </c>
      <c r="E300" s="419"/>
      <c r="F300" s="778"/>
      <c r="G300" s="779"/>
      <c r="H300" s="778"/>
      <c r="I300" s="780"/>
      <c r="J300" s="778"/>
      <c r="K300" s="778"/>
      <c r="L300" s="781" t="s">
        <v>262</v>
      </c>
      <c r="M300" s="778"/>
      <c r="N300" s="780"/>
      <c r="O300" s="419"/>
      <c r="P300" s="420"/>
      <c r="Q300" s="420"/>
      <c r="R300" s="820"/>
      <c r="S300" s="420"/>
    </row>
    <row r="301" spans="1:19" s="833" customFormat="1" ht="34.15" customHeight="1">
      <c r="A301" s="1068" t="s">
        <v>718</v>
      </c>
      <c r="B301" s="1068" t="s">
        <v>198</v>
      </c>
      <c r="C301" s="1071" t="s">
        <v>263</v>
      </c>
      <c r="D301" s="1071" t="s">
        <v>264</v>
      </c>
      <c r="E301" s="1071" t="s">
        <v>718</v>
      </c>
      <c r="F301" s="1071"/>
      <c r="G301" s="1071"/>
      <c r="H301" s="1071"/>
      <c r="I301" s="1071"/>
      <c r="J301" s="1071"/>
      <c r="K301" s="1071"/>
      <c r="L301" s="1071"/>
      <c r="M301" s="1071" t="s">
        <v>435</v>
      </c>
      <c r="N301" s="1071" t="s">
        <v>70</v>
      </c>
      <c r="O301" s="1071" t="s">
        <v>67</v>
      </c>
      <c r="P301" s="830"/>
      <c r="Q301" s="830"/>
      <c r="R301" s="831"/>
      <c r="S301" s="832"/>
    </row>
    <row r="302" spans="1:19" s="833" customFormat="1" ht="40.15" customHeight="1">
      <c r="A302" s="1068"/>
      <c r="B302" s="1068"/>
      <c r="C302" s="1071"/>
      <c r="D302" s="1071"/>
      <c r="E302" s="783" t="s">
        <v>686</v>
      </c>
      <c r="F302" s="783" t="s">
        <v>687</v>
      </c>
      <c r="G302" s="784" t="s">
        <v>285</v>
      </c>
      <c r="H302" s="783" t="s">
        <v>499</v>
      </c>
      <c r="I302" s="783" t="s">
        <v>688</v>
      </c>
      <c r="J302" s="783" t="s">
        <v>531</v>
      </c>
      <c r="K302" s="783" t="s">
        <v>689</v>
      </c>
      <c r="L302" s="783" t="s">
        <v>690</v>
      </c>
      <c r="M302" s="1071"/>
      <c r="N302" s="1071"/>
      <c r="O302" s="1071"/>
      <c r="P302" s="830"/>
      <c r="Q302" s="830"/>
      <c r="R302" s="831"/>
      <c r="S302" s="832"/>
    </row>
    <row r="303" spans="1:19" s="833" customFormat="1" ht="30">
      <c r="A303" s="785"/>
      <c r="B303" s="786" t="s">
        <v>747</v>
      </c>
      <c r="C303" s="783"/>
      <c r="D303" s="783"/>
      <c r="E303" s="783"/>
      <c r="F303" s="783"/>
      <c r="G303" s="784"/>
      <c r="H303" s="783"/>
      <c r="I303" s="783"/>
      <c r="J303" s="783"/>
      <c r="K303" s="783"/>
      <c r="L303" s="783"/>
      <c r="M303" s="783"/>
      <c r="N303" s="783"/>
      <c r="O303" s="783"/>
      <c r="P303" s="830"/>
      <c r="Q303" s="830"/>
      <c r="R303" s="831"/>
      <c r="S303" s="832"/>
    </row>
    <row r="304" spans="1:19" s="833" customFormat="1" ht="24.75" customHeight="1">
      <c r="A304" s="785"/>
      <c r="B304" s="787" t="s">
        <v>668</v>
      </c>
      <c r="C304" s="783" t="s">
        <v>532</v>
      </c>
      <c r="D304" s="785" t="s">
        <v>723</v>
      </c>
      <c r="E304" s="788" t="e">
        <f>E308+E335+E337</f>
        <v>#VALUE!</v>
      </c>
      <c r="F304" s="788">
        <f t="shared" ref="F304:O304" si="39">F308+F335+F337</f>
        <v>0</v>
      </c>
      <c r="G304" s="788">
        <f t="shared" si="39"/>
        <v>0</v>
      </c>
      <c r="H304" s="788">
        <f t="shared" si="39"/>
        <v>15311.343956730771</v>
      </c>
      <c r="I304" s="788">
        <f t="shared" si="39"/>
        <v>24075.468000000001</v>
      </c>
      <c r="J304" s="788">
        <f t="shared" si="39"/>
        <v>9608.4799999999977</v>
      </c>
      <c r="K304" s="788">
        <f t="shared" si="39"/>
        <v>18643.338</v>
      </c>
      <c r="L304" s="788" t="e">
        <f t="shared" si="39"/>
        <v>#VALUE!</v>
      </c>
      <c r="M304" s="788" t="e">
        <f t="shared" si="39"/>
        <v>#VALUE!</v>
      </c>
      <c r="N304" s="788" t="e">
        <f t="shared" si="39"/>
        <v>#VALUE!</v>
      </c>
      <c r="O304" s="788">
        <f t="shared" si="39"/>
        <v>38794.365384615383</v>
      </c>
      <c r="P304" s="830"/>
      <c r="Q304" s="830"/>
      <c r="R304" s="831"/>
      <c r="S304" s="832"/>
    </row>
    <row r="305" spans="1:19" s="833" customFormat="1" ht="24.75" customHeight="1">
      <c r="A305" s="785"/>
      <c r="B305" s="787" t="s">
        <v>327</v>
      </c>
      <c r="C305" s="783" t="s">
        <v>532</v>
      </c>
      <c r="D305" s="785" t="s">
        <v>723</v>
      </c>
      <c r="E305" s="788" t="e">
        <f>E309+E335+E337</f>
        <v>#VALUE!</v>
      </c>
      <c r="F305" s="788">
        <f t="shared" ref="F305:O305" si="40">F309+F335+F337</f>
        <v>0</v>
      </c>
      <c r="G305" s="788">
        <f t="shared" si="40"/>
        <v>0</v>
      </c>
      <c r="H305" s="788">
        <f t="shared" si="40"/>
        <v>15311.343956730771</v>
      </c>
      <c r="I305" s="788">
        <f t="shared" si="40"/>
        <v>24075.468000000001</v>
      </c>
      <c r="J305" s="788">
        <f t="shared" si="40"/>
        <v>9608.4799999999977</v>
      </c>
      <c r="K305" s="788">
        <f t="shared" si="40"/>
        <v>18643.338</v>
      </c>
      <c r="L305" s="788" t="e">
        <f t="shared" si="40"/>
        <v>#VALUE!</v>
      </c>
      <c r="M305" s="788" t="e">
        <f t="shared" si="40"/>
        <v>#VALUE!</v>
      </c>
      <c r="N305" s="788" t="e">
        <f t="shared" si="40"/>
        <v>#VALUE!</v>
      </c>
      <c r="O305" s="788">
        <f t="shared" si="40"/>
        <v>38486.961538461539</v>
      </c>
      <c r="P305" s="830"/>
      <c r="Q305" s="830"/>
      <c r="R305" s="831"/>
      <c r="S305" s="832"/>
    </row>
    <row r="306" spans="1:19" s="833" customFormat="1" ht="24.75" customHeight="1">
      <c r="A306" s="785"/>
      <c r="B306" s="789"/>
      <c r="C306" s="783"/>
      <c r="D306" s="783"/>
      <c r="E306" s="825"/>
      <c r="F306" s="825"/>
      <c r="G306" s="825"/>
      <c r="H306" s="825"/>
      <c r="I306" s="825"/>
      <c r="J306" s="825"/>
      <c r="K306" s="825"/>
      <c r="L306" s="825"/>
      <c r="M306" s="825"/>
      <c r="N306" s="825"/>
      <c r="O306" s="825"/>
      <c r="P306" s="834">
        <f>'He so chung'!D$22</f>
        <v>5346.1538461538457</v>
      </c>
      <c r="Q306" s="834">
        <f>'He so chung'!D$23</f>
        <v>801.92307692307691</v>
      </c>
      <c r="R306" s="835"/>
      <c r="S306" s="832"/>
    </row>
    <row r="307" spans="1:19" s="833" customFormat="1" ht="24.75" customHeight="1">
      <c r="A307" s="785" t="s">
        <v>1000</v>
      </c>
      <c r="B307" s="789" t="s">
        <v>339</v>
      </c>
      <c r="C307" s="783"/>
      <c r="D307" s="783"/>
      <c r="E307" s="825"/>
      <c r="F307" s="825"/>
      <c r="G307" s="825"/>
      <c r="H307" s="825"/>
      <c r="I307" s="825"/>
      <c r="J307" s="825"/>
      <c r="K307" s="825"/>
      <c r="L307" s="825"/>
      <c r="M307" s="825"/>
      <c r="N307" s="825"/>
      <c r="O307" s="825"/>
      <c r="P307" s="834"/>
      <c r="Q307" s="834"/>
      <c r="R307" s="835"/>
      <c r="S307" s="832"/>
    </row>
    <row r="308" spans="1:19" s="837" customFormat="1" ht="24.75" customHeight="1">
      <c r="A308" s="791" t="s">
        <v>1008</v>
      </c>
      <c r="B308" s="787" t="s">
        <v>668</v>
      </c>
      <c r="C308" s="783" t="s">
        <v>532</v>
      </c>
      <c r="D308" s="792" t="s">
        <v>723</v>
      </c>
      <c r="E308" s="793" t="e">
        <f>E311+E313+E314+E315+E316+E318+E320+E321+E323+E325+E326+E327+E328+E331+E332+E333+E334</f>
        <v>#VALUE!</v>
      </c>
      <c r="F308" s="794"/>
      <c r="G308" s="827"/>
      <c r="H308" s="794">
        <f>'Dcu-DKDD'!$L$363</f>
        <v>15234.264365384617</v>
      </c>
      <c r="I308" s="794">
        <f>'VL-DKDD'!$J$371</f>
        <v>23603.4</v>
      </c>
      <c r="J308" s="794">
        <f>'TB-DKDD'!$M$212</f>
        <v>9608.4799999999977</v>
      </c>
      <c r="K308" s="794">
        <f>'NL-DKDD'!$J$142</f>
        <v>18643.338</v>
      </c>
      <c r="L308" s="796" t="e">
        <f>SUM(E308:K308)</f>
        <v>#VALUE!</v>
      </c>
      <c r="M308" s="796" t="e">
        <f>L308*'He so chung'!$D$17/100</f>
        <v>#VALUE!</v>
      </c>
      <c r="N308" s="796" t="e">
        <f>L308+M308</f>
        <v>#VALUE!</v>
      </c>
      <c r="O308" s="793">
        <f>O311+O313+O314+O315+O316+O318+O320+O321+O323+O325+O326+O327+O328+O331+O332+O333+O334</f>
        <v>36335.13461538461</v>
      </c>
      <c r="P308" s="830"/>
      <c r="Q308" s="830"/>
      <c r="R308" s="831"/>
      <c r="S308" s="836"/>
    </row>
    <row r="309" spans="1:19" s="837" customFormat="1" ht="24.75" customHeight="1">
      <c r="A309" s="791" t="s">
        <v>1009</v>
      </c>
      <c r="B309" s="787" t="s">
        <v>327</v>
      </c>
      <c r="C309" s="783" t="s">
        <v>532</v>
      </c>
      <c r="D309" s="792" t="s">
        <v>723</v>
      </c>
      <c r="E309" s="793" t="e">
        <f>E312+E313+E314+E315+E316+E318+E320+E321+E323+E325+E326+E327+E328+E331+E332+E333+E334</f>
        <v>#VALUE!</v>
      </c>
      <c r="F309" s="794"/>
      <c r="G309" s="827"/>
      <c r="H309" s="794">
        <f>'Dcu-DKDD'!$L$363</f>
        <v>15234.264365384617</v>
      </c>
      <c r="I309" s="794">
        <f>'VL-DKDD'!$J$371</f>
        <v>23603.4</v>
      </c>
      <c r="J309" s="794">
        <f>'TB-DKDD'!$M$212</f>
        <v>9608.4799999999977</v>
      </c>
      <c r="K309" s="794">
        <f>'NL-DKDD'!$J$142</f>
        <v>18643.338</v>
      </c>
      <c r="L309" s="796" t="e">
        <f>SUM(E309:K309)</f>
        <v>#VALUE!</v>
      </c>
      <c r="M309" s="796" t="e">
        <f>L309*'He so chung'!$D$17/100</f>
        <v>#VALUE!</v>
      </c>
      <c r="N309" s="796" t="e">
        <f>L309+M309</f>
        <v>#VALUE!</v>
      </c>
      <c r="O309" s="793">
        <f>O312+O313+O314+O315+O316+O318+O320+O321+O323+O325+O326+O327+O328+O331+O332+O333+O334</f>
        <v>36027.730769230766</v>
      </c>
      <c r="P309" s="830"/>
      <c r="Q309" s="830"/>
      <c r="R309" s="831"/>
      <c r="S309" s="836"/>
    </row>
    <row r="310" spans="1:19" s="837" customFormat="1" ht="21.75" customHeight="1">
      <c r="A310" s="798">
        <v>1</v>
      </c>
      <c r="B310" s="799" t="s">
        <v>824</v>
      </c>
      <c r="C310" s="798"/>
      <c r="D310" s="800"/>
      <c r="E310" s="794"/>
      <c r="F310" s="794"/>
      <c r="G310" s="827"/>
      <c r="H310" s="794"/>
      <c r="I310" s="794"/>
      <c r="J310" s="794"/>
      <c r="K310" s="794"/>
      <c r="L310" s="794"/>
      <c r="M310" s="794"/>
      <c r="N310" s="794"/>
      <c r="O310" s="794"/>
      <c r="P310" s="830"/>
      <c r="Q310" s="830"/>
      <c r="R310" s="831"/>
      <c r="S310" s="836"/>
    </row>
    <row r="311" spans="1:19" s="837" customFormat="1" ht="21.75" customHeight="1">
      <c r="A311" s="798" t="s">
        <v>733</v>
      </c>
      <c r="B311" s="799" t="s">
        <v>846</v>
      </c>
      <c r="C311" s="798" t="s">
        <v>532</v>
      </c>
      <c r="D311" s="792" t="s">
        <v>723</v>
      </c>
      <c r="E311" s="794" t="e">
        <f>NC_DKDD!H1009</f>
        <v>#VALUE!</v>
      </c>
      <c r="F311" s="794"/>
      <c r="G311" s="827"/>
      <c r="H311" s="794"/>
      <c r="I311" s="794"/>
      <c r="J311" s="794"/>
      <c r="K311" s="794"/>
      <c r="L311" s="794"/>
      <c r="M311" s="794"/>
      <c r="N311" s="794"/>
      <c r="O311" s="794">
        <f t="shared" ref="O311:O334" si="41">P311+Q311</f>
        <v>1229.6153846153848</v>
      </c>
      <c r="P311" s="830">
        <f t="shared" ref="P311:P338" si="42">R311*P$264</f>
        <v>1069.2307692307693</v>
      </c>
      <c r="Q311" s="830">
        <f t="shared" ref="Q311:Q338" si="43">R311*Q$264</f>
        <v>160.38461538461539</v>
      </c>
      <c r="R311" s="838">
        <f>NC_DKDD!G1009</f>
        <v>0.2</v>
      </c>
      <c r="S311" s="836"/>
    </row>
    <row r="312" spans="1:19" s="837" customFormat="1" ht="21.75" customHeight="1">
      <c r="A312" s="798" t="s">
        <v>741</v>
      </c>
      <c r="B312" s="799" t="s">
        <v>849</v>
      </c>
      <c r="C312" s="798" t="s">
        <v>532</v>
      </c>
      <c r="D312" s="792" t="s">
        <v>723</v>
      </c>
      <c r="E312" s="794" t="e">
        <f>NC_DKDD!H1010</f>
        <v>#VALUE!</v>
      </c>
      <c r="F312" s="794"/>
      <c r="G312" s="827"/>
      <c r="H312" s="794"/>
      <c r="I312" s="794"/>
      <c r="J312" s="794"/>
      <c r="K312" s="794"/>
      <c r="L312" s="794"/>
      <c r="M312" s="794"/>
      <c r="N312" s="794"/>
      <c r="O312" s="794">
        <f t="shared" si="41"/>
        <v>922.21153846153834</v>
      </c>
      <c r="P312" s="830">
        <f t="shared" si="42"/>
        <v>801.92307692307679</v>
      </c>
      <c r="Q312" s="830">
        <f t="shared" si="43"/>
        <v>120.28846153846153</v>
      </c>
      <c r="R312" s="838">
        <f>NC_DKDD!G1010</f>
        <v>0.15</v>
      </c>
      <c r="S312" s="836"/>
    </row>
    <row r="313" spans="1:19" s="837" customFormat="1" ht="35.25" customHeight="1">
      <c r="A313" s="798">
        <v>2</v>
      </c>
      <c r="B313" s="799" t="s">
        <v>797</v>
      </c>
      <c r="C313" s="798" t="s">
        <v>532</v>
      </c>
      <c r="D313" s="792" t="s">
        <v>723</v>
      </c>
      <c r="E313" s="794" t="e">
        <f>NC_DKDD!H1011</f>
        <v>#VALUE!</v>
      </c>
      <c r="F313" s="794"/>
      <c r="G313" s="827"/>
      <c r="H313" s="794"/>
      <c r="I313" s="794"/>
      <c r="J313" s="794"/>
      <c r="K313" s="794"/>
      <c r="L313" s="794"/>
      <c r="M313" s="794"/>
      <c r="N313" s="794"/>
      <c r="O313" s="794">
        <f t="shared" si="41"/>
        <v>1844.4230769230767</v>
      </c>
      <c r="P313" s="830">
        <f t="shared" si="42"/>
        <v>1603.8461538461536</v>
      </c>
      <c r="Q313" s="830">
        <f t="shared" si="43"/>
        <v>240.57692307692307</v>
      </c>
      <c r="R313" s="838">
        <f>NC_DKDD!G1011</f>
        <v>0.3</v>
      </c>
      <c r="S313" s="836"/>
    </row>
    <row r="314" spans="1:19" s="837" customFormat="1" ht="34.5" customHeight="1">
      <c r="A314" s="798">
        <v>3</v>
      </c>
      <c r="B314" s="799" t="s">
        <v>881</v>
      </c>
      <c r="C314" s="798" t="s">
        <v>375</v>
      </c>
      <c r="D314" s="792" t="s">
        <v>723</v>
      </c>
      <c r="E314" s="794" t="e">
        <f>NC_DKDD!H1012</f>
        <v>#VALUE!</v>
      </c>
      <c r="F314" s="794"/>
      <c r="G314" s="827"/>
      <c r="H314" s="794"/>
      <c r="I314" s="794"/>
      <c r="J314" s="794"/>
      <c r="K314" s="794"/>
      <c r="L314" s="794"/>
      <c r="M314" s="794"/>
      <c r="N314" s="794"/>
      <c r="O314" s="794">
        <f t="shared" si="41"/>
        <v>202.88653846153844</v>
      </c>
      <c r="P314" s="830">
        <f t="shared" si="42"/>
        <v>176.42307692307691</v>
      </c>
      <c r="Q314" s="830">
        <f t="shared" si="43"/>
        <v>26.463461538461541</v>
      </c>
      <c r="R314" s="838">
        <f>NC_DKDD!G1012</f>
        <v>3.3000000000000002E-2</v>
      </c>
      <c r="S314" s="836"/>
    </row>
    <row r="315" spans="1:19" s="837" customFormat="1" ht="71.25">
      <c r="A315" s="798">
        <v>4</v>
      </c>
      <c r="B315" s="799" t="s">
        <v>700</v>
      </c>
      <c r="C315" s="798" t="s">
        <v>532</v>
      </c>
      <c r="D315" s="792" t="s">
        <v>723</v>
      </c>
      <c r="E315" s="794" t="e">
        <f>NC_DKDD!H1013</f>
        <v>#VALUE!</v>
      </c>
      <c r="F315" s="794"/>
      <c r="G315" s="827"/>
      <c r="H315" s="794"/>
      <c r="I315" s="794"/>
      <c r="J315" s="794"/>
      <c r="K315" s="794"/>
      <c r="L315" s="794"/>
      <c r="M315" s="794"/>
      <c r="N315" s="794"/>
      <c r="O315" s="794">
        <f t="shared" si="41"/>
        <v>24592.307692307691</v>
      </c>
      <c r="P315" s="830">
        <f t="shared" si="42"/>
        <v>21384.615384615383</v>
      </c>
      <c r="Q315" s="830">
        <f t="shared" si="43"/>
        <v>3207.6923076923076</v>
      </c>
      <c r="R315" s="838">
        <f>NC_DKDD!G1013</f>
        <v>4</v>
      </c>
      <c r="S315" s="836"/>
    </row>
    <row r="316" spans="1:19" s="837" customFormat="1" ht="21.75" customHeight="1">
      <c r="A316" s="798">
        <v>5</v>
      </c>
      <c r="B316" s="799" t="s">
        <v>886</v>
      </c>
      <c r="C316" s="798" t="s">
        <v>375</v>
      </c>
      <c r="D316" s="792" t="s">
        <v>723</v>
      </c>
      <c r="E316" s="794" t="e">
        <f>NC_DKDD!H1014</f>
        <v>#VALUE!</v>
      </c>
      <c r="F316" s="794"/>
      <c r="G316" s="827"/>
      <c r="H316" s="794"/>
      <c r="I316" s="794"/>
      <c r="J316" s="794"/>
      <c r="K316" s="794"/>
      <c r="L316" s="794"/>
      <c r="M316" s="794"/>
      <c r="N316" s="794"/>
      <c r="O316" s="794">
        <f t="shared" si="41"/>
        <v>18.444230769230767</v>
      </c>
      <c r="P316" s="830">
        <f t="shared" si="42"/>
        <v>16.038461538461537</v>
      </c>
      <c r="Q316" s="830">
        <f t="shared" si="43"/>
        <v>2.4057692307692307</v>
      </c>
      <c r="R316" s="838">
        <f>NC_DKDD!G1014</f>
        <v>3.0000000000000001E-3</v>
      </c>
      <c r="S316" s="836"/>
    </row>
    <row r="317" spans="1:19" s="837" customFormat="1" ht="42.75">
      <c r="A317" s="798">
        <v>6</v>
      </c>
      <c r="B317" s="799" t="s">
        <v>802</v>
      </c>
      <c r="C317" s="798"/>
      <c r="D317" s="798"/>
      <c r="E317" s="794">
        <f>NC_DKDD!H1015</f>
        <v>0</v>
      </c>
      <c r="F317" s="794"/>
      <c r="G317" s="827"/>
      <c r="H317" s="794"/>
      <c r="I317" s="794"/>
      <c r="J317" s="794"/>
      <c r="K317" s="794"/>
      <c r="L317" s="794"/>
      <c r="M317" s="794"/>
      <c r="N317" s="794"/>
      <c r="O317" s="794">
        <f t="shared" si="41"/>
        <v>0</v>
      </c>
      <c r="P317" s="830">
        <f t="shared" si="42"/>
        <v>0</v>
      </c>
      <c r="Q317" s="830">
        <f t="shared" si="43"/>
        <v>0</v>
      </c>
      <c r="R317" s="838">
        <f>NC_DKDD!G1015</f>
        <v>0</v>
      </c>
      <c r="S317" s="836"/>
    </row>
    <row r="318" spans="1:19" s="837" customFormat="1" ht="27.75" customHeight="1">
      <c r="A318" s="798" t="s">
        <v>661</v>
      </c>
      <c r="B318" s="799" t="s">
        <v>587</v>
      </c>
      <c r="C318" s="798" t="s">
        <v>532</v>
      </c>
      <c r="D318" s="792" t="s">
        <v>723</v>
      </c>
      <c r="E318" s="794" t="e">
        <f>NC_DKDD!H1016</f>
        <v>#VALUE!</v>
      </c>
      <c r="F318" s="794"/>
      <c r="G318" s="827"/>
      <c r="H318" s="794"/>
      <c r="I318" s="794"/>
      <c r="J318" s="794"/>
      <c r="K318" s="794"/>
      <c r="L318" s="794"/>
      <c r="M318" s="794"/>
      <c r="N318" s="794"/>
      <c r="O318" s="794">
        <f t="shared" si="41"/>
        <v>0</v>
      </c>
      <c r="P318" s="830">
        <f t="shared" si="42"/>
        <v>0</v>
      </c>
      <c r="Q318" s="830">
        <f t="shared" si="43"/>
        <v>0</v>
      </c>
      <c r="R318" s="838">
        <f>NC_DKDD!G1016</f>
        <v>0</v>
      </c>
      <c r="S318" s="836"/>
    </row>
    <row r="319" spans="1:19" s="837" customFormat="1" ht="23.25" customHeight="1">
      <c r="A319" s="798" t="s">
        <v>662</v>
      </c>
      <c r="B319" s="799" t="s">
        <v>588</v>
      </c>
      <c r="C319" s="798" t="s">
        <v>532</v>
      </c>
      <c r="D319" s="792" t="s">
        <v>723</v>
      </c>
      <c r="E319" s="794" t="e">
        <f>NC_DKDD!H1017</f>
        <v>#VALUE!</v>
      </c>
      <c r="F319" s="794"/>
      <c r="G319" s="827"/>
      <c r="H319" s="794"/>
      <c r="I319" s="794"/>
      <c r="J319" s="794"/>
      <c r="K319" s="794"/>
      <c r="L319" s="794"/>
      <c r="M319" s="794"/>
      <c r="N319" s="794"/>
      <c r="O319" s="794">
        <f t="shared" si="41"/>
        <v>0</v>
      </c>
      <c r="P319" s="830">
        <f t="shared" si="42"/>
        <v>0</v>
      </c>
      <c r="Q319" s="830">
        <f t="shared" si="43"/>
        <v>0</v>
      </c>
      <c r="R319" s="838">
        <f>NC_DKDD!G1017</f>
        <v>0</v>
      </c>
      <c r="S319" s="836"/>
    </row>
    <row r="320" spans="1:19" s="837" customFormat="1" ht="28.5">
      <c r="A320" s="798">
        <v>7</v>
      </c>
      <c r="B320" s="799" t="s">
        <v>408</v>
      </c>
      <c r="C320" s="798" t="s">
        <v>532</v>
      </c>
      <c r="D320" s="792" t="s">
        <v>723</v>
      </c>
      <c r="E320" s="794" t="e">
        <f>NC_DKDD!H1018</f>
        <v>#VALUE!</v>
      </c>
      <c r="F320" s="794"/>
      <c r="G320" s="827"/>
      <c r="H320" s="794"/>
      <c r="I320" s="794"/>
      <c r="J320" s="794"/>
      <c r="K320" s="794"/>
      <c r="L320" s="794"/>
      <c r="M320" s="794"/>
      <c r="N320" s="794"/>
      <c r="O320" s="794">
        <f t="shared" si="41"/>
        <v>1229.6153846153848</v>
      </c>
      <c r="P320" s="830">
        <f t="shared" si="42"/>
        <v>1069.2307692307693</v>
      </c>
      <c r="Q320" s="830">
        <f t="shared" si="43"/>
        <v>160.38461538461539</v>
      </c>
      <c r="R320" s="838">
        <f>NC_DKDD!G1018</f>
        <v>0.2</v>
      </c>
      <c r="S320" s="836"/>
    </row>
    <row r="321" spans="1:19" s="837" customFormat="1" ht="21.75" customHeight="1">
      <c r="A321" s="798">
        <v>8</v>
      </c>
      <c r="B321" s="799" t="s">
        <v>78</v>
      </c>
      <c r="C321" s="798" t="s">
        <v>375</v>
      </c>
      <c r="D321" s="792" t="s">
        <v>723</v>
      </c>
      <c r="E321" s="794" t="e">
        <f>NC_DKDD!H1019</f>
        <v>#VALUE!</v>
      </c>
      <c r="F321" s="794"/>
      <c r="G321" s="827"/>
      <c r="H321" s="794"/>
      <c r="I321" s="794"/>
      <c r="J321" s="794"/>
      <c r="K321" s="794"/>
      <c r="L321" s="794"/>
      <c r="M321" s="794"/>
      <c r="N321" s="794"/>
      <c r="O321" s="794">
        <f t="shared" si="41"/>
        <v>202.88653846153844</v>
      </c>
      <c r="P321" s="830">
        <f t="shared" si="42"/>
        <v>176.42307692307691</v>
      </c>
      <c r="Q321" s="830">
        <f t="shared" si="43"/>
        <v>26.463461538461541</v>
      </c>
      <c r="R321" s="838">
        <f>NC_DKDD!G1019</f>
        <v>3.3000000000000002E-2</v>
      </c>
      <c r="S321" s="836"/>
    </row>
    <row r="322" spans="1:19" s="837" customFormat="1" ht="21.75" customHeight="1">
      <c r="A322" s="798">
        <v>9</v>
      </c>
      <c r="B322" s="799" t="s">
        <v>80</v>
      </c>
      <c r="C322" s="798"/>
      <c r="D322" s="798"/>
      <c r="E322" s="794">
        <f>NC_DKDD!H1020</f>
        <v>0</v>
      </c>
      <c r="F322" s="794"/>
      <c r="G322" s="827"/>
      <c r="H322" s="794"/>
      <c r="I322" s="794"/>
      <c r="J322" s="794"/>
      <c r="K322" s="794"/>
      <c r="L322" s="794"/>
      <c r="M322" s="794"/>
      <c r="N322" s="794"/>
      <c r="O322" s="794">
        <f t="shared" si="41"/>
        <v>0</v>
      </c>
      <c r="P322" s="830">
        <f t="shared" si="42"/>
        <v>0</v>
      </c>
      <c r="Q322" s="830">
        <f t="shared" si="43"/>
        <v>0</v>
      </c>
      <c r="R322" s="838">
        <f>NC_DKDD!G1020</f>
        <v>0</v>
      </c>
      <c r="S322" s="836"/>
    </row>
    <row r="323" spans="1:19" s="837" customFormat="1" ht="21.75" customHeight="1">
      <c r="A323" s="798" t="s">
        <v>663</v>
      </c>
      <c r="B323" s="799" t="s">
        <v>82</v>
      </c>
      <c r="C323" s="798" t="s">
        <v>559</v>
      </c>
      <c r="D323" s="792" t="s">
        <v>723</v>
      </c>
      <c r="E323" s="794" t="e">
        <f>NC_DKDD!H1021</f>
        <v>#VALUE!</v>
      </c>
      <c r="F323" s="794"/>
      <c r="G323" s="827"/>
      <c r="H323" s="794"/>
      <c r="I323" s="794"/>
      <c r="J323" s="794"/>
      <c r="K323" s="794"/>
      <c r="L323" s="794"/>
      <c r="M323" s="794"/>
      <c r="N323" s="794"/>
      <c r="O323" s="794">
        <f t="shared" si="41"/>
        <v>614.80769230769238</v>
      </c>
      <c r="P323" s="830">
        <f t="shared" si="42"/>
        <v>534.61538461538464</v>
      </c>
      <c r="Q323" s="830">
        <f t="shared" si="43"/>
        <v>80.192307692307693</v>
      </c>
      <c r="R323" s="838">
        <f>NC_DKDD!G1021</f>
        <v>0.1</v>
      </c>
      <c r="S323" s="836"/>
    </row>
    <row r="324" spans="1:19" s="837" customFormat="1" ht="21.75" customHeight="1">
      <c r="A324" s="798" t="s">
        <v>664</v>
      </c>
      <c r="B324" s="799" t="s">
        <v>84</v>
      </c>
      <c r="C324" s="798" t="s">
        <v>559</v>
      </c>
      <c r="D324" s="792" t="s">
        <v>723</v>
      </c>
      <c r="E324" s="794" t="e">
        <f>NC_DKDD!H1022</f>
        <v>#VALUE!</v>
      </c>
      <c r="F324" s="794"/>
      <c r="G324" s="827"/>
      <c r="H324" s="794"/>
      <c r="I324" s="794"/>
      <c r="J324" s="794"/>
      <c r="K324" s="794"/>
      <c r="L324" s="794"/>
      <c r="M324" s="794"/>
      <c r="N324" s="794"/>
      <c r="O324" s="794">
        <f t="shared" si="41"/>
        <v>1229.6153846153848</v>
      </c>
      <c r="P324" s="830">
        <f t="shared" si="42"/>
        <v>1069.2307692307693</v>
      </c>
      <c r="Q324" s="830">
        <f t="shared" si="43"/>
        <v>160.38461538461539</v>
      </c>
      <c r="R324" s="838">
        <f>NC_DKDD!G1022</f>
        <v>0.2</v>
      </c>
      <c r="S324" s="836"/>
    </row>
    <row r="325" spans="1:19" s="837" customFormat="1" ht="31.5" customHeight="1">
      <c r="A325" s="798" t="s">
        <v>409</v>
      </c>
      <c r="B325" s="799" t="s">
        <v>410</v>
      </c>
      <c r="C325" s="798" t="s">
        <v>559</v>
      </c>
      <c r="D325" s="792" t="s">
        <v>723</v>
      </c>
      <c r="E325" s="794" t="e">
        <f>NC_DKDD!H1023</f>
        <v>#VALUE!</v>
      </c>
      <c r="F325" s="794"/>
      <c r="G325" s="827"/>
      <c r="H325" s="794"/>
      <c r="I325" s="794"/>
      <c r="J325" s="794"/>
      <c r="K325" s="794"/>
      <c r="L325" s="794"/>
      <c r="M325" s="794"/>
      <c r="N325" s="794"/>
      <c r="O325" s="794">
        <f t="shared" si="41"/>
        <v>614.80769230769238</v>
      </c>
      <c r="P325" s="830">
        <f t="shared" si="42"/>
        <v>534.61538461538464</v>
      </c>
      <c r="Q325" s="830">
        <f t="shared" si="43"/>
        <v>80.192307692307693</v>
      </c>
      <c r="R325" s="838">
        <f>NC_DKDD!G1023</f>
        <v>0.1</v>
      </c>
      <c r="S325" s="836"/>
    </row>
    <row r="326" spans="1:19" s="837" customFormat="1" ht="28.5">
      <c r="A326" s="798">
        <v>10</v>
      </c>
      <c r="B326" s="799" t="s">
        <v>411</v>
      </c>
      <c r="C326" s="798" t="s">
        <v>532</v>
      </c>
      <c r="D326" s="792" t="s">
        <v>723</v>
      </c>
      <c r="E326" s="794" t="e">
        <f>NC_DKDD!H1024</f>
        <v>#VALUE!</v>
      </c>
      <c r="F326" s="794"/>
      <c r="G326" s="827"/>
      <c r="H326" s="794"/>
      <c r="I326" s="794"/>
      <c r="J326" s="794"/>
      <c r="K326" s="794"/>
      <c r="L326" s="794"/>
      <c r="M326" s="794"/>
      <c r="N326" s="794"/>
      <c r="O326" s="794">
        <f t="shared" si="41"/>
        <v>3074.0384615384614</v>
      </c>
      <c r="P326" s="830">
        <f t="shared" si="42"/>
        <v>2673.0769230769229</v>
      </c>
      <c r="Q326" s="830">
        <f t="shared" si="43"/>
        <v>400.96153846153845</v>
      </c>
      <c r="R326" s="838">
        <f>NC_DKDD!G1024</f>
        <v>0.5</v>
      </c>
      <c r="S326" s="836"/>
    </row>
    <row r="327" spans="1:19" s="837" customFormat="1" ht="57">
      <c r="A327" s="798">
        <v>11</v>
      </c>
      <c r="B327" s="799" t="s">
        <v>826</v>
      </c>
      <c r="C327" s="798" t="s">
        <v>532</v>
      </c>
      <c r="D327" s="792" t="s">
        <v>723</v>
      </c>
      <c r="E327" s="794" t="e">
        <f>NC_DKDD!H1025</f>
        <v>#VALUE!</v>
      </c>
      <c r="F327" s="794"/>
      <c r="G327" s="827"/>
      <c r="H327" s="794"/>
      <c r="I327" s="794"/>
      <c r="J327" s="794"/>
      <c r="K327" s="794"/>
      <c r="L327" s="794"/>
      <c r="M327" s="794"/>
      <c r="N327" s="794"/>
      <c r="O327" s="794">
        <f t="shared" si="41"/>
        <v>2274.7884615384614</v>
      </c>
      <c r="P327" s="830">
        <f t="shared" si="42"/>
        <v>1978.0769230769229</v>
      </c>
      <c r="Q327" s="830">
        <f t="shared" si="43"/>
        <v>296.71153846153845</v>
      </c>
      <c r="R327" s="838">
        <f>NC_DKDD!G1025</f>
        <v>0.37</v>
      </c>
      <c r="S327" s="836"/>
    </row>
    <row r="328" spans="1:19" s="837" customFormat="1" ht="21.75" customHeight="1">
      <c r="A328" s="798">
        <v>12</v>
      </c>
      <c r="B328" s="799" t="s">
        <v>87</v>
      </c>
      <c r="C328" s="798" t="s">
        <v>375</v>
      </c>
      <c r="D328" s="792" t="s">
        <v>723</v>
      </c>
      <c r="E328" s="794" t="e">
        <f>NC_DKDD!H1026</f>
        <v>#VALUE!</v>
      </c>
      <c r="F328" s="794"/>
      <c r="G328" s="827"/>
      <c r="H328" s="794"/>
      <c r="I328" s="794"/>
      <c r="J328" s="794"/>
      <c r="K328" s="794"/>
      <c r="L328" s="794"/>
      <c r="M328" s="794"/>
      <c r="N328" s="794"/>
      <c r="O328" s="794">
        <f t="shared" si="41"/>
        <v>202.88653846153844</v>
      </c>
      <c r="P328" s="830">
        <f t="shared" si="42"/>
        <v>176.42307692307691</v>
      </c>
      <c r="Q328" s="830">
        <f t="shared" si="43"/>
        <v>26.463461538461541</v>
      </c>
      <c r="R328" s="838">
        <f>NC_DKDD!G1026</f>
        <v>3.3000000000000002E-2</v>
      </c>
      <c r="S328" s="836"/>
    </row>
    <row r="329" spans="1:19" s="837" customFormat="1" ht="21.75" customHeight="1">
      <c r="A329" s="798">
        <v>13</v>
      </c>
      <c r="B329" s="799" t="s">
        <v>88</v>
      </c>
      <c r="C329" s="798"/>
      <c r="D329" s="798"/>
      <c r="E329" s="794">
        <f>NC_DKDD!H1027</f>
        <v>0</v>
      </c>
      <c r="F329" s="794"/>
      <c r="G329" s="827"/>
      <c r="H329" s="794"/>
      <c r="I329" s="794"/>
      <c r="J329" s="794"/>
      <c r="K329" s="794"/>
      <c r="L329" s="794"/>
      <c r="M329" s="794"/>
      <c r="N329" s="794"/>
      <c r="O329" s="794">
        <f t="shared" si="41"/>
        <v>0</v>
      </c>
      <c r="P329" s="830">
        <f t="shared" si="42"/>
        <v>0</v>
      </c>
      <c r="Q329" s="830">
        <f t="shared" si="43"/>
        <v>0</v>
      </c>
      <c r="R329" s="838">
        <f>NC_DKDD!G1027</f>
        <v>0</v>
      </c>
      <c r="S329" s="836"/>
    </row>
    <row r="330" spans="1:19" s="837" customFormat="1" ht="33.75" customHeight="1">
      <c r="A330" s="798" t="s">
        <v>110</v>
      </c>
      <c r="B330" s="799" t="s">
        <v>775</v>
      </c>
      <c r="C330" s="798"/>
      <c r="D330" s="798"/>
      <c r="E330" s="794">
        <f>NC_DKDD!H1028</f>
        <v>0</v>
      </c>
      <c r="F330" s="794"/>
      <c r="G330" s="827"/>
      <c r="H330" s="794"/>
      <c r="I330" s="794"/>
      <c r="J330" s="794"/>
      <c r="K330" s="794"/>
      <c r="L330" s="794"/>
      <c r="M330" s="794"/>
      <c r="N330" s="794"/>
      <c r="O330" s="794">
        <f t="shared" si="41"/>
        <v>0</v>
      </c>
      <c r="P330" s="830">
        <f t="shared" si="42"/>
        <v>0</v>
      </c>
      <c r="Q330" s="830">
        <f t="shared" si="43"/>
        <v>0</v>
      </c>
      <c r="R330" s="838">
        <f>NC_DKDD!G1028</f>
        <v>0</v>
      </c>
      <c r="S330" s="836"/>
    </row>
    <row r="331" spans="1:19" s="837" customFormat="1" ht="21.75" customHeight="1">
      <c r="A331" s="798" t="s">
        <v>111</v>
      </c>
      <c r="B331" s="799" t="s">
        <v>777</v>
      </c>
      <c r="C331" s="798" t="s">
        <v>377</v>
      </c>
      <c r="D331" s="792" t="s">
        <v>723</v>
      </c>
      <c r="E331" s="794" t="e">
        <f>NC_DKDD!H1029</f>
        <v>#VALUE!</v>
      </c>
      <c r="F331" s="794"/>
      <c r="G331" s="827"/>
      <c r="H331" s="794"/>
      <c r="I331" s="794"/>
      <c r="J331" s="794"/>
      <c r="K331" s="794"/>
      <c r="L331" s="794"/>
      <c r="M331" s="794"/>
      <c r="N331" s="794"/>
      <c r="O331" s="794">
        <f t="shared" si="41"/>
        <v>98.369230769230768</v>
      </c>
      <c r="P331" s="830">
        <f t="shared" si="42"/>
        <v>85.538461538461533</v>
      </c>
      <c r="Q331" s="830">
        <f t="shared" si="43"/>
        <v>12.830769230769231</v>
      </c>
      <c r="R331" s="838">
        <f>NC_DKDD!G1029</f>
        <v>1.6E-2</v>
      </c>
      <c r="S331" s="836"/>
    </row>
    <row r="332" spans="1:19" s="837" customFormat="1" ht="21.75" customHeight="1">
      <c r="A332" s="798" t="s">
        <v>112</v>
      </c>
      <c r="B332" s="799" t="s">
        <v>781</v>
      </c>
      <c r="C332" s="798" t="s">
        <v>377</v>
      </c>
      <c r="D332" s="792" t="s">
        <v>723</v>
      </c>
      <c r="E332" s="794" t="e">
        <f>NC_DKDD!H1030</f>
        <v>#VALUE!</v>
      </c>
      <c r="F332" s="794"/>
      <c r="G332" s="827"/>
      <c r="H332" s="794"/>
      <c r="I332" s="794"/>
      <c r="J332" s="794"/>
      <c r="K332" s="794"/>
      <c r="L332" s="794"/>
      <c r="M332" s="794"/>
      <c r="N332" s="794"/>
      <c r="O332" s="794">
        <f t="shared" si="41"/>
        <v>49.184615384615384</v>
      </c>
      <c r="P332" s="830">
        <f t="shared" si="42"/>
        <v>42.769230769230766</v>
      </c>
      <c r="Q332" s="830">
        <f t="shared" si="43"/>
        <v>6.4153846153846157</v>
      </c>
      <c r="R332" s="838">
        <f>NC_DKDD!G1030</f>
        <v>8.0000000000000002E-3</v>
      </c>
      <c r="S332" s="836"/>
    </row>
    <row r="333" spans="1:19" s="837" customFormat="1" ht="33.75" customHeight="1">
      <c r="A333" s="798" t="s">
        <v>113</v>
      </c>
      <c r="B333" s="799" t="s">
        <v>861</v>
      </c>
      <c r="C333" s="798" t="s">
        <v>377</v>
      </c>
      <c r="D333" s="792" t="s">
        <v>723</v>
      </c>
      <c r="E333" s="794" t="e">
        <f>NC_DKDD!H1031</f>
        <v>#VALUE!</v>
      </c>
      <c r="F333" s="794"/>
      <c r="G333" s="827"/>
      <c r="H333" s="794"/>
      <c r="I333" s="794"/>
      <c r="J333" s="794"/>
      <c r="K333" s="794"/>
      <c r="L333" s="794"/>
      <c r="M333" s="794"/>
      <c r="N333" s="794"/>
      <c r="O333" s="794">
        <f t="shared" si="41"/>
        <v>24.592307692307692</v>
      </c>
      <c r="P333" s="830">
        <f t="shared" si="42"/>
        <v>21.384615384615383</v>
      </c>
      <c r="Q333" s="830">
        <f t="shared" si="43"/>
        <v>3.2076923076923078</v>
      </c>
      <c r="R333" s="838">
        <f>NC_DKDD!G1031</f>
        <v>4.0000000000000001E-3</v>
      </c>
      <c r="S333" s="836"/>
    </row>
    <row r="334" spans="1:19" s="837" customFormat="1" ht="27" customHeight="1">
      <c r="A334" s="798" t="s">
        <v>114</v>
      </c>
      <c r="B334" s="799" t="s">
        <v>863</v>
      </c>
      <c r="C334" s="798" t="s">
        <v>375</v>
      </c>
      <c r="D334" s="792" t="s">
        <v>723</v>
      </c>
      <c r="E334" s="794" t="e">
        <f>NC_DKDD!H1032</f>
        <v>#VALUE!</v>
      </c>
      <c r="F334" s="794"/>
      <c r="G334" s="827"/>
      <c r="H334" s="794"/>
      <c r="I334" s="794"/>
      <c r="J334" s="794"/>
      <c r="K334" s="794"/>
      <c r="L334" s="794"/>
      <c r="M334" s="794"/>
      <c r="N334" s="794"/>
      <c r="O334" s="794">
        <f t="shared" si="41"/>
        <v>61.480769230769226</v>
      </c>
      <c r="P334" s="830">
        <f t="shared" si="42"/>
        <v>53.46153846153846</v>
      </c>
      <c r="Q334" s="830">
        <f t="shared" si="43"/>
        <v>8.0192307692307701</v>
      </c>
      <c r="R334" s="838">
        <f>NC_DKDD!G1032</f>
        <v>0.01</v>
      </c>
      <c r="S334" s="836"/>
    </row>
    <row r="335" spans="1:19" s="837" customFormat="1" ht="25.5" customHeight="1">
      <c r="A335" s="791" t="s">
        <v>1005</v>
      </c>
      <c r="B335" s="787" t="s">
        <v>582</v>
      </c>
      <c r="C335" s="798"/>
      <c r="D335" s="798"/>
      <c r="E335" s="793" t="e">
        <f>E336</f>
        <v>#VALUE!</v>
      </c>
      <c r="F335" s="794"/>
      <c r="G335" s="827"/>
      <c r="H335" s="794">
        <f>'Dcu-DKDD'!$J$363</f>
        <v>0</v>
      </c>
      <c r="I335" s="794"/>
      <c r="J335" s="794"/>
      <c r="K335" s="794"/>
      <c r="L335" s="796" t="e">
        <f>SUM(E335:K335)</f>
        <v>#VALUE!</v>
      </c>
      <c r="M335" s="796" t="e">
        <f>L335*'He so chung'!$D$17/100</f>
        <v>#VALUE!</v>
      </c>
      <c r="N335" s="796" t="e">
        <f>L335+M335</f>
        <v>#VALUE!</v>
      </c>
      <c r="O335" s="793">
        <f>O336</f>
        <v>1844.4230769230767</v>
      </c>
      <c r="P335" s="830">
        <f t="shared" si="42"/>
        <v>0</v>
      </c>
      <c r="Q335" s="830">
        <f t="shared" si="43"/>
        <v>0</v>
      </c>
      <c r="R335" s="838">
        <f>NC_DKDD!G1033</f>
        <v>0</v>
      </c>
      <c r="S335" s="836"/>
    </row>
    <row r="336" spans="1:19" s="837" customFormat="1" ht="25.5" customHeight="1">
      <c r="A336" s="798">
        <v>1</v>
      </c>
      <c r="B336" s="799" t="s">
        <v>626</v>
      </c>
      <c r="C336" s="798" t="s">
        <v>532</v>
      </c>
      <c r="D336" s="792" t="s">
        <v>723</v>
      </c>
      <c r="E336" s="794" t="e">
        <f>NC_DKDD!H1034</f>
        <v>#VALUE!</v>
      </c>
      <c r="F336" s="794"/>
      <c r="G336" s="827"/>
      <c r="H336" s="794"/>
      <c r="I336" s="794"/>
      <c r="J336" s="794"/>
      <c r="K336" s="794"/>
      <c r="L336" s="794"/>
      <c r="M336" s="794"/>
      <c r="N336" s="794"/>
      <c r="O336" s="794">
        <f>P336+Q336</f>
        <v>1844.4230769230767</v>
      </c>
      <c r="P336" s="830">
        <f t="shared" si="42"/>
        <v>1603.8461538461536</v>
      </c>
      <c r="Q336" s="830">
        <f t="shared" si="43"/>
        <v>240.57692307692307</v>
      </c>
      <c r="R336" s="838">
        <f>NC_DKDD!G1034</f>
        <v>0.3</v>
      </c>
      <c r="S336" s="836"/>
    </row>
    <row r="337" spans="1:19" s="837" customFormat="1" ht="25.5" customHeight="1">
      <c r="A337" s="791" t="s">
        <v>755</v>
      </c>
      <c r="B337" s="787" t="s">
        <v>460</v>
      </c>
      <c r="C337" s="798"/>
      <c r="D337" s="800"/>
      <c r="E337" s="793" t="e">
        <f>E338</f>
        <v>#VALUE!</v>
      </c>
      <c r="F337" s="794"/>
      <c r="G337" s="827"/>
      <c r="H337" s="794">
        <f>'Dcu-DKDD'!$H$363</f>
        <v>77.079591346153833</v>
      </c>
      <c r="I337" s="794">
        <f>'VL-DKDD'!$F$371</f>
        <v>472.06800000000004</v>
      </c>
      <c r="J337" s="794"/>
      <c r="K337" s="794"/>
      <c r="L337" s="796" t="e">
        <f>SUM(E337:K337)</f>
        <v>#VALUE!</v>
      </c>
      <c r="M337" s="796" t="e">
        <f>L337*'He so chung'!$D$17/100</f>
        <v>#VALUE!</v>
      </c>
      <c r="N337" s="796" t="e">
        <f>L337+M337</f>
        <v>#VALUE!</v>
      </c>
      <c r="O337" s="793">
        <f>O338</f>
        <v>614.80769230769238</v>
      </c>
      <c r="P337" s="830">
        <f t="shared" si="42"/>
        <v>0</v>
      </c>
      <c r="Q337" s="830">
        <f t="shared" si="43"/>
        <v>0</v>
      </c>
      <c r="R337" s="838">
        <f>NC_DKDD!G1035</f>
        <v>0</v>
      </c>
      <c r="S337" s="836"/>
    </row>
    <row r="338" spans="1:19" s="837" customFormat="1" ht="37.5" customHeight="1">
      <c r="A338" s="798">
        <v>1</v>
      </c>
      <c r="B338" s="799" t="s">
        <v>627</v>
      </c>
      <c r="C338" s="798" t="s">
        <v>532</v>
      </c>
      <c r="D338" s="792" t="s">
        <v>723</v>
      </c>
      <c r="E338" s="794" t="e">
        <f>NC_DKDD!H1036</f>
        <v>#VALUE!</v>
      </c>
      <c r="F338" s="794"/>
      <c r="G338" s="827"/>
      <c r="H338" s="794"/>
      <c r="I338" s="794"/>
      <c r="J338" s="794"/>
      <c r="K338" s="794"/>
      <c r="L338" s="794"/>
      <c r="M338" s="794"/>
      <c r="N338" s="794"/>
      <c r="O338" s="794">
        <f>P338+Q338</f>
        <v>614.80769230769238</v>
      </c>
      <c r="P338" s="830">
        <f t="shared" si="42"/>
        <v>534.61538461538464</v>
      </c>
      <c r="Q338" s="830">
        <f t="shared" si="43"/>
        <v>80.192307692307693</v>
      </c>
      <c r="R338" s="838">
        <f>NC_DKDD!G1036</f>
        <v>0.1</v>
      </c>
      <c r="S338" s="836"/>
    </row>
    <row r="339" spans="1:19" s="409" customFormat="1" ht="29.45" customHeight="1">
      <c r="A339" s="437"/>
      <c r="B339" s="802" t="s">
        <v>533</v>
      </c>
      <c r="C339" s="439"/>
      <c r="D339" s="437"/>
      <c r="E339" s="803"/>
      <c r="F339" s="803"/>
      <c r="G339" s="804"/>
      <c r="H339" s="803"/>
      <c r="I339" s="803"/>
      <c r="J339" s="805"/>
      <c r="K339" s="805"/>
      <c r="L339" s="805"/>
      <c r="M339" s="419"/>
      <c r="N339" s="419"/>
      <c r="O339" s="442"/>
      <c r="P339" s="420"/>
      <c r="Q339" s="420"/>
      <c r="R339" s="806"/>
    </row>
    <row r="340" spans="1:19" s="409" customFormat="1" ht="33" customHeight="1">
      <c r="A340" s="455"/>
      <c r="B340" s="1073" t="s">
        <v>854</v>
      </c>
      <c r="C340" s="1073"/>
      <c r="D340" s="1073"/>
      <c r="E340" s="1073"/>
      <c r="F340" s="1073"/>
      <c r="G340" s="1073"/>
      <c r="H340" s="1073"/>
      <c r="I340" s="1073"/>
      <c r="J340" s="1073"/>
      <c r="K340" s="1073"/>
      <c r="L340" s="1073"/>
      <c r="M340" s="1073"/>
      <c r="N340" s="1073"/>
      <c r="O340" s="1073"/>
      <c r="P340" s="420"/>
      <c r="Q340" s="420"/>
      <c r="R340" s="806"/>
    </row>
    <row r="341" spans="1:19" ht="34.9" customHeight="1">
      <c r="A341" s="1070" t="s">
        <v>299</v>
      </c>
      <c r="B341" s="1070"/>
      <c r="C341" s="1070"/>
      <c r="D341" s="1070"/>
      <c r="E341" s="1070"/>
      <c r="F341" s="1070"/>
      <c r="G341" s="1070"/>
      <c r="H341" s="1070"/>
      <c r="I341" s="1070"/>
      <c r="J341" s="1070"/>
      <c r="K341" s="1070"/>
      <c r="L341" s="1070"/>
      <c r="M341" s="1070"/>
      <c r="N341" s="1070"/>
      <c r="O341" s="1070"/>
      <c r="R341" s="806"/>
    </row>
    <row r="342" spans="1:19" s="421" customFormat="1" ht="19.5" customHeight="1">
      <c r="A342" s="414"/>
      <c r="B342" s="415"/>
      <c r="C342" s="776"/>
      <c r="D342" s="777" t="s">
        <v>430</v>
      </c>
      <c r="E342" s="419"/>
      <c r="F342" s="778"/>
      <c r="G342" s="779"/>
      <c r="H342" s="778"/>
      <c r="I342" s="780"/>
      <c r="J342" s="778"/>
      <c r="K342" s="778"/>
      <c r="L342" s="781" t="s">
        <v>262</v>
      </c>
      <c r="M342" s="778"/>
      <c r="N342" s="780"/>
      <c r="O342" s="419"/>
      <c r="P342" s="420"/>
      <c r="Q342" s="420"/>
      <c r="R342" s="820"/>
      <c r="S342" s="420"/>
    </row>
    <row r="343" spans="1:19" s="421" customFormat="1" ht="34.15" customHeight="1">
      <c r="A343" s="1068" t="s">
        <v>718</v>
      </c>
      <c r="B343" s="1068" t="s">
        <v>198</v>
      </c>
      <c r="C343" s="1071" t="s">
        <v>263</v>
      </c>
      <c r="D343" s="1071" t="s">
        <v>264</v>
      </c>
      <c r="E343" s="1071" t="s">
        <v>718</v>
      </c>
      <c r="F343" s="1071"/>
      <c r="G343" s="1071"/>
      <c r="H343" s="1071"/>
      <c r="I343" s="1071"/>
      <c r="J343" s="1071"/>
      <c r="K343" s="1071"/>
      <c r="L343" s="1071"/>
      <c r="M343" s="1071" t="s">
        <v>435</v>
      </c>
      <c r="N343" s="1071" t="s">
        <v>70</v>
      </c>
      <c r="O343" s="1071" t="s">
        <v>69</v>
      </c>
      <c r="P343" s="782"/>
      <c r="Q343" s="782"/>
      <c r="R343" s="820"/>
      <c r="S343" s="420"/>
    </row>
    <row r="344" spans="1:19" s="421" customFormat="1" ht="40.15" customHeight="1">
      <c r="A344" s="1068"/>
      <c r="B344" s="1068"/>
      <c r="C344" s="1071"/>
      <c r="D344" s="1071"/>
      <c r="E344" s="783" t="s">
        <v>686</v>
      </c>
      <c r="F344" s="783" t="s">
        <v>687</v>
      </c>
      <c r="G344" s="784" t="s">
        <v>285</v>
      </c>
      <c r="H344" s="783" t="s">
        <v>499</v>
      </c>
      <c r="I344" s="783" t="s">
        <v>688</v>
      </c>
      <c r="J344" s="783" t="s">
        <v>531</v>
      </c>
      <c r="K344" s="783" t="s">
        <v>689</v>
      </c>
      <c r="L344" s="783" t="s">
        <v>690</v>
      </c>
      <c r="M344" s="1071"/>
      <c r="N344" s="1071"/>
      <c r="O344" s="1071"/>
      <c r="P344" s="782"/>
      <c r="Q344" s="782"/>
      <c r="R344" s="820"/>
      <c r="S344" s="420"/>
    </row>
    <row r="345" spans="1:19" s="421" customFormat="1" ht="40.5" customHeight="1">
      <c r="A345" s="785"/>
      <c r="B345" s="839" t="s">
        <v>749</v>
      </c>
      <c r="C345" s="783"/>
      <c r="D345" s="783"/>
      <c r="E345" s="783"/>
      <c r="F345" s="783"/>
      <c r="G345" s="784"/>
      <c r="H345" s="783"/>
      <c r="I345" s="783"/>
      <c r="J345" s="783"/>
      <c r="K345" s="783"/>
      <c r="L345" s="783"/>
      <c r="M345" s="783"/>
      <c r="N345" s="783"/>
      <c r="O345" s="783"/>
      <c r="P345" s="782"/>
      <c r="Q345" s="782"/>
      <c r="R345" s="820"/>
      <c r="S345" s="420"/>
    </row>
    <row r="346" spans="1:19" s="421" customFormat="1" ht="24" customHeight="1">
      <c r="A346" s="785"/>
      <c r="B346" s="787" t="s">
        <v>668</v>
      </c>
      <c r="C346" s="783" t="s">
        <v>532</v>
      </c>
      <c r="D346" s="785" t="s">
        <v>723</v>
      </c>
      <c r="E346" s="788" t="e">
        <f t="shared" ref="E346:O346" si="44">E350+E377+E379</f>
        <v>#VALUE!</v>
      </c>
      <c r="F346" s="788">
        <f t="shared" si="44"/>
        <v>0</v>
      </c>
      <c r="G346" s="788">
        <f t="shared" si="44"/>
        <v>0</v>
      </c>
      <c r="H346" s="788">
        <f t="shared" si="44"/>
        <v>15311.343956730771</v>
      </c>
      <c r="I346" s="788">
        <f t="shared" si="44"/>
        <v>24075.468000000001</v>
      </c>
      <c r="J346" s="788">
        <f t="shared" si="44"/>
        <v>9608.4799999999977</v>
      </c>
      <c r="K346" s="788">
        <f t="shared" si="44"/>
        <v>18643.338</v>
      </c>
      <c r="L346" s="788" t="e">
        <f t="shared" si="44"/>
        <v>#VALUE!</v>
      </c>
      <c r="M346" s="788" t="e">
        <f t="shared" si="44"/>
        <v>#VALUE!</v>
      </c>
      <c r="N346" s="788" t="e">
        <f t="shared" si="44"/>
        <v>#VALUE!</v>
      </c>
      <c r="O346" s="788">
        <f t="shared" si="44"/>
        <v>50752.375000000007</v>
      </c>
      <c r="P346" s="782"/>
      <c r="Q346" s="782"/>
      <c r="R346" s="820"/>
      <c r="S346" s="420"/>
    </row>
    <row r="347" spans="1:19" s="421" customFormat="1" ht="24" customHeight="1">
      <c r="A347" s="785"/>
      <c r="B347" s="787" t="s">
        <v>669</v>
      </c>
      <c r="C347" s="783" t="s">
        <v>532</v>
      </c>
      <c r="D347" s="785" t="s">
        <v>723</v>
      </c>
      <c r="E347" s="788" t="e">
        <f>E351+E377+E379</f>
        <v>#VALUE!</v>
      </c>
      <c r="F347" s="788">
        <f t="shared" ref="F347:O347" si="45">F351+F377+F379</f>
        <v>0</v>
      </c>
      <c r="G347" s="788">
        <f t="shared" si="45"/>
        <v>0</v>
      </c>
      <c r="H347" s="788">
        <f t="shared" si="45"/>
        <v>15311.343956730771</v>
      </c>
      <c r="I347" s="788">
        <f t="shared" si="45"/>
        <v>24075.468000000001</v>
      </c>
      <c r="J347" s="788">
        <f t="shared" si="45"/>
        <v>9608.4799999999977</v>
      </c>
      <c r="K347" s="788">
        <f t="shared" si="45"/>
        <v>18643.338</v>
      </c>
      <c r="L347" s="788" t="e">
        <f t="shared" si="45"/>
        <v>#VALUE!</v>
      </c>
      <c r="M347" s="788" t="e">
        <f t="shared" si="45"/>
        <v>#VALUE!</v>
      </c>
      <c r="N347" s="788" t="e">
        <f t="shared" si="45"/>
        <v>#VALUE!</v>
      </c>
      <c r="O347" s="788">
        <f t="shared" si="45"/>
        <v>50352.750000000007</v>
      </c>
      <c r="P347" s="782"/>
      <c r="Q347" s="782"/>
      <c r="R347" s="820"/>
      <c r="S347" s="420"/>
    </row>
    <row r="348" spans="1:19" s="421" customFormat="1" ht="24" customHeight="1">
      <c r="A348" s="785"/>
      <c r="B348" s="789"/>
      <c r="C348" s="783"/>
      <c r="D348" s="783"/>
      <c r="E348" s="825"/>
      <c r="F348" s="825"/>
      <c r="G348" s="825"/>
      <c r="H348" s="825"/>
      <c r="I348" s="825"/>
      <c r="J348" s="825"/>
      <c r="K348" s="825"/>
      <c r="L348" s="825"/>
      <c r="M348" s="825"/>
      <c r="N348" s="825"/>
      <c r="O348" s="825"/>
      <c r="P348" s="790">
        <f>'He so chung'!D$22</f>
        <v>5346.1538461538457</v>
      </c>
      <c r="Q348" s="790">
        <f>'He so chung'!D$23</f>
        <v>801.92307692307691</v>
      </c>
      <c r="R348" s="840"/>
      <c r="S348" s="420"/>
    </row>
    <row r="349" spans="1:19" s="421" customFormat="1" ht="24" customHeight="1">
      <c r="A349" s="785" t="s">
        <v>1000</v>
      </c>
      <c r="B349" s="789" t="s">
        <v>339</v>
      </c>
      <c r="C349" s="783"/>
      <c r="D349" s="783"/>
      <c r="E349" s="825"/>
      <c r="F349" s="825"/>
      <c r="G349" s="825"/>
      <c r="H349" s="825"/>
      <c r="I349" s="825"/>
      <c r="J349" s="825"/>
      <c r="K349" s="825"/>
      <c r="L349" s="825"/>
      <c r="M349" s="825"/>
      <c r="N349" s="825"/>
      <c r="O349" s="825"/>
      <c r="P349" s="790"/>
      <c r="Q349" s="790"/>
      <c r="R349" s="840"/>
      <c r="S349" s="420"/>
    </row>
    <row r="350" spans="1:19" s="797" customFormat="1" ht="24" customHeight="1">
      <c r="A350" s="791" t="s">
        <v>1008</v>
      </c>
      <c r="B350" s="787" t="s">
        <v>668</v>
      </c>
      <c r="C350" s="783" t="s">
        <v>532</v>
      </c>
      <c r="D350" s="800"/>
      <c r="E350" s="793" t="e">
        <f>E353+E355+E356+E357+E358+E360+E362+E363+E365+E367+E368+E369+E370+E373+E374+E375+E376</f>
        <v>#VALUE!</v>
      </c>
      <c r="F350" s="793">
        <f>F353+F355+F356+F357+F358+F360+F362+F363+F365+F367+F368+F369+F370+F373+F374+F375+F376</f>
        <v>0</v>
      </c>
      <c r="G350" s="827"/>
      <c r="H350" s="794">
        <f>'Dcu-DKDD'!$L$363</f>
        <v>15234.264365384617</v>
      </c>
      <c r="I350" s="794">
        <f>'VL-DKDD'!$J$371</f>
        <v>23603.4</v>
      </c>
      <c r="J350" s="794">
        <f>'TB-DKDD'!$M$212</f>
        <v>9608.4799999999977</v>
      </c>
      <c r="K350" s="794">
        <f>'NL-DKDD'!$J$142</f>
        <v>18643.338</v>
      </c>
      <c r="L350" s="796" t="e">
        <f>SUM(E350:K350)</f>
        <v>#VALUE!</v>
      </c>
      <c r="M350" s="796" t="e">
        <f>L350*'He so chung'!$D$17/100</f>
        <v>#VALUE!</v>
      </c>
      <c r="N350" s="796" t="e">
        <f>L350+M350</f>
        <v>#VALUE!</v>
      </c>
      <c r="O350" s="793">
        <f>O353+O355+O356+O357+O358+O360+O362+O363+O365+O367+O368+O369+O370+O373+O374+O375+O376</f>
        <v>47555.375000000007</v>
      </c>
      <c r="P350" s="782"/>
      <c r="Q350" s="782"/>
      <c r="R350" s="820"/>
      <c r="S350" s="689"/>
    </row>
    <row r="351" spans="1:19" s="797" customFormat="1" ht="24" customHeight="1">
      <c r="A351" s="791" t="s">
        <v>1009</v>
      </c>
      <c r="B351" s="787" t="s">
        <v>669</v>
      </c>
      <c r="C351" s="783" t="s">
        <v>532</v>
      </c>
      <c r="D351" s="800"/>
      <c r="E351" s="793" t="e">
        <f>E354+E355+E356+E357+E358+E360+E362+E363+E365+E367+E368+E369+E370+E373+E374+E375+E376</f>
        <v>#VALUE!</v>
      </c>
      <c r="F351" s="794"/>
      <c r="G351" s="827"/>
      <c r="H351" s="794">
        <f>'Dcu-DKDD'!$L$363</f>
        <v>15234.264365384617</v>
      </c>
      <c r="I351" s="794">
        <f>'VL-DKDD'!$J$371</f>
        <v>23603.4</v>
      </c>
      <c r="J351" s="794">
        <f>'TB-DKDD'!$M$212</f>
        <v>9608.4799999999977</v>
      </c>
      <c r="K351" s="794">
        <f>'NL-DKDD'!$J$142</f>
        <v>18643.338</v>
      </c>
      <c r="L351" s="796" t="e">
        <f>SUM(E351:K351)</f>
        <v>#VALUE!</v>
      </c>
      <c r="M351" s="796" t="e">
        <f>L351*'He so chung'!$D$17/100</f>
        <v>#VALUE!</v>
      </c>
      <c r="N351" s="796" t="e">
        <f>L351+M351</f>
        <v>#VALUE!</v>
      </c>
      <c r="O351" s="793">
        <f>O354+O355+O356+O357+O358+O360+O362+O363+O365+O367+O368+O369+O370+O373+O374+O375+O376</f>
        <v>47155.750000000007</v>
      </c>
      <c r="P351" s="782"/>
      <c r="Q351" s="782"/>
      <c r="R351" s="820"/>
      <c r="S351" s="689"/>
    </row>
    <row r="352" spans="1:19" s="797" customFormat="1" ht="21.75" customHeight="1">
      <c r="A352" s="798">
        <v>1</v>
      </c>
      <c r="B352" s="799" t="s">
        <v>824</v>
      </c>
      <c r="C352" s="798"/>
      <c r="D352" s="800"/>
      <c r="E352" s="794"/>
      <c r="F352" s="794"/>
      <c r="G352" s="827"/>
      <c r="H352" s="794"/>
      <c r="I352" s="794"/>
      <c r="J352" s="794"/>
      <c r="K352" s="794"/>
      <c r="L352" s="794"/>
      <c r="M352" s="794"/>
      <c r="N352" s="794"/>
      <c r="O352" s="794"/>
      <c r="P352" s="782"/>
      <c r="Q352" s="782"/>
      <c r="R352" s="820"/>
      <c r="S352" s="689"/>
    </row>
    <row r="353" spans="1:19" s="797" customFormat="1" ht="21.75" customHeight="1">
      <c r="A353" s="798" t="s">
        <v>733</v>
      </c>
      <c r="B353" s="799" t="s">
        <v>846</v>
      </c>
      <c r="C353" s="798" t="s">
        <v>532</v>
      </c>
      <c r="D353" s="792" t="s">
        <v>723</v>
      </c>
      <c r="E353" s="794" t="e">
        <f>NC_DKDD!H1042</f>
        <v>#VALUE!</v>
      </c>
      <c r="F353" s="794"/>
      <c r="G353" s="827"/>
      <c r="H353" s="794"/>
      <c r="I353" s="794"/>
      <c r="J353" s="794"/>
      <c r="K353" s="794"/>
      <c r="L353" s="794"/>
      <c r="M353" s="794"/>
      <c r="N353" s="794"/>
      <c r="O353" s="794">
        <f t="shared" ref="O353:O376" si="46">P353+Q353</f>
        <v>1598.5</v>
      </c>
      <c r="P353" s="782">
        <f t="shared" ref="P353:P380" si="47">R353*P$264</f>
        <v>1390</v>
      </c>
      <c r="Q353" s="782">
        <f t="shared" ref="Q353:Q380" si="48">R353*Q$264</f>
        <v>208.5</v>
      </c>
      <c r="R353" s="829">
        <f>NC_DKDD!G1042</f>
        <v>0.26</v>
      </c>
      <c r="S353" s="689"/>
    </row>
    <row r="354" spans="1:19" s="797" customFormat="1" ht="21.75" customHeight="1">
      <c r="A354" s="798" t="s">
        <v>741</v>
      </c>
      <c r="B354" s="799" t="s">
        <v>849</v>
      </c>
      <c r="C354" s="798" t="s">
        <v>532</v>
      </c>
      <c r="D354" s="792" t="s">
        <v>723</v>
      </c>
      <c r="E354" s="794" t="e">
        <f>NC_DKDD!H1043</f>
        <v>#VALUE!</v>
      </c>
      <c r="F354" s="794"/>
      <c r="G354" s="827"/>
      <c r="H354" s="794"/>
      <c r="I354" s="794"/>
      <c r="J354" s="794"/>
      <c r="K354" s="794"/>
      <c r="L354" s="794"/>
      <c r="M354" s="794"/>
      <c r="N354" s="794"/>
      <c r="O354" s="794">
        <f t="shared" si="46"/>
        <v>1198.875</v>
      </c>
      <c r="P354" s="782">
        <f t="shared" si="47"/>
        <v>1042.5</v>
      </c>
      <c r="Q354" s="782">
        <f t="shared" si="48"/>
        <v>156.375</v>
      </c>
      <c r="R354" s="829">
        <f>NC_DKDD!G1043</f>
        <v>0.19500000000000001</v>
      </c>
      <c r="S354" s="689"/>
    </row>
    <row r="355" spans="1:19" s="797" customFormat="1" ht="34.5" customHeight="1">
      <c r="A355" s="798">
        <v>2</v>
      </c>
      <c r="B355" s="799" t="s">
        <v>797</v>
      </c>
      <c r="C355" s="798" t="s">
        <v>532</v>
      </c>
      <c r="D355" s="792" t="s">
        <v>723</v>
      </c>
      <c r="E355" s="794" t="e">
        <f>NC_DKDD!H1044</f>
        <v>#VALUE!</v>
      </c>
      <c r="F355" s="794"/>
      <c r="G355" s="827"/>
      <c r="H355" s="794"/>
      <c r="I355" s="794"/>
      <c r="J355" s="794"/>
      <c r="K355" s="794"/>
      <c r="L355" s="794"/>
      <c r="M355" s="794"/>
      <c r="N355" s="794"/>
      <c r="O355" s="794">
        <f t="shared" si="46"/>
        <v>2397.75</v>
      </c>
      <c r="P355" s="782">
        <f t="shared" si="47"/>
        <v>2085</v>
      </c>
      <c r="Q355" s="782">
        <f t="shared" si="48"/>
        <v>312.75</v>
      </c>
      <c r="R355" s="829">
        <f>NC_DKDD!G1044</f>
        <v>0.39</v>
      </c>
      <c r="S355" s="689"/>
    </row>
    <row r="356" spans="1:19" s="797" customFormat="1" ht="36" customHeight="1">
      <c r="A356" s="798">
        <v>3</v>
      </c>
      <c r="B356" s="799" t="s">
        <v>881</v>
      </c>
      <c r="C356" s="798" t="s">
        <v>375</v>
      </c>
      <c r="D356" s="792" t="s">
        <v>723</v>
      </c>
      <c r="E356" s="794" t="e">
        <f>NC_DKDD!H1045</f>
        <v>#VALUE!</v>
      </c>
      <c r="F356" s="794"/>
      <c r="G356" s="827"/>
      <c r="H356" s="794"/>
      <c r="I356" s="794"/>
      <c r="J356" s="794"/>
      <c r="K356" s="794"/>
      <c r="L356" s="794"/>
      <c r="M356" s="794"/>
      <c r="N356" s="794"/>
      <c r="O356" s="794">
        <f t="shared" si="46"/>
        <v>1026.728846153846</v>
      </c>
      <c r="P356" s="782">
        <f t="shared" si="47"/>
        <v>892.80769230769226</v>
      </c>
      <c r="Q356" s="782">
        <f t="shared" si="48"/>
        <v>133.92115384615386</v>
      </c>
      <c r="R356" s="829">
        <f>NC_DKDD!G1045</f>
        <v>0.16700000000000001</v>
      </c>
      <c r="S356" s="689"/>
    </row>
    <row r="357" spans="1:19" s="797" customFormat="1" ht="71.25">
      <c r="A357" s="798">
        <v>4</v>
      </c>
      <c r="B357" s="799" t="s">
        <v>700</v>
      </c>
      <c r="C357" s="798" t="s">
        <v>532</v>
      </c>
      <c r="D357" s="792" t="s">
        <v>723</v>
      </c>
      <c r="E357" s="794" t="e">
        <f>NC_DKDD!H1046</f>
        <v>#VALUE!</v>
      </c>
      <c r="F357" s="794"/>
      <c r="G357" s="827"/>
      <c r="H357" s="794"/>
      <c r="I357" s="794"/>
      <c r="J357" s="794"/>
      <c r="K357" s="794"/>
      <c r="L357" s="794"/>
      <c r="M357" s="794"/>
      <c r="N357" s="794"/>
      <c r="O357" s="794">
        <f t="shared" si="46"/>
        <v>31970</v>
      </c>
      <c r="P357" s="782">
        <f t="shared" si="47"/>
        <v>27800</v>
      </c>
      <c r="Q357" s="782">
        <f t="shared" si="48"/>
        <v>4170</v>
      </c>
      <c r="R357" s="829">
        <f>NC_DKDD!G1046</f>
        <v>5.2</v>
      </c>
      <c r="S357" s="689"/>
    </row>
    <row r="358" spans="1:19" s="797" customFormat="1" ht="24.75" customHeight="1">
      <c r="A358" s="798">
        <v>5</v>
      </c>
      <c r="B358" s="799" t="s">
        <v>886</v>
      </c>
      <c r="C358" s="798" t="s">
        <v>375</v>
      </c>
      <c r="D358" s="792" t="s">
        <v>723</v>
      </c>
      <c r="E358" s="794" t="e">
        <f>NC_DKDD!H1047</f>
        <v>#VALUE!</v>
      </c>
      <c r="F358" s="794"/>
      <c r="G358" s="827"/>
      <c r="H358" s="794"/>
      <c r="I358" s="794"/>
      <c r="J358" s="794"/>
      <c r="K358" s="794"/>
      <c r="L358" s="794"/>
      <c r="M358" s="794"/>
      <c r="N358" s="794"/>
      <c r="O358" s="794">
        <f t="shared" si="46"/>
        <v>18.444230769230767</v>
      </c>
      <c r="P358" s="782">
        <f t="shared" si="47"/>
        <v>16.038461538461537</v>
      </c>
      <c r="Q358" s="782">
        <f t="shared" si="48"/>
        <v>2.4057692307692307</v>
      </c>
      <c r="R358" s="829">
        <f>NC_DKDD!G1047</f>
        <v>3.0000000000000001E-3</v>
      </c>
      <c r="S358" s="689"/>
    </row>
    <row r="359" spans="1:19" s="797" customFormat="1" ht="43.5" customHeight="1">
      <c r="A359" s="798">
        <v>6</v>
      </c>
      <c r="B359" s="799" t="s">
        <v>802</v>
      </c>
      <c r="C359" s="798"/>
      <c r="D359" s="798"/>
      <c r="E359" s="794">
        <f>NC_DKDD!H1048</f>
        <v>0</v>
      </c>
      <c r="F359" s="794"/>
      <c r="G359" s="827"/>
      <c r="H359" s="794"/>
      <c r="I359" s="794"/>
      <c r="J359" s="794"/>
      <c r="K359" s="794"/>
      <c r="L359" s="794"/>
      <c r="M359" s="794"/>
      <c r="N359" s="794"/>
      <c r="O359" s="794">
        <f t="shared" si="46"/>
        <v>0</v>
      </c>
      <c r="P359" s="782">
        <f t="shared" si="47"/>
        <v>0</v>
      </c>
      <c r="Q359" s="782">
        <f t="shared" si="48"/>
        <v>0</v>
      </c>
      <c r="R359" s="829">
        <f>NC_DKDD!G1048</f>
        <v>0</v>
      </c>
      <c r="S359" s="689"/>
    </row>
    <row r="360" spans="1:19" s="797" customFormat="1" ht="24.75" customHeight="1">
      <c r="A360" s="798" t="s">
        <v>661</v>
      </c>
      <c r="B360" s="799" t="s">
        <v>587</v>
      </c>
      <c r="C360" s="798" t="s">
        <v>532</v>
      </c>
      <c r="D360" s="792" t="s">
        <v>723</v>
      </c>
      <c r="E360" s="794" t="e">
        <f>NC_DKDD!H1049</f>
        <v>#VALUE!</v>
      </c>
      <c r="F360" s="794"/>
      <c r="G360" s="827"/>
      <c r="H360" s="794"/>
      <c r="I360" s="794"/>
      <c r="J360" s="794"/>
      <c r="K360" s="794"/>
      <c r="L360" s="794"/>
      <c r="M360" s="794"/>
      <c r="N360" s="794"/>
      <c r="O360" s="794">
        <f t="shared" si="46"/>
        <v>307.40384615384619</v>
      </c>
      <c r="P360" s="782">
        <f t="shared" si="47"/>
        <v>267.30769230769232</v>
      </c>
      <c r="Q360" s="782">
        <f t="shared" si="48"/>
        <v>40.096153846153847</v>
      </c>
      <c r="R360" s="829">
        <f>NC_DKDD!G1049</f>
        <v>0.05</v>
      </c>
      <c r="S360" s="689"/>
    </row>
    <row r="361" spans="1:19" s="797" customFormat="1" ht="24.75" customHeight="1">
      <c r="A361" s="798" t="s">
        <v>662</v>
      </c>
      <c r="B361" s="799" t="s">
        <v>588</v>
      </c>
      <c r="C361" s="798" t="s">
        <v>532</v>
      </c>
      <c r="D361" s="792" t="s">
        <v>723</v>
      </c>
      <c r="E361" s="794" t="e">
        <f>NC_DKDD!H1050</f>
        <v>#VALUE!</v>
      </c>
      <c r="F361" s="794"/>
      <c r="G361" s="827"/>
      <c r="H361" s="794"/>
      <c r="I361" s="794"/>
      <c r="J361" s="794"/>
      <c r="K361" s="794"/>
      <c r="L361" s="794"/>
      <c r="M361" s="794"/>
      <c r="N361" s="794"/>
      <c r="O361" s="794">
        <f t="shared" si="46"/>
        <v>614.80769230769238</v>
      </c>
      <c r="P361" s="782">
        <f t="shared" si="47"/>
        <v>534.61538461538464</v>
      </c>
      <c r="Q361" s="782">
        <f t="shared" si="48"/>
        <v>80.192307692307693</v>
      </c>
      <c r="R361" s="829">
        <f>NC_DKDD!G1050</f>
        <v>0.1</v>
      </c>
      <c r="S361" s="689"/>
    </row>
    <row r="362" spans="1:19" s="797" customFormat="1" ht="35.25" customHeight="1">
      <c r="A362" s="798">
        <v>7</v>
      </c>
      <c r="B362" s="799" t="s">
        <v>408</v>
      </c>
      <c r="C362" s="798" t="s">
        <v>532</v>
      </c>
      <c r="D362" s="792" t="s">
        <v>723</v>
      </c>
      <c r="E362" s="794" t="e">
        <f>NC_DKDD!H1051</f>
        <v>#VALUE!</v>
      </c>
      <c r="F362" s="794"/>
      <c r="G362" s="827"/>
      <c r="H362" s="794"/>
      <c r="I362" s="794"/>
      <c r="J362" s="794"/>
      <c r="K362" s="794"/>
      <c r="L362" s="794"/>
      <c r="M362" s="794"/>
      <c r="N362" s="794"/>
      <c r="O362" s="794">
        <f t="shared" si="46"/>
        <v>1598.5</v>
      </c>
      <c r="P362" s="782">
        <f t="shared" si="47"/>
        <v>1390</v>
      </c>
      <c r="Q362" s="782">
        <f t="shared" si="48"/>
        <v>208.5</v>
      </c>
      <c r="R362" s="829">
        <f>NC_DKDD!G1051</f>
        <v>0.26</v>
      </c>
      <c r="S362" s="689"/>
    </row>
    <row r="363" spans="1:19" s="797" customFormat="1" ht="28.5" customHeight="1">
      <c r="A363" s="798">
        <v>8</v>
      </c>
      <c r="B363" s="799" t="s">
        <v>78</v>
      </c>
      <c r="C363" s="798" t="s">
        <v>375</v>
      </c>
      <c r="D363" s="792" t="s">
        <v>723</v>
      </c>
      <c r="E363" s="794" t="e">
        <f>NC_DKDD!H1052</f>
        <v>#VALUE!</v>
      </c>
      <c r="F363" s="794"/>
      <c r="G363" s="827"/>
      <c r="H363" s="794"/>
      <c r="I363" s="794"/>
      <c r="J363" s="794"/>
      <c r="K363" s="794"/>
      <c r="L363" s="794"/>
      <c r="M363" s="794"/>
      <c r="N363" s="794"/>
      <c r="O363" s="794">
        <f t="shared" si="46"/>
        <v>202.88653846153844</v>
      </c>
      <c r="P363" s="782">
        <f t="shared" si="47"/>
        <v>176.42307692307691</v>
      </c>
      <c r="Q363" s="782">
        <f t="shared" si="48"/>
        <v>26.463461538461541</v>
      </c>
      <c r="R363" s="829">
        <f>NC_DKDD!G1052</f>
        <v>3.3000000000000002E-2</v>
      </c>
      <c r="S363" s="689"/>
    </row>
    <row r="364" spans="1:19" s="797" customFormat="1" ht="28.5" customHeight="1">
      <c r="A364" s="798">
        <v>9</v>
      </c>
      <c r="B364" s="799" t="s">
        <v>80</v>
      </c>
      <c r="C364" s="798"/>
      <c r="D364" s="798"/>
      <c r="E364" s="794">
        <f>NC_DKDD!H1053</f>
        <v>0</v>
      </c>
      <c r="F364" s="794"/>
      <c r="G364" s="827"/>
      <c r="H364" s="794"/>
      <c r="I364" s="794"/>
      <c r="J364" s="794"/>
      <c r="K364" s="794"/>
      <c r="L364" s="794"/>
      <c r="M364" s="794"/>
      <c r="N364" s="794"/>
      <c r="O364" s="794">
        <f t="shared" si="46"/>
        <v>0</v>
      </c>
      <c r="P364" s="782">
        <f t="shared" si="47"/>
        <v>0</v>
      </c>
      <c r="Q364" s="782">
        <f t="shared" si="48"/>
        <v>0</v>
      </c>
      <c r="R364" s="829">
        <f>NC_DKDD!G1053</f>
        <v>0</v>
      </c>
      <c r="S364" s="689"/>
    </row>
    <row r="365" spans="1:19" s="797" customFormat="1" ht="28.5" customHeight="1">
      <c r="A365" s="798" t="s">
        <v>663</v>
      </c>
      <c r="B365" s="799" t="s">
        <v>82</v>
      </c>
      <c r="C365" s="798" t="s">
        <v>559</v>
      </c>
      <c r="D365" s="792" t="s">
        <v>723</v>
      </c>
      <c r="E365" s="794" t="e">
        <f>NC_DKDD!H1054</f>
        <v>#VALUE!</v>
      </c>
      <c r="F365" s="794"/>
      <c r="G365" s="827"/>
      <c r="H365" s="794"/>
      <c r="I365" s="794"/>
      <c r="J365" s="794"/>
      <c r="K365" s="794"/>
      <c r="L365" s="794"/>
      <c r="M365" s="794"/>
      <c r="N365" s="794"/>
      <c r="O365" s="794">
        <f t="shared" si="46"/>
        <v>614.80769230769238</v>
      </c>
      <c r="P365" s="782">
        <f t="shared" si="47"/>
        <v>534.61538461538464</v>
      </c>
      <c r="Q365" s="782">
        <f t="shared" si="48"/>
        <v>80.192307692307693</v>
      </c>
      <c r="R365" s="829">
        <f>NC_DKDD!G1054</f>
        <v>0.1</v>
      </c>
      <c r="S365" s="689"/>
    </row>
    <row r="366" spans="1:19" s="797" customFormat="1" ht="28.5" customHeight="1">
      <c r="A366" s="798" t="s">
        <v>664</v>
      </c>
      <c r="B366" s="799" t="s">
        <v>84</v>
      </c>
      <c r="C366" s="798" t="s">
        <v>559</v>
      </c>
      <c r="D366" s="792" t="s">
        <v>723</v>
      </c>
      <c r="E366" s="794" t="e">
        <f>NC_DKDD!H1055</f>
        <v>#VALUE!</v>
      </c>
      <c r="F366" s="794"/>
      <c r="G366" s="827"/>
      <c r="H366" s="794"/>
      <c r="I366" s="794"/>
      <c r="J366" s="794"/>
      <c r="K366" s="794"/>
      <c r="L366" s="794"/>
      <c r="M366" s="794"/>
      <c r="N366" s="794"/>
      <c r="O366" s="794">
        <f t="shared" si="46"/>
        <v>1229.6153846153848</v>
      </c>
      <c r="P366" s="782">
        <f t="shared" si="47"/>
        <v>1069.2307692307693</v>
      </c>
      <c r="Q366" s="782">
        <f t="shared" si="48"/>
        <v>160.38461538461539</v>
      </c>
      <c r="R366" s="829">
        <f>NC_DKDD!G1055</f>
        <v>0.2</v>
      </c>
      <c r="S366" s="689"/>
    </row>
    <row r="367" spans="1:19" s="797" customFormat="1" ht="31.5" customHeight="1">
      <c r="A367" s="798" t="s">
        <v>409</v>
      </c>
      <c r="B367" s="799" t="s">
        <v>410</v>
      </c>
      <c r="C367" s="798" t="s">
        <v>559</v>
      </c>
      <c r="D367" s="792" t="s">
        <v>723</v>
      </c>
      <c r="E367" s="794" t="e">
        <f>NC_DKDD!H1056</f>
        <v>#VALUE!</v>
      </c>
      <c r="F367" s="794"/>
      <c r="G367" s="827"/>
      <c r="H367" s="794"/>
      <c r="I367" s="794"/>
      <c r="J367" s="794"/>
      <c r="K367" s="794"/>
      <c r="L367" s="794"/>
      <c r="M367" s="794"/>
      <c r="N367" s="794"/>
      <c r="O367" s="794">
        <f t="shared" si="46"/>
        <v>614.80769230769238</v>
      </c>
      <c r="P367" s="782">
        <f t="shared" si="47"/>
        <v>534.61538461538464</v>
      </c>
      <c r="Q367" s="782">
        <f t="shared" si="48"/>
        <v>80.192307692307693</v>
      </c>
      <c r="R367" s="829">
        <f>NC_DKDD!G1056</f>
        <v>0.1</v>
      </c>
      <c r="S367" s="689"/>
    </row>
    <row r="368" spans="1:19" s="797" customFormat="1" ht="30" customHeight="1">
      <c r="A368" s="798">
        <v>10</v>
      </c>
      <c r="B368" s="799" t="s">
        <v>411</v>
      </c>
      <c r="C368" s="798" t="s">
        <v>532</v>
      </c>
      <c r="D368" s="792" t="s">
        <v>723</v>
      </c>
      <c r="E368" s="794" t="e">
        <f>NC_DKDD!H1057</f>
        <v>#VALUE!</v>
      </c>
      <c r="F368" s="794"/>
      <c r="G368" s="827"/>
      <c r="H368" s="794"/>
      <c r="I368" s="794"/>
      <c r="J368" s="794"/>
      <c r="K368" s="794"/>
      <c r="L368" s="794"/>
      <c r="M368" s="794"/>
      <c r="N368" s="794"/>
      <c r="O368" s="794">
        <f t="shared" si="46"/>
        <v>3996.25</v>
      </c>
      <c r="P368" s="782">
        <f t="shared" si="47"/>
        <v>3475</v>
      </c>
      <c r="Q368" s="782">
        <f t="shared" si="48"/>
        <v>521.25</v>
      </c>
      <c r="R368" s="829">
        <f>NC_DKDD!G1057</f>
        <v>0.65</v>
      </c>
      <c r="S368" s="689"/>
    </row>
    <row r="369" spans="1:19" s="797" customFormat="1" ht="53.25" customHeight="1">
      <c r="A369" s="798">
        <v>11</v>
      </c>
      <c r="B369" s="799" t="s">
        <v>826</v>
      </c>
      <c r="C369" s="798" t="s">
        <v>532</v>
      </c>
      <c r="D369" s="792" t="s">
        <v>723</v>
      </c>
      <c r="E369" s="794" t="e">
        <f>NC_DKDD!H1058</f>
        <v>#VALUE!</v>
      </c>
      <c r="F369" s="794"/>
      <c r="G369" s="827"/>
      <c r="H369" s="794"/>
      <c r="I369" s="794"/>
      <c r="J369" s="794"/>
      <c r="K369" s="794"/>
      <c r="L369" s="794"/>
      <c r="M369" s="794"/>
      <c r="N369" s="794"/>
      <c r="O369" s="794">
        <f t="shared" si="46"/>
        <v>2729.7461538461539</v>
      </c>
      <c r="P369" s="782">
        <f t="shared" si="47"/>
        <v>2373.6923076923076</v>
      </c>
      <c r="Q369" s="782">
        <f t="shared" si="48"/>
        <v>356.05384615384617</v>
      </c>
      <c r="R369" s="829">
        <f>NC_DKDD!G1058</f>
        <v>0.44400000000000001</v>
      </c>
      <c r="S369" s="689"/>
    </row>
    <row r="370" spans="1:19" s="797" customFormat="1" ht="21.75" customHeight="1">
      <c r="A370" s="798">
        <v>12</v>
      </c>
      <c r="B370" s="799" t="s">
        <v>87</v>
      </c>
      <c r="C370" s="798" t="s">
        <v>375</v>
      </c>
      <c r="D370" s="792" t="s">
        <v>723</v>
      </c>
      <c r="E370" s="794" t="e">
        <f>NC_DKDD!H1059</f>
        <v>#VALUE!</v>
      </c>
      <c r="F370" s="794"/>
      <c r="G370" s="827"/>
      <c r="H370" s="794"/>
      <c r="I370" s="794"/>
      <c r="J370" s="794"/>
      <c r="K370" s="794"/>
      <c r="L370" s="794"/>
      <c r="M370" s="794"/>
      <c r="N370" s="794"/>
      <c r="O370" s="794">
        <f t="shared" si="46"/>
        <v>202.88653846153844</v>
      </c>
      <c r="P370" s="782">
        <f t="shared" si="47"/>
        <v>176.42307692307691</v>
      </c>
      <c r="Q370" s="782">
        <f t="shared" si="48"/>
        <v>26.463461538461541</v>
      </c>
      <c r="R370" s="829">
        <f>NC_DKDD!G1059</f>
        <v>3.3000000000000002E-2</v>
      </c>
      <c r="S370" s="689"/>
    </row>
    <row r="371" spans="1:19" s="797" customFormat="1" ht="21.75" customHeight="1">
      <c r="A371" s="798">
        <v>13</v>
      </c>
      <c r="B371" s="799" t="s">
        <v>88</v>
      </c>
      <c r="C371" s="798"/>
      <c r="D371" s="798"/>
      <c r="E371" s="794">
        <f>NC_DKDD!H1060</f>
        <v>0</v>
      </c>
      <c r="F371" s="794"/>
      <c r="G371" s="827"/>
      <c r="H371" s="794"/>
      <c r="I371" s="794"/>
      <c r="J371" s="794"/>
      <c r="K371" s="794"/>
      <c r="L371" s="794"/>
      <c r="M371" s="794"/>
      <c r="N371" s="794"/>
      <c r="O371" s="794">
        <f t="shared" si="46"/>
        <v>0</v>
      </c>
      <c r="P371" s="782">
        <f t="shared" si="47"/>
        <v>0</v>
      </c>
      <c r="Q371" s="782">
        <f t="shared" si="48"/>
        <v>0</v>
      </c>
      <c r="R371" s="829">
        <f>NC_DKDD!G1060</f>
        <v>0</v>
      </c>
      <c r="S371" s="689"/>
    </row>
    <row r="372" spans="1:19" s="797" customFormat="1" ht="33.75" customHeight="1">
      <c r="A372" s="798" t="s">
        <v>110</v>
      </c>
      <c r="B372" s="799" t="s">
        <v>775</v>
      </c>
      <c r="C372" s="798"/>
      <c r="D372" s="798"/>
      <c r="E372" s="794">
        <f>NC_DKDD!H1061</f>
        <v>0</v>
      </c>
      <c r="F372" s="794"/>
      <c r="G372" s="827"/>
      <c r="H372" s="794"/>
      <c r="I372" s="794"/>
      <c r="J372" s="794"/>
      <c r="K372" s="794"/>
      <c r="L372" s="794"/>
      <c r="M372" s="794"/>
      <c r="N372" s="794"/>
      <c r="O372" s="794">
        <f t="shared" si="46"/>
        <v>0</v>
      </c>
      <c r="P372" s="782">
        <f t="shared" si="47"/>
        <v>0</v>
      </c>
      <c r="Q372" s="782">
        <f t="shared" si="48"/>
        <v>0</v>
      </c>
      <c r="R372" s="829">
        <f>NC_DKDD!G1061</f>
        <v>0</v>
      </c>
      <c r="S372" s="689"/>
    </row>
    <row r="373" spans="1:19" s="797" customFormat="1" ht="23.25" customHeight="1">
      <c r="A373" s="798" t="s">
        <v>111</v>
      </c>
      <c r="B373" s="799" t="s">
        <v>777</v>
      </c>
      <c r="C373" s="798" t="s">
        <v>377</v>
      </c>
      <c r="D373" s="792" t="s">
        <v>723</v>
      </c>
      <c r="E373" s="794" t="e">
        <f>NC_DKDD!H1062</f>
        <v>#VALUE!</v>
      </c>
      <c r="F373" s="794"/>
      <c r="G373" s="827"/>
      <c r="H373" s="794"/>
      <c r="I373" s="794"/>
      <c r="J373" s="794"/>
      <c r="K373" s="794"/>
      <c r="L373" s="794"/>
      <c r="M373" s="794"/>
      <c r="N373" s="794"/>
      <c r="O373" s="794">
        <f t="shared" si="46"/>
        <v>122.96153846153845</v>
      </c>
      <c r="P373" s="782">
        <f t="shared" si="47"/>
        <v>106.92307692307692</v>
      </c>
      <c r="Q373" s="782">
        <f t="shared" si="48"/>
        <v>16.03846153846154</v>
      </c>
      <c r="R373" s="829">
        <f>NC_DKDD!G1062</f>
        <v>0.02</v>
      </c>
      <c r="S373" s="689"/>
    </row>
    <row r="374" spans="1:19" s="797" customFormat="1" ht="23.25" customHeight="1">
      <c r="A374" s="798" t="s">
        <v>112</v>
      </c>
      <c r="B374" s="799" t="s">
        <v>781</v>
      </c>
      <c r="C374" s="798" t="s">
        <v>377</v>
      </c>
      <c r="D374" s="792" t="s">
        <v>723</v>
      </c>
      <c r="E374" s="794" t="e">
        <f>NC_DKDD!H1063</f>
        <v>#VALUE!</v>
      </c>
      <c r="F374" s="794"/>
      <c r="G374" s="827"/>
      <c r="H374" s="794"/>
      <c r="I374" s="794"/>
      <c r="J374" s="794"/>
      <c r="K374" s="794"/>
      <c r="L374" s="794"/>
      <c r="M374" s="794"/>
      <c r="N374" s="794"/>
      <c r="O374" s="794">
        <f t="shared" si="46"/>
        <v>61.480769230769226</v>
      </c>
      <c r="P374" s="782">
        <f t="shared" si="47"/>
        <v>53.46153846153846</v>
      </c>
      <c r="Q374" s="782">
        <f t="shared" si="48"/>
        <v>8.0192307692307701</v>
      </c>
      <c r="R374" s="829">
        <f>NC_DKDD!G1063</f>
        <v>0.01</v>
      </c>
      <c r="S374" s="689"/>
    </row>
    <row r="375" spans="1:19" s="797" customFormat="1" ht="31.5" customHeight="1">
      <c r="A375" s="798" t="s">
        <v>113</v>
      </c>
      <c r="B375" s="799" t="s">
        <v>861</v>
      </c>
      <c r="C375" s="798" t="s">
        <v>377</v>
      </c>
      <c r="D375" s="792" t="s">
        <v>723</v>
      </c>
      <c r="E375" s="794" t="e">
        <f>NC_DKDD!H1064</f>
        <v>#VALUE!</v>
      </c>
      <c r="F375" s="794"/>
      <c r="G375" s="827"/>
      <c r="H375" s="794"/>
      <c r="I375" s="794"/>
      <c r="J375" s="794"/>
      <c r="K375" s="794"/>
      <c r="L375" s="794"/>
      <c r="M375" s="794"/>
      <c r="N375" s="794"/>
      <c r="O375" s="794">
        <f t="shared" si="46"/>
        <v>30.740384615384613</v>
      </c>
      <c r="P375" s="782">
        <f t="shared" si="47"/>
        <v>26.73076923076923</v>
      </c>
      <c r="Q375" s="782">
        <f t="shared" si="48"/>
        <v>4.009615384615385</v>
      </c>
      <c r="R375" s="829">
        <f>NC_DKDD!G1064</f>
        <v>5.0000000000000001E-3</v>
      </c>
      <c r="S375" s="689"/>
    </row>
    <row r="376" spans="1:19" s="797" customFormat="1" ht="21.75" customHeight="1">
      <c r="A376" s="798" t="s">
        <v>114</v>
      </c>
      <c r="B376" s="799" t="s">
        <v>863</v>
      </c>
      <c r="C376" s="798" t="s">
        <v>375</v>
      </c>
      <c r="D376" s="792" t="s">
        <v>723</v>
      </c>
      <c r="E376" s="794" t="e">
        <f>NC_DKDD!H1065</f>
        <v>#VALUE!</v>
      </c>
      <c r="F376" s="794"/>
      <c r="G376" s="827"/>
      <c r="H376" s="794"/>
      <c r="I376" s="794"/>
      <c r="J376" s="794"/>
      <c r="K376" s="794"/>
      <c r="L376" s="794"/>
      <c r="M376" s="794"/>
      <c r="N376" s="794"/>
      <c r="O376" s="794">
        <f t="shared" si="46"/>
        <v>61.480769230769226</v>
      </c>
      <c r="P376" s="782">
        <f t="shared" si="47"/>
        <v>53.46153846153846</v>
      </c>
      <c r="Q376" s="782">
        <f t="shared" si="48"/>
        <v>8.0192307692307701</v>
      </c>
      <c r="R376" s="829">
        <f>NC_DKDD!G1065</f>
        <v>0.01</v>
      </c>
      <c r="S376" s="689"/>
    </row>
    <row r="377" spans="1:19" s="797" customFormat="1" ht="27.75" customHeight="1">
      <c r="A377" s="791" t="s">
        <v>1005</v>
      </c>
      <c r="B377" s="787" t="s">
        <v>582</v>
      </c>
      <c r="C377" s="798"/>
      <c r="D377" s="798"/>
      <c r="E377" s="793" t="e">
        <f>E378</f>
        <v>#VALUE!</v>
      </c>
      <c r="F377" s="794"/>
      <c r="G377" s="827"/>
      <c r="H377" s="794">
        <f>'Dcu-DKDD'!$J$363</f>
        <v>0</v>
      </c>
      <c r="I377" s="794"/>
      <c r="J377" s="794"/>
      <c r="K377" s="794"/>
      <c r="L377" s="796" t="e">
        <f>SUM(E377:K377)</f>
        <v>#VALUE!</v>
      </c>
      <c r="M377" s="796" t="e">
        <f>L377*'He so chung'!$D$17/100</f>
        <v>#VALUE!</v>
      </c>
      <c r="N377" s="796" t="e">
        <f>L377+M377</f>
        <v>#VALUE!</v>
      </c>
      <c r="O377" s="793">
        <f>O378</f>
        <v>2397.75</v>
      </c>
      <c r="P377" s="782">
        <f t="shared" si="47"/>
        <v>0</v>
      </c>
      <c r="Q377" s="782">
        <f t="shared" si="48"/>
        <v>0</v>
      </c>
      <c r="R377" s="829">
        <f>NC_DKDD!G1066</f>
        <v>0</v>
      </c>
      <c r="S377" s="689"/>
    </row>
    <row r="378" spans="1:19" s="797" customFormat="1" ht="27.75" customHeight="1">
      <c r="A378" s="798">
        <v>1</v>
      </c>
      <c r="B378" s="799" t="s">
        <v>626</v>
      </c>
      <c r="C378" s="798" t="s">
        <v>532</v>
      </c>
      <c r="D378" s="792" t="s">
        <v>723</v>
      </c>
      <c r="E378" s="794" t="e">
        <f>NC_DKDD!H1067</f>
        <v>#VALUE!</v>
      </c>
      <c r="F378" s="794"/>
      <c r="G378" s="827"/>
      <c r="H378" s="794"/>
      <c r="I378" s="794"/>
      <c r="J378" s="794"/>
      <c r="K378" s="794"/>
      <c r="L378" s="794"/>
      <c r="M378" s="794"/>
      <c r="N378" s="794"/>
      <c r="O378" s="794">
        <f>P378+Q378</f>
        <v>2397.75</v>
      </c>
      <c r="P378" s="782">
        <f t="shared" si="47"/>
        <v>2085</v>
      </c>
      <c r="Q378" s="782">
        <f t="shared" si="48"/>
        <v>312.75</v>
      </c>
      <c r="R378" s="829">
        <f>NC_DKDD!G1067</f>
        <v>0.39</v>
      </c>
      <c r="S378" s="689"/>
    </row>
    <row r="379" spans="1:19" s="797" customFormat="1" ht="27.75" customHeight="1">
      <c r="A379" s="791" t="s">
        <v>755</v>
      </c>
      <c r="B379" s="787" t="s">
        <v>460</v>
      </c>
      <c r="C379" s="798"/>
      <c r="D379" s="800"/>
      <c r="E379" s="793" t="e">
        <f>E380</f>
        <v>#VALUE!</v>
      </c>
      <c r="F379" s="794"/>
      <c r="G379" s="827"/>
      <c r="H379" s="794">
        <f>'Dcu-DKDD'!$H$363</f>
        <v>77.079591346153833</v>
      </c>
      <c r="I379" s="794">
        <f>'VL-DKDD'!$F$371</f>
        <v>472.06800000000004</v>
      </c>
      <c r="J379" s="794"/>
      <c r="K379" s="794"/>
      <c r="L379" s="796" t="e">
        <f>SUM(E379:K379)</f>
        <v>#VALUE!</v>
      </c>
      <c r="M379" s="796" t="e">
        <f>L379*'He so chung'!$D$17/100</f>
        <v>#VALUE!</v>
      </c>
      <c r="N379" s="796" t="e">
        <f>L379+M379</f>
        <v>#VALUE!</v>
      </c>
      <c r="O379" s="793">
        <f>O380</f>
        <v>799.25</v>
      </c>
      <c r="P379" s="782">
        <f t="shared" si="47"/>
        <v>0</v>
      </c>
      <c r="Q379" s="782">
        <f t="shared" si="48"/>
        <v>0</v>
      </c>
      <c r="R379" s="829">
        <f>NC_DKDD!G1068</f>
        <v>0</v>
      </c>
      <c r="S379" s="689"/>
    </row>
    <row r="380" spans="1:19" s="797" customFormat="1" ht="37.5" customHeight="1">
      <c r="A380" s="798">
        <v>1</v>
      </c>
      <c r="B380" s="799" t="s">
        <v>627</v>
      </c>
      <c r="C380" s="798" t="s">
        <v>532</v>
      </c>
      <c r="D380" s="792" t="s">
        <v>723</v>
      </c>
      <c r="E380" s="794" t="e">
        <f>NC_DKDD!H1069</f>
        <v>#VALUE!</v>
      </c>
      <c r="F380" s="794"/>
      <c r="G380" s="827"/>
      <c r="H380" s="794"/>
      <c r="I380" s="794"/>
      <c r="J380" s="794"/>
      <c r="K380" s="794"/>
      <c r="L380" s="794"/>
      <c r="M380" s="794"/>
      <c r="N380" s="794"/>
      <c r="O380" s="794">
        <f>P380+Q380</f>
        <v>799.25</v>
      </c>
      <c r="P380" s="782">
        <f t="shared" si="47"/>
        <v>695</v>
      </c>
      <c r="Q380" s="782">
        <f t="shared" si="48"/>
        <v>104.25</v>
      </c>
      <c r="R380" s="829">
        <f>NC_DKDD!G1069</f>
        <v>0.13</v>
      </c>
      <c r="S380" s="689"/>
    </row>
    <row r="381" spans="1:19" s="409" customFormat="1" ht="17.25" customHeight="1">
      <c r="A381" s="437"/>
      <c r="B381" s="802" t="s">
        <v>533</v>
      </c>
      <c r="C381" s="439"/>
      <c r="D381" s="437"/>
      <c r="E381" s="803"/>
      <c r="F381" s="803"/>
      <c r="G381" s="804"/>
      <c r="H381" s="803"/>
      <c r="I381" s="803"/>
      <c r="J381" s="805"/>
      <c r="K381" s="805"/>
      <c r="L381" s="805"/>
      <c r="M381" s="419"/>
      <c r="N381" s="419"/>
      <c r="O381" s="442"/>
      <c r="P381" s="420"/>
      <c r="Q381" s="420"/>
    </row>
    <row r="382" spans="1:19" s="409" customFormat="1" ht="24.75" customHeight="1">
      <c r="A382" s="455"/>
      <c r="B382" s="1073" t="s">
        <v>854</v>
      </c>
      <c r="C382" s="1073"/>
      <c r="D382" s="1073"/>
      <c r="E382" s="1073"/>
      <c r="F382" s="1073"/>
      <c r="G382" s="1073"/>
      <c r="H382" s="1073"/>
      <c r="I382" s="1073"/>
      <c r="J382" s="1073"/>
      <c r="K382" s="1073"/>
      <c r="L382" s="1073"/>
      <c r="M382" s="1073"/>
      <c r="N382" s="1073"/>
      <c r="O382" s="1073"/>
      <c r="P382" s="420"/>
      <c r="Q382" s="420"/>
    </row>
  </sheetData>
  <mergeCells count="92">
    <mergeCell ref="A87:O87"/>
    <mergeCell ref="A89:A90"/>
    <mergeCell ref="A47:A48"/>
    <mergeCell ref="B47:B48"/>
    <mergeCell ref="C47:C48"/>
    <mergeCell ref="D47:D48"/>
    <mergeCell ref="B85:O85"/>
    <mergeCell ref="O47:O48"/>
    <mergeCell ref="D132:D133"/>
    <mergeCell ref="E132:L132"/>
    <mergeCell ref="B128:O128"/>
    <mergeCell ref="B89:B90"/>
    <mergeCell ref="D89:D90"/>
    <mergeCell ref="N217:N218"/>
    <mergeCell ref="N89:N90"/>
    <mergeCell ref="E301:L301"/>
    <mergeCell ref="M301:M302"/>
    <mergeCell ref="B217:B218"/>
    <mergeCell ref="C217:C218"/>
    <mergeCell ref="D217:D218"/>
    <mergeCell ref="E217:L217"/>
    <mergeCell ref="M217:M218"/>
    <mergeCell ref="E89:L89"/>
    <mergeCell ref="M89:M90"/>
    <mergeCell ref="C89:C90"/>
    <mergeCell ref="C174:C175"/>
    <mergeCell ref="B170:O170"/>
    <mergeCell ref="O174:O175"/>
    <mergeCell ref="A130:O130"/>
    <mergeCell ref="C132:C133"/>
    <mergeCell ref="O89:O90"/>
    <mergeCell ref="B174:B175"/>
    <mergeCell ref="M132:M133"/>
    <mergeCell ref="N132:N133"/>
    <mergeCell ref="O132:O133"/>
    <mergeCell ref="A132:A133"/>
    <mergeCell ref="B132:B133"/>
    <mergeCell ref="N301:N302"/>
    <mergeCell ref="B255:O255"/>
    <mergeCell ref="A256:O256"/>
    <mergeCell ref="O217:O218"/>
    <mergeCell ref="C301:C302"/>
    <mergeCell ref="A174:A175"/>
    <mergeCell ref="B213:O213"/>
    <mergeCell ref="D343:D344"/>
    <mergeCell ref="M343:M344"/>
    <mergeCell ref="B340:O340"/>
    <mergeCell ref="A299:O299"/>
    <mergeCell ref="N343:N344"/>
    <mergeCell ref="A341:O341"/>
    <mergeCell ref="A259:A260"/>
    <mergeCell ref="M259:M260"/>
    <mergeCell ref="A301:A302"/>
    <mergeCell ref="B301:B302"/>
    <mergeCell ref="O301:O302"/>
    <mergeCell ref="A215:O215"/>
    <mergeCell ref="A217:A218"/>
    <mergeCell ref="A343:A344"/>
    <mergeCell ref="B343:B344"/>
    <mergeCell ref="C343:C344"/>
    <mergeCell ref="C259:C260"/>
    <mergeCell ref="O259:O260"/>
    <mergeCell ref="O343:O344"/>
    <mergeCell ref="N259:N260"/>
    <mergeCell ref="E174:L174"/>
    <mergeCell ref="M174:M175"/>
    <mergeCell ref="N174:N175"/>
    <mergeCell ref="D259:D260"/>
    <mergeCell ref="B298:O298"/>
    <mergeCell ref="E259:L259"/>
    <mergeCell ref="B259:B260"/>
    <mergeCell ref="D301:D302"/>
    <mergeCell ref="A1:O1"/>
    <mergeCell ref="A2:O2"/>
    <mergeCell ref="O4:O5"/>
    <mergeCell ref="A4:A5"/>
    <mergeCell ref="B4:B5"/>
    <mergeCell ref="M4:M5"/>
    <mergeCell ref="N4:N5"/>
    <mergeCell ref="C4:C5"/>
    <mergeCell ref="E4:L4"/>
    <mergeCell ref="D4:D5"/>
    <mergeCell ref="B382:O382"/>
    <mergeCell ref="A172:O172"/>
    <mergeCell ref="B43:O43"/>
    <mergeCell ref="A45:O45"/>
    <mergeCell ref="B44:O44"/>
    <mergeCell ref="E47:L47"/>
    <mergeCell ref="M47:M48"/>
    <mergeCell ref="N47:N48"/>
    <mergeCell ref="D174:D175"/>
    <mergeCell ref="E343:L343"/>
  </mergeCells>
  <phoneticPr fontId="45" type="noConversion"/>
  <printOptions horizontalCentered="1"/>
  <pageMargins left="0.65055118110236199" right="0.49" top="0.2" bottom="0.23" header="0.2" footer="0.23"/>
  <pageSetup paperSize="9" scale="60" firstPageNumber="167" fitToHeight="0" orientation="landscape" useFirstPageNumber="1" r:id="rId1"/>
  <headerFooter alignWithMargins="0">
    <oddFooter>&amp;C&amp;P</oddFooter>
  </headerFooter>
  <rowBreaks count="6" manualBreakCount="6">
    <brk id="43" max="16383" man="1"/>
    <brk id="86" max="16383" man="1"/>
    <brk id="171" max="16383" man="1"/>
    <brk id="255" max="16383" man="1"/>
    <brk id="298" max="16383" man="1"/>
    <brk id="3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S53"/>
  <sheetViews>
    <sheetView topLeftCell="A4" zoomScale="85" zoomScaleNormal="85" workbookViewId="0">
      <selection activeCell="T9" sqref="T9"/>
    </sheetView>
  </sheetViews>
  <sheetFormatPr defaultRowHeight="16.5"/>
  <cols>
    <col min="1" max="1" width="4.77734375" style="198" customWidth="1"/>
    <col min="2" max="2" width="55.6640625" style="192" customWidth="1"/>
    <col min="3" max="3" width="6.109375" style="193" customWidth="1"/>
    <col min="4" max="4" width="4.88671875" style="194" customWidth="1"/>
    <col min="5" max="5" width="7.21875" style="112" customWidth="1"/>
    <col min="6" max="6" width="6.109375" style="112" customWidth="1"/>
    <col min="7" max="7" width="7.109375" style="208" hidden="1" customWidth="1"/>
    <col min="8" max="8" width="6.5546875" style="112" customWidth="1"/>
    <col min="9" max="9" width="6.33203125" style="112" customWidth="1"/>
    <col min="10" max="10" width="5" style="112" customWidth="1"/>
    <col min="11" max="11" width="6.21875" style="112" customWidth="1"/>
    <col min="12" max="12" width="7.21875" style="112" customWidth="1"/>
    <col min="13" max="13" width="10.109375" style="112" customWidth="1"/>
    <col min="14" max="14" width="8.88671875" style="112"/>
    <col min="15" max="15" width="7.77734375" style="112" customWidth="1"/>
    <col min="16" max="18" width="8.88671875" style="50" hidden="1" customWidth="1"/>
    <col min="19" max="45" width="8.88671875" style="50"/>
  </cols>
  <sheetData>
    <row r="1" spans="1:45" ht="32.450000000000003" customHeight="1">
      <c r="A1" s="1144" t="s">
        <v>750</v>
      </c>
      <c r="B1" s="1144"/>
      <c r="C1" s="1144"/>
      <c r="D1" s="1144"/>
      <c r="E1" s="1144"/>
      <c r="F1" s="1144"/>
      <c r="G1" s="1144"/>
      <c r="H1" s="1144"/>
      <c r="I1" s="1144"/>
      <c r="J1" s="1144"/>
      <c r="K1" s="1144"/>
      <c r="L1" s="1144"/>
      <c r="M1" s="1144"/>
      <c r="N1" s="1144"/>
      <c r="O1" s="1144"/>
      <c r="P1" s="201" t="s">
        <v>607</v>
      </c>
      <c r="Q1" s="202">
        <v>0</v>
      </c>
    </row>
    <row r="2" spans="1:45" ht="22.15" customHeight="1">
      <c r="A2" s="1150" t="s">
        <v>230</v>
      </c>
      <c r="B2" s="1150"/>
      <c r="C2" s="1150"/>
      <c r="D2" s="1150"/>
      <c r="E2" s="1150"/>
      <c r="F2" s="1150"/>
      <c r="G2" s="1150"/>
      <c r="H2" s="1150"/>
      <c r="I2" s="1150"/>
      <c r="J2" s="1150"/>
      <c r="K2" s="1150"/>
      <c r="L2" s="1150"/>
      <c r="M2" s="1150"/>
      <c r="N2" s="1150"/>
      <c r="O2" s="1150"/>
    </row>
    <row r="3" spans="1:45" s="102" customFormat="1" ht="15" customHeight="1">
      <c r="A3" s="120"/>
      <c r="B3" s="122"/>
      <c r="C3" s="191"/>
      <c r="D3" s="121"/>
      <c r="E3" s="99"/>
      <c r="F3" s="195"/>
      <c r="G3" s="204"/>
      <c r="H3" s="195"/>
      <c r="I3" s="196"/>
      <c r="J3" s="195"/>
      <c r="K3" s="195"/>
      <c r="L3" s="197" t="s">
        <v>231</v>
      </c>
      <c r="M3" s="195"/>
      <c r="N3" s="196"/>
      <c r="O3" s="105"/>
    </row>
    <row r="4" spans="1:45" s="102" customFormat="1" ht="14.25" customHeight="1">
      <c r="A4" s="120"/>
      <c r="B4" s="122"/>
      <c r="C4" s="191"/>
      <c r="D4" s="121"/>
      <c r="E4" s="99"/>
      <c r="F4" s="99"/>
      <c r="G4" s="205"/>
      <c r="H4" s="99"/>
      <c r="I4" s="99"/>
      <c r="J4" s="99"/>
      <c r="K4" s="99"/>
      <c r="L4" s="99"/>
      <c r="M4" s="99"/>
      <c r="N4" s="99"/>
      <c r="O4" s="108"/>
      <c r="P4" s="203">
        <f>'He so chung'!$D$22</f>
        <v>5346.1538461538457</v>
      </c>
      <c r="Q4" s="203">
        <f>'He so chung'!$D$23</f>
        <v>801.92307692307691</v>
      </c>
    </row>
    <row r="5" spans="1:45" s="102" customFormat="1" ht="27.75" customHeight="1">
      <c r="A5" s="1145" t="s">
        <v>718</v>
      </c>
      <c r="B5" s="1145" t="s">
        <v>198</v>
      </c>
      <c r="C5" s="1142" t="s">
        <v>263</v>
      </c>
      <c r="D5" s="1051" t="s">
        <v>264</v>
      </c>
      <c r="E5" s="1147" t="s">
        <v>683</v>
      </c>
      <c r="F5" s="1148"/>
      <c r="G5" s="1148"/>
      <c r="H5" s="1148"/>
      <c r="I5" s="1148"/>
      <c r="J5" s="1148"/>
      <c r="K5" s="1148"/>
      <c r="L5" s="1149"/>
      <c r="M5" s="1142" t="s">
        <v>435</v>
      </c>
      <c r="N5" s="1142" t="s">
        <v>684</v>
      </c>
      <c r="O5" s="1142" t="s">
        <v>685</v>
      </c>
    </row>
    <row r="6" spans="1:45" s="102" customFormat="1" ht="38.25" customHeight="1">
      <c r="A6" s="1146"/>
      <c r="B6" s="1146"/>
      <c r="C6" s="1143"/>
      <c r="D6" s="1052"/>
      <c r="E6" s="100" t="s">
        <v>686</v>
      </c>
      <c r="F6" s="100" t="s">
        <v>687</v>
      </c>
      <c r="G6" s="206" t="s">
        <v>285</v>
      </c>
      <c r="H6" s="100" t="s">
        <v>972</v>
      </c>
      <c r="I6" s="100" t="s">
        <v>688</v>
      </c>
      <c r="J6" s="100" t="s">
        <v>531</v>
      </c>
      <c r="K6" s="100" t="s">
        <v>689</v>
      </c>
      <c r="L6" s="100" t="s">
        <v>690</v>
      </c>
      <c r="M6" s="1143"/>
      <c r="N6" s="1143"/>
      <c r="O6" s="1143"/>
    </row>
    <row r="7" spans="1:45" s="102" customFormat="1" ht="29.45" customHeight="1">
      <c r="A7" s="268" t="s">
        <v>1000</v>
      </c>
      <c r="B7" s="269" t="s">
        <v>232</v>
      </c>
      <c r="C7" s="270"/>
      <c r="D7" s="271"/>
      <c r="E7" s="270"/>
      <c r="F7" s="270"/>
      <c r="G7" s="279"/>
      <c r="H7" s="270"/>
      <c r="I7" s="270"/>
      <c r="J7" s="270"/>
      <c r="K7" s="270"/>
      <c r="L7" s="270"/>
      <c r="M7" s="270"/>
      <c r="N7" s="270"/>
      <c r="O7" s="270"/>
    </row>
    <row r="8" spans="1:45" s="260" customFormat="1" ht="26.45" customHeight="1">
      <c r="A8" s="273" t="s">
        <v>725</v>
      </c>
      <c r="B8" s="274" t="s">
        <v>751</v>
      </c>
      <c r="C8" s="276" t="s">
        <v>261</v>
      </c>
      <c r="D8" s="276"/>
      <c r="E8" s="277" t="e">
        <f>E11+E13+E16</f>
        <v>#VALUE!</v>
      </c>
      <c r="F8" s="278">
        <f>F11+F13+F16</f>
        <v>0</v>
      </c>
      <c r="G8" s="278">
        <f>G11+G13+G16</f>
        <v>0</v>
      </c>
      <c r="H8" s="277">
        <f>'Dcu-DKDD'!H$391</f>
        <v>833.38926282051273</v>
      </c>
      <c r="I8" s="277">
        <f>'VL-DKDD'!F$389</f>
        <v>18711</v>
      </c>
      <c r="J8" s="277">
        <f>'TB-DKDD'!I$226</f>
        <v>1782.4</v>
      </c>
      <c r="K8" s="277">
        <f>'NL-DKDD'!F$149</f>
        <v>3157.7280000000001</v>
      </c>
      <c r="L8" s="277" t="e">
        <f>SUM(E8:K8)</f>
        <v>#VALUE!</v>
      </c>
      <c r="M8" s="277" t="e">
        <f>L8*'He so chung'!$D$17/100</f>
        <v>#VALUE!</v>
      </c>
      <c r="N8" s="277" t="e">
        <f>M8+L8</f>
        <v>#VALUE!</v>
      </c>
      <c r="O8" s="277">
        <f>O11+O13+O16</f>
        <v>1229.6153846153848</v>
      </c>
      <c r="S8" s="375"/>
    </row>
    <row r="9" spans="1:45" s="260" customFormat="1" ht="26.45" customHeight="1">
      <c r="A9" s="273" t="s">
        <v>726</v>
      </c>
      <c r="B9" s="274" t="s">
        <v>752</v>
      </c>
      <c r="C9" s="276" t="s">
        <v>261</v>
      </c>
      <c r="D9" s="276"/>
      <c r="E9" s="277" t="e">
        <f>E11+E14+E17</f>
        <v>#VALUE!</v>
      </c>
      <c r="F9" s="278">
        <f>F11+F14+F17</f>
        <v>0</v>
      </c>
      <c r="G9" s="278">
        <f>G11+G14+G17</f>
        <v>0</v>
      </c>
      <c r="H9" s="277">
        <f>'Dcu-DKDD'!H$391</f>
        <v>833.38926282051273</v>
      </c>
      <c r="I9" s="277">
        <f>'VL-DKDD'!F$389</f>
        <v>18711</v>
      </c>
      <c r="J9" s="277">
        <f>'TB-DKDD'!I$226</f>
        <v>1782.4</v>
      </c>
      <c r="K9" s="277">
        <f>'NL-DKDD'!F$149</f>
        <v>3157.7280000000001</v>
      </c>
      <c r="L9" s="374" t="e">
        <f>SUM(E9:K9)</f>
        <v>#VALUE!</v>
      </c>
      <c r="M9" s="374" t="e">
        <f>L9*'He so chung'!$D$17/100</f>
        <v>#VALUE!</v>
      </c>
      <c r="N9" s="374" t="e">
        <f>M9+L9</f>
        <v>#VALUE!</v>
      </c>
      <c r="O9" s="277">
        <f>O11+O14+O17</f>
        <v>1844.4230769230771</v>
      </c>
    </row>
    <row r="10" spans="1:45" s="102" customFormat="1" ht="21" customHeight="1">
      <c r="A10" s="106"/>
      <c r="B10" s="261"/>
      <c r="C10" s="107"/>
      <c r="D10" s="109"/>
      <c r="E10" s="107"/>
      <c r="F10" s="262"/>
      <c r="G10" s="262"/>
      <c r="H10" s="107"/>
      <c r="I10" s="107"/>
      <c r="J10" s="107"/>
      <c r="K10" s="107"/>
      <c r="L10" s="374"/>
      <c r="M10" s="374"/>
      <c r="N10" s="374"/>
      <c r="O10" s="107"/>
    </row>
    <row r="11" spans="1:45" s="1" customFormat="1" ht="26.45" customHeight="1">
      <c r="A11" s="19" t="s">
        <v>727</v>
      </c>
      <c r="B11" s="20" t="s">
        <v>22</v>
      </c>
      <c r="C11" s="21" t="s">
        <v>532</v>
      </c>
      <c r="D11" s="17"/>
      <c r="E11" s="24" t="e">
        <f>NC_DKDD!H1073</f>
        <v>#VALUE!</v>
      </c>
      <c r="F11" s="263"/>
      <c r="G11" s="265">
        <f>P11*$Q$1*10</f>
        <v>0</v>
      </c>
      <c r="H11" s="24"/>
      <c r="I11" s="104"/>
      <c r="J11" s="103"/>
      <c r="K11" s="104"/>
      <c r="L11" s="374"/>
      <c r="M11" s="374"/>
      <c r="N11" s="374"/>
      <c r="O11" s="24">
        <f>P11+Q11</f>
        <v>614.80769230769238</v>
      </c>
      <c r="P11" s="102">
        <f>P4*R11</f>
        <v>534.61538461538464</v>
      </c>
      <c r="Q11" s="102">
        <f>Q4*R11</f>
        <v>80.192307692307693</v>
      </c>
      <c r="R11" s="102">
        <f>NC_DKDD!G1073</f>
        <v>0.1</v>
      </c>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row>
    <row r="12" spans="1:45" s="1" customFormat="1" ht="26.45" customHeight="1">
      <c r="A12" s="19" t="s">
        <v>728</v>
      </c>
      <c r="B12" s="20" t="s">
        <v>23</v>
      </c>
      <c r="C12" s="21"/>
      <c r="D12" s="17"/>
      <c r="E12" s="24"/>
      <c r="F12" s="263"/>
      <c r="G12" s="266"/>
      <c r="H12" s="24"/>
      <c r="I12" s="104"/>
      <c r="J12" s="103"/>
      <c r="K12" s="104"/>
      <c r="L12" s="374"/>
      <c r="M12" s="374"/>
      <c r="N12" s="374"/>
      <c r="O12" s="24"/>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row>
    <row r="13" spans="1:45" s="1" customFormat="1" ht="26.45" customHeight="1">
      <c r="A13" s="19" t="s">
        <v>742</v>
      </c>
      <c r="B13" s="20" t="s">
        <v>24</v>
      </c>
      <c r="C13" s="21" t="s">
        <v>532</v>
      </c>
      <c r="D13" s="17"/>
      <c r="E13" s="24" t="e">
        <f>NC_DKDD!H1075</f>
        <v>#VALUE!</v>
      </c>
      <c r="F13" s="263"/>
      <c r="G13" s="265">
        <f>P13*$Q$1*10</f>
        <v>0</v>
      </c>
      <c r="H13" s="24"/>
      <c r="I13" s="104"/>
      <c r="J13" s="103"/>
      <c r="K13" s="104"/>
      <c r="L13" s="374"/>
      <c r="M13" s="374"/>
      <c r="N13" s="374"/>
      <c r="O13" s="24">
        <f>P13+Q13</f>
        <v>307.40384615384619</v>
      </c>
      <c r="P13" s="102">
        <f>P4*R13</f>
        <v>267.30769230769232</v>
      </c>
      <c r="Q13" s="102">
        <f>Q4*R13</f>
        <v>40.096153846153847</v>
      </c>
      <c r="R13" s="102">
        <f>NC_DKDD!G1075</f>
        <v>0.05</v>
      </c>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row>
    <row r="14" spans="1:45" s="1" customFormat="1" ht="26.45" customHeight="1">
      <c r="A14" s="19" t="s">
        <v>743</v>
      </c>
      <c r="B14" s="20" t="s">
        <v>25</v>
      </c>
      <c r="C14" s="21" t="s">
        <v>532</v>
      </c>
      <c r="D14" s="17"/>
      <c r="E14" s="24" t="e">
        <f>NC_DKDD!H1076</f>
        <v>#VALUE!</v>
      </c>
      <c r="F14" s="263"/>
      <c r="G14" s="265">
        <f>P14*$Q$1*10</f>
        <v>0</v>
      </c>
      <c r="H14" s="24"/>
      <c r="I14" s="104"/>
      <c r="J14" s="103"/>
      <c r="K14" s="104"/>
      <c r="L14" s="374"/>
      <c r="M14" s="374"/>
      <c r="N14" s="374"/>
      <c r="O14" s="24">
        <f>P14+Q14</f>
        <v>614.80769230769238</v>
      </c>
      <c r="P14" s="102">
        <f>P4*R14</f>
        <v>534.61538461538464</v>
      </c>
      <c r="Q14" s="102">
        <f>Q4*R14</f>
        <v>80.192307692307693</v>
      </c>
      <c r="R14" s="102">
        <f>NC_DKDD!G1076</f>
        <v>0.1</v>
      </c>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row>
    <row r="15" spans="1:45" s="1" customFormat="1" ht="26.45" customHeight="1">
      <c r="A15" s="19" t="s">
        <v>729</v>
      </c>
      <c r="B15" s="20" t="s">
        <v>26</v>
      </c>
      <c r="C15" s="21"/>
      <c r="D15" s="17"/>
      <c r="E15" s="24"/>
      <c r="F15" s="263"/>
      <c r="G15" s="266"/>
      <c r="H15" s="24"/>
      <c r="I15" s="104"/>
      <c r="J15" s="103"/>
      <c r="K15" s="104"/>
      <c r="L15" s="374"/>
      <c r="M15" s="374"/>
      <c r="N15" s="374"/>
      <c r="O15" s="24"/>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row>
    <row r="16" spans="1:45" s="1" customFormat="1" ht="26.45" customHeight="1">
      <c r="A16" s="19" t="s">
        <v>735</v>
      </c>
      <c r="B16" s="20" t="s">
        <v>27</v>
      </c>
      <c r="C16" s="21" t="s">
        <v>532</v>
      </c>
      <c r="D16" s="17"/>
      <c r="E16" s="24" t="e">
        <f>NC_DKDD!H1078</f>
        <v>#VALUE!</v>
      </c>
      <c r="F16" s="263"/>
      <c r="G16" s="265">
        <f>P16*$Q$1*10</f>
        <v>0</v>
      </c>
      <c r="H16" s="24"/>
      <c r="I16" s="104"/>
      <c r="J16" s="103"/>
      <c r="K16" s="104"/>
      <c r="L16" s="374"/>
      <c r="M16" s="374"/>
      <c r="N16" s="374"/>
      <c r="O16" s="24">
        <f>P16+Q16</f>
        <v>307.40384615384619</v>
      </c>
      <c r="P16" s="102">
        <f>P4*R16</f>
        <v>267.30769230769232</v>
      </c>
      <c r="Q16" s="102">
        <f>Q4*R16</f>
        <v>40.096153846153847</v>
      </c>
      <c r="R16" s="102">
        <f>NC_DKDD!G1078</f>
        <v>0.05</v>
      </c>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row>
    <row r="17" spans="1:45" s="1" customFormat="1" ht="26.45" customHeight="1">
      <c r="A17" s="19" t="s">
        <v>736</v>
      </c>
      <c r="B17" s="20" t="s">
        <v>25</v>
      </c>
      <c r="C17" s="21" t="s">
        <v>532</v>
      </c>
      <c r="D17" s="17"/>
      <c r="E17" s="24" t="e">
        <f>NC_DKDD!H1079</f>
        <v>#VALUE!</v>
      </c>
      <c r="F17" s="263"/>
      <c r="G17" s="265">
        <f>P17*$Q$1*10</f>
        <v>0</v>
      </c>
      <c r="H17" s="24"/>
      <c r="I17" s="104"/>
      <c r="J17" s="103"/>
      <c r="K17" s="104"/>
      <c r="L17" s="374"/>
      <c r="M17" s="374"/>
      <c r="N17" s="374"/>
      <c r="O17" s="24">
        <f>P17+Q17</f>
        <v>614.80769230769238</v>
      </c>
      <c r="P17" s="102">
        <f>P4*R17</f>
        <v>534.61538461538464</v>
      </c>
      <c r="Q17" s="102">
        <f>Q4*R17</f>
        <v>80.192307692307693</v>
      </c>
      <c r="R17" s="102">
        <f>NC_DKDD!G1079</f>
        <v>0.1</v>
      </c>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row>
    <row r="18" spans="1:45" ht="20.45" customHeight="1">
      <c r="A18" s="98"/>
      <c r="B18" s="22"/>
      <c r="C18" s="23"/>
      <c r="D18" s="98"/>
      <c r="E18" s="111"/>
      <c r="F18" s="264"/>
      <c r="G18" s="267"/>
      <c r="H18" s="111"/>
      <c r="I18" s="111"/>
      <c r="J18" s="110"/>
      <c r="K18" s="110"/>
      <c r="L18" s="110"/>
      <c r="M18" s="110"/>
      <c r="N18" s="110"/>
      <c r="O18" s="25"/>
      <c r="P18" s="102"/>
      <c r="Q18" s="102"/>
    </row>
    <row r="19" spans="1:45" s="102" customFormat="1" ht="31.15" customHeight="1">
      <c r="A19" s="268" t="s">
        <v>1005</v>
      </c>
      <c r="B19" s="269" t="s">
        <v>753</v>
      </c>
      <c r="C19" s="270"/>
      <c r="D19" s="271"/>
      <c r="E19" s="270"/>
      <c r="F19" s="272"/>
      <c r="G19" s="272"/>
      <c r="H19" s="270"/>
      <c r="I19" s="270"/>
      <c r="J19" s="270"/>
      <c r="K19" s="270"/>
      <c r="L19" s="270"/>
      <c r="M19" s="270"/>
      <c r="N19" s="270"/>
      <c r="O19" s="270"/>
    </row>
    <row r="20" spans="1:45" s="260" customFormat="1" ht="26.45" customHeight="1">
      <c r="A20" s="273" t="s">
        <v>725</v>
      </c>
      <c r="B20" s="274" t="s">
        <v>916</v>
      </c>
      <c r="C20" s="275" t="s">
        <v>481</v>
      </c>
      <c r="D20" s="276"/>
      <c r="E20" s="277" t="e">
        <f>E8*0.8</f>
        <v>#VALUE!</v>
      </c>
      <c r="F20" s="278">
        <f t="shared" ref="F20:K20" si="0">F8*0.8</f>
        <v>0</v>
      </c>
      <c r="G20" s="278">
        <f t="shared" si="0"/>
        <v>0</v>
      </c>
      <c r="H20" s="277">
        <f>H8*0.8</f>
        <v>666.7114102564102</v>
      </c>
      <c r="I20" s="277">
        <f t="shared" si="0"/>
        <v>14968.800000000001</v>
      </c>
      <c r="J20" s="277">
        <f t="shared" si="0"/>
        <v>1425.92</v>
      </c>
      <c r="K20" s="277">
        <f t="shared" si="0"/>
        <v>2526.1824000000001</v>
      </c>
      <c r="L20" s="277" t="e">
        <f>SUM(E20:K20)</f>
        <v>#VALUE!</v>
      </c>
      <c r="M20" s="277" t="e">
        <f>L20*'He so chung'!$D$17/100</f>
        <v>#VALUE!</v>
      </c>
      <c r="N20" s="277" t="e">
        <f>M20+L20</f>
        <v>#VALUE!</v>
      </c>
      <c r="O20" s="277">
        <f>O8*0.8</f>
        <v>983.69230769230785</v>
      </c>
    </row>
    <row r="21" spans="1:45" s="260" customFormat="1" ht="26.45" customHeight="1">
      <c r="A21" s="273" t="s">
        <v>726</v>
      </c>
      <c r="B21" s="274" t="s">
        <v>917</v>
      </c>
      <c r="C21" s="275" t="s">
        <v>481</v>
      </c>
      <c r="D21" s="276"/>
      <c r="E21" s="277" t="e">
        <f>E9*0.8</f>
        <v>#VALUE!</v>
      </c>
      <c r="F21" s="278">
        <f t="shared" ref="F21:K21" si="1">F9*0.8</f>
        <v>0</v>
      </c>
      <c r="G21" s="278">
        <f t="shared" si="1"/>
        <v>0</v>
      </c>
      <c r="H21" s="277">
        <f t="shared" si="1"/>
        <v>666.7114102564102</v>
      </c>
      <c r="I21" s="277">
        <f t="shared" si="1"/>
        <v>14968.800000000001</v>
      </c>
      <c r="J21" s="277">
        <f t="shared" si="1"/>
        <v>1425.92</v>
      </c>
      <c r="K21" s="277">
        <f t="shared" si="1"/>
        <v>2526.1824000000001</v>
      </c>
      <c r="L21" s="277" t="e">
        <f>SUM(E21:K21)</f>
        <v>#VALUE!</v>
      </c>
      <c r="M21" s="277" t="e">
        <f>L21*'He so chung'!$D$17/100</f>
        <v>#VALUE!</v>
      </c>
      <c r="N21" s="277" t="e">
        <f>M21+L21</f>
        <v>#VALUE!</v>
      </c>
      <c r="O21" s="277">
        <f>O9*0.8</f>
        <v>1475.5384615384619</v>
      </c>
    </row>
    <row r="22" spans="1:45" ht="19.899999999999999" customHeight="1">
      <c r="A22" s="98"/>
      <c r="B22" s="22"/>
      <c r="C22" s="23"/>
      <c r="D22" s="98"/>
      <c r="E22" s="111"/>
      <c r="F22" s="264"/>
      <c r="G22" s="267"/>
      <c r="H22" s="111"/>
      <c r="I22" s="111"/>
      <c r="J22" s="110"/>
      <c r="K22" s="110"/>
      <c r="L22" s="110"/>
      <c r="M22" s="110"/>
      <c r="N22" s="110"/>
      <c r="O22" s="25"/>
      <c r="P22" s="102"/>
      <c r="Q22" s="102"/>
    </row>
    <row r="23" spans="1:45" s="102" customFormat="1" ht="34.9" customHeight="1">
      <c r="A23" s="268" t="s">
        <v>755</v>
      </c>
      <c r="B23" s="269" t="s">
        <v>754</v>
      </c>
      <c r="C23" s="270"/>
      <c r="D23" s="271"/>
      <c r="E23" s="270"/>
      <c r="F23" s="272"/>
      <c r="G23" s="272"/>
      <c r="H23" s="270"/>
      <c r="I23" s="270"/>
      <c r="J23" s="270"/>
      <c r="K23" s="270"/>
      <c r="L23" s="270"/>
      <c r="M23" s="270"/>
      <c r="N23" s="270"/>
      <c r="O23" s="270"/>
    </row>
    <row r="24" spans="1:45" s="260" customFormat="1" ht="26.45" customHeight="1">
      <c r="A24" s="273" t="s">
        <v>725</v>
      </c>
      <c r="B24" s="274" t="s">
        <v>916</v>
      </c>
      <c r="C24" s="275" t="s">
        <v>481</v>
      </c>
      <c r="D24" s="276"/>
      <c r="E24" s="277" t="e">
        <f>E8*0.65</f>
        <v>#VALUE!</v>
      </c>
      <c r="F24" s="278">
        <f t="shared" ref="F24:K24" si="2">F8*0.65</f>
        <v>0</v>
      </c>
      <c r="G24" s="278">
        <f t="shared" si="2"/>
        <v>0</v>
      </c>
      <c r="H24" s="277">
        <f t="shared" si="2"/>
        <v>541.70302083333331</v>
      </c>
      <c r="I24" s="277">
        <f t="shared" si="2"/>
        <v>12162.15</v>
      </c>
      <c r="J24" s="277">
        <f t="shared" si="2"/>
        <v>1158.5600000000002</v>
      </c>
      <c r="K24" s="277">
        <f t="shared" si="2"/>
        <v>2052.5232000000001</v>
      </c>
      <c r="L24" s="277" t="e">
        <f>SUM(E24:K24)</f>
        <v>#VALUE!</v>
      </c>
      <c r="M24" s="277" t="e">
        <f>L24*'He so chung'!$D$17/100</f>
        <v>#VALUE!</v>
      </c>
      <c r="N24" s="277" t="e">
        <f>M24+L24</f>
        <v>#VALUE!</v>
      </c>
      <c r="O24" s="277">
        <f>O8*0.65</f>
        <v>799.25000000000011</v>
      </c>
    </row>
    <row r="25" spans="1:45" s="260" customFormat="1" ht="26.45" customHeight="1">
      <c r="A25" s="273" t="s">
        <v>726</v>
      </c>
      <c r="B25" s="274" t="s">
        <v>917</v>
      </c>
      <c r="C25" s="275" t="s">
        <v>481</v>
      </c>
      <c r="D25" s="276"/>
      <c r="E25" s="277" t="e">
        <f>E9*0.65</f>
        <v>#VALUE!</v>
      </c>
      <c r="F25" s="278">
        <f t="shared" ref="F25:K25" si="3">F9*0.65</f>
        <v>0</v>
      </c>
      <c r="G25" s="278">
        <f t="shared" si="3"/>
        <v>0</v>
      </c>
      <c r="H25" s="277">
        <f t="shared" si="3"/>
        <v>541.70302083333331</v>
      </c>
      <c r="I25" s="277">
        <f t="shared" si="3"/>
        <v>12162.15</v>
      </c>
      <c r="J25" s="277">
        <f t="shared" si="3"/>
        <v>1158.5600000000002</v>
      </c>
      <c r="K25" s="277">
        <f t="shared" si="3"/>
        <v>2052.5232000000001</v>
      </c>
      <c r="L25" s="277" t="e">
        <f>SUM(E25:K25)</f>
        <v>#VALUE!</v>
      </c>
      <c r="M25" s="277" t="e">
        <f>L25*'He so chung'!$D$17/100</f>
        <v>#VALUE!</v>
      </c>
      <c r="N25" s="277" t="e">
        <f>M25+L25</f>
        <v>#VALUE!</v>
      </c>
      <c r="O25" s="277">
        <f>O9*0.65</f>
        <v>1198.8750000000002</v>
      </c>
    </row>
    <row r="26" spans="1:45" ht="21" customHeight="1">
      <c r="A26" s="98"/>
      <c r="B26" s="22"/>
      <c r="C26" s="23"/>
      <c r="D26" s="98"/>
      <c r="E26" s="111"/>
      <c r="F26" s="264"/>
      <c r="G26" s="267"/>
      <c r="H26" s="111"/>
      <c r="I26" s="111"/>
      <c r="J26" s="110"/>
      <c r="K26" s="110"/>
      <c r="L26" s="110"/>
      <c r="M26" s="110"/>
      <c r="N26" s="110"/>
      <c r="O26" s="25"/>
      <c r="P26" s="102"/>
      <c r="Q26" s="102"/>
    </row>
    <row r="27" spans="1:45" s="102" customFormat="1" ht="38.25" customHeight="1">
      <c r="A27" s="268" t="s">
        <v>756</v>
      </c>
      <c r="B27" s="269" t="s">
        <v>757</v>
      </c>
      <c r="C27" s="270"/>
      <c r="D27" s="271"/>
      <c r="E27" s="270"/>
      <c r="F27" s="272"/>
      <c r="G27" s="272"/>
      <c r="H27" s="270"/>
      <c r="I27" s="270"/>
      <c r="J27" s="270"/>
      <c r="K27" s="270"/>
      <c r="L27" s="270"/>
      <c r="M27" s="270"/>
      <c r="N27" s="270"/>
      <c r="O27" s="270"/>
    </row>
    <row r="28" spans="1:45" s="260" customFormat="1" ht="26.45" customHeight="1">
      <c r="A28" s="273" t="s">
        <v>725</v>
      </c>
      <c r="B28" s="274" t="s">
        <v>916</v>
      </c>
      <c r="C28" s="275" t="s">
        <v>481</v>
      </c>
      <c r="D28" s="276"/>
      <c r="E28" s="277" t="e">
        <f>E8*0.5</f>
        <v>#VALUE!</v>
      </c>
      <c r="F28" s="278">
        <f t="shared" ref="F28:K28" si="4">F8*0.5</f>
        <v>0</v>
      </c>
      <c r="G28" s="278">
        <f t="shared" si="4"/>
        <v>0</v>
      </c>
      <c r="H28" s="277">
        <f t="shared" si="4"/>
        <v>416.69463141025636</v>
      </c>
      <c r="I28" s="277">
        <f t="shared" si="4"/>
        <v>9355.5</v>
      </c>
      <c r="J28" s="277">
        <f t="shared" si="4"/>
        <v>891.2</v>
      </c>
      <c r="K28" s="277">
        <f t="shared" si="4"/>
        <v>1578.864</v>
      </c>
      <c r="L28" s="277" t="e">
        <f>SUM(E28:K28)</f>
        <v>#VALUE!</v>
      </c>
      <c r="M28" s="277" t="e">
        <f>L28*'He so chung'!$D$17/100</f>
        <v>#VALUE!</v>
      </c>
      <c r="N28" s="277" t="e">
        <f>M28+L28</f>
        <v>#VALUE!</v>
      </c>
      <c r="O28" s="277">
        <f>O16*0.5</f>
        <v>153.70192307692309</v>
      </c>
    </row>
    <row r="29" spans="1:45" s="260" customFormat="1" ht="26.45" customHeight="1">
      <c r="A29" s="273" t="s">
        <v>726</v>
      </c>
      <c r="B29" s="274" t="s">
        <v>917</v>
      </c>
      <c r="C29" s="275" t="s">
        <v>481</v>
      </c>
      <c r="D29" s="276"/>
      <c r="E29" s="277" t="e">
        <f>E9*0.5</f>
        <v>#VALUE!</v>
      </c>
      <c r="F29" s="278">
        <f t="shared" ref="F29:K29" si="5">F9*0.5</f>
        <v>0</v>
      </c>
      <c r="G29" s="278">
        <f t="shared" si="5"/>
        <v>0</v>
      </c>
      <c r="H29" s="277">
        <f t="shared" si="5"/>
        <v>416.69463141025636</v>
      </c>
      <c r="I29" s="277">
        <f t="shared" si="5"/>
        <v>9355.5</v>
      </c>
      <c r="J29" s="277">
        <f t="shared" si="5"/>
        <v>891.2</v>
      </c>
      <c r="K29" s="277">
        <f t="shared" si="5"/>
        <v>1578.864</v>
      </c>
      <c r="L29" s="277" t="e">
        <f>SUM(E29:K29)</f>
        <v>#VALUE!</v>
      </c>
      <c r="M29" s="277" t="e">
        <f>L29*'He so chung'!$D$17/100</f>
        <v>#VALUE!</v>
      </c>
      <c r="N29" s="277" t="e">
        <f>M29+L29</f>
        <v>#VALUE!</v>
      </c>
      <c r="O29" s="277">
        <f>O17*0.5</f>
        <v>307.40384615384619</v>
      </c>
    </row>
    <row r="30" spans="1:45" ht="23.45" customHeight="1">
      <c r="A30" s="98"/>
      <c r="B30" s="22"/>
      <c r="C30" s="23"/>
      <c r="D30" s="98"/>
      <c r="E30" s="111"/>
      <c r="F30" s="264"/>
      <c r="G30" s="207"/>
      <c r="H30" s="111"/>
      <c r="I30" s="111"/>
      <c r="J30" s="110"/>
      <c r="K30" s="110"/>
      <c r="L30" s="110"/>
      <c r="M30" s="110"/>
      <c r="N30" s="110"/>
      <c r="O30" s="25"/>
      <c r="P30" s="102"/>
      <c r="Q30" s="102"/>
    </row>
    <row r="31" spans="1:45">
      <c r="P31" s="102"/>
      <c r="Q31" s="102"/>
      <c r="R31" s="102"/>
    </row>
    <row r="32" spans="1:45">
      <c r="P32" s="102"/>
      <c r="Q32" s="102"/>
      <c r="R32" s="102"/>
    </row>
    <row r="33" spans="16:18">
      <c r="P33" s="102"/>
      <c r="Q33" s="102"/>
      <c r="R33" s="102"/>
    </row>
    <row r="34" spans="16:18">
      <c r="P34" s="102"/>
      <c r="Q34" s="102"/>
      <c r="R34" s="102"/>
    </row>
    <row r="35" spans="16:18">
      <c r="P35" s="102"/>
      <c r="Q35" s="102"/>
      <c r="R35" s="102"/>
    </row>
    <row r="36" spans="16:18">
      <c r="P36" s="102"/>
      <c r="Q36" s="102"/>
      <c r="R36" s="102"/>
    </row>
    <row r="37" spans="16:18">
      <c r="P37" s="102"/>
      <c r="Q37" s="102"/>
      <c r="R37" s="102"/>
    </row>
    <row r="38" spans="16:18">
      <c r="P38" s="102"/>
      <c r="Q38" s="102"/>
      <c r="R38" s="102"/>
    </row>
    <row r="39" spans="16:18">
      <c r="P39" s="102"/>
      <c r="Q39" s="102"/>
      <c r="R39" s="102"/>
    </row>
    <row r="40" spans="16:18">
      <c r="P40" s="102"/>
      <c r="Q40" s="102"/>
      <c r="R40" s="102"/>
    </row>
    <row r="41" spans="16:18">
      <c r="P41" s="102"/>
      <c r="Q41" s="102"/>
      <c r="R41" s="102"/>
    </row>
    <row r="42" spans="16:18">
      <c r="P42" s="102"/>
      <c r="Q42" s="102"/>
      <c r="R42" s="102"/>
    </row>
    <row r="43" spans="16:18">
      <c r="P43" s="102"/>
      <c r="Q43" s="102"/>
      <c r="R43" s="102"/>
    </row>
    <row r="44" spans="16:18">
      <c r="P44" s="102"/>
      <c r="Q44" s="102"/>
      <c r="R44" s="102"/>
    </row>
    <row r="45" spans="16:18">
      <c r="P45" s="102"/>
      <c r="Q45" s="102"/>
      <c r="R45" s="102"/>
    </row>
    <row r="46" spans="16:18">
      <c r="P46" s="102"/>
      <c r="Q46" s="102"/>
      <c r="R46" s="102"/>
    </row>
    <row r="47" spans="16:18">
      <c r="P47" s="102"/>
      <c r="Q47" s="102"/>
      <c r="R47" s="102"/>
    </row>
    <row r="48" spans="16:18">
      <c r="P48" s="102"/>
      <c r="Q48" s="102"/>
      <c r="R48" s="102"/>
    </row>
    <row r="49" spans="16:18">
      <c r="P49" s="102"/>
      <c r="Q49" s="102"/>
      <c r="R49" s="102"/>
    </row>
    <row r="50" spans="16:18">
      <c r="P50" s="102"/>
      <c r="Q50" s="102"/>
      <c r="R50" s="102"/>
    </row>
    <row r="51" spans="16:18">
      <c r="P51" s="102"/>
      <c r="Q51" s="102"/>
      <c r="R51" s="102"/>
    </row>
    <row r="52" spans="16:18">
      <c r="P52" s="102"/>
      <c r="Q52" s="102"/>
      <c r="R52" s="102"/>
    </row>
    <row r="53" spans="16:18">
      <c r="P53" s="102"/>
      <c r="Q53" s="102"/>
      <c r="R53" s="102"/>
    </row>
  </sheetData>
  <mergeCells count="10">
    <mergeCell ref="N5:N6"/>
    <mergeCell ref="O5:O6"/>
    <mergeCell ref="A1:O1"/>
    <mergeCell ref="A5:A6"/>
    <mergeCell ref="B5:B6"/>
    <mergeCell ref="C5:C6"/>
    <mergeCell ref="D5:D6"/>
    <mergeCell ref="E5:L5"/>
    <mergeCell ref="M5:M6"/>
    <mergeCell ref="A2:O2"/>
  </mergeCells>
  <phoneticPr fontId="5" type="noConversion"/>
  <printOptions horizontalCentered="1"/>
  <pageMargins left="0.65055118110236199" right="0.65055118110236199" top="0.78740157480314998" bottom="0.78740157480314998" header="0.31496062992126" footer="0.39370078740157499"/>
  <pageSetup paperSize="9" scale="80" firstPageNumber="187" orientation="landscape"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B1079"/>
  <sheetViews>
    <sheetView showZeros="0" topLeftCell="A49" zoomScale="85" zoomScaleNormal="85" workbookViewId="0">
      <selection activeCell="F9" sqref="F9"/>
    </sheetView>
  </sheetViews>
  <sheetFormatPr defaultRowHeight="16.5"/>
  <cols>
    <col min="1" max="1" width="5.88671875" style="455" customWidth="1"/>
    <col min="2" max="2" width="53.77734375" style="456" customWidth="1"/>
    <col min="3" max="3" width="10.21875" style="416" customWidth="1"/>
    <col min="4" max="4" width="14.77734375" style="416" customWidth="1"/>
    <col min="5" max="5" width="8.77734375" style="457" customWidth="1"/>
    <col min="6" max="6" width="10.44140625" style="458" customWidth="1"/>
    <col min="7" max="7" width="8.6640625" style="457" customWidth="1"/>
    <col min="8" max="8" width="11.6640625" style="459" customWidth="1"/>
    <col min="9" max="28" width="8.88671875" style="409"/>
    <col min="29" max="16384" width="8.88671875" style="484"/>
  </cols>
  <sheetData>
    <row r="1" spans="1:28" ht="40.15" customHeight="1">
      <c r="A1" s="1186" t="s">
        <v>233</v>
      </c>
      <c r="B1" s="1187"/>
      <c r="C1" s="1187"/>
      <c r="D1" s="1187"/>
      <c r="E1" s="1187"/>
      <c r="F1" s="1187"/>
      <c r="G1" s="1187"/>
      <c r="H1" s="1187"/>
    </row>
    <row r="2" spans="1:28" ht="8.25" customHeight="1">
      <c r="A2" s="410"/>
      <c r="B2" s="411"/>
      <c r="C2" s="412"/>
      <c r="D2" s="412"/>
      <c r="E2" s="410"/>
      <c r="F2" s="413"/>
      <c r="G2" s="410"/>
      <c r="H2" s="410"/>
    </row>
    <row r="3" spans="1:28" ht="33" customHeight="1">
      <c r="A3" s="1151" t="s">
        <v>665</v>
      </c>
      <c r="B3" s="1151"/>
      <c r="C3" s="1151"/>
      <c r="D3" s="1151"/>
      <c r="E3" s="1151"/>
      <c r="F3" s="1151"/>
      <c r="G3" s="1151"/>
      <c r="H3" s="1151"/>
    </row>
    <row r="4" spans="1:28" s="421" customFormat="1" ht="21" customHeight="1">
      <c r="A4" s="414"/>
      <c r="B4" s="415"/>
      <c r="C4" s="416"/>
      <c r="D4" s="416"/>
      <c r="E4" s="417"/>
      <c r="F4" s="418"/>
      <c r="G4" s="417"/>
      <c r="H4" s="419"/>
      <c r="I4" s="420"/>
      <c r="J4" s="420"/>
      <c r="K4" s="420"/>
      <c r="L4" s="420"/>
      <c r="M4" s="420"/>
      <c r="N4" s="420"/>
      <c r="O4" s="420"/>
      <c r="P4" s="420"/>
      <c r="Q4" s="420"/>
      <c r="R4" s="420"/>
      <c r="S4" s="420"/>
      <c r="T4" s="420"/>
      <c r="U4" s="420"/>
      <c r="V4" s="420"/>
      <c r="W4" s="420"/>
      <c r="X4" s="420"/>
      <c r="Y4" s="420"/>
      <c r="Z4" s="420"/>
      <c r="AA4" s="420"/>
      <c r="AB4" s="420"/>
    </row>
    <row r="5" spans="1:28" s="421" customFormat="1" ht="42.75" customHeight="1">
      <c r="A5" s="422" t="s">
        <v>979</v>
      </c>
      <c r="B5" s="422" t="s">
        <v>198</v>
      </c>
      <c r="C5" s="423" t="s">
        <v>479</v>
      </c>
      <c r="D5" s="423" t="s">
        <v>478</v>
      </c>
      <c r="E5" s="423" t="s">
        <v>199</v>
      </c>
      <c r="F5" s="424" t="s">
        <v>483</v>
      </c>
      <c r="G5" s="423" t="s">
        <v>482</v>
      </c>
      <c r="H5" s="423" t="s">
        <v>200</v>
      </c>
      <c r="I5" s="420"/>
      <c r="J5" s="420"/>
      <c r="K5" s="420"/>
      <c r="L5" s="420"/>
      <c r="M5" s="420"/>
      <c r="N5" s="420"/>
      <c r="O5" s="420"/>
      <c r="P5" s="420"/>
      <c r="Q5" s="420"/>
      <c r="R5" s="420"/>
      <c r="S5" s="420"/>
      <c r="T5" s="420"/>
      <c r="U5" s="420"/>
      <c r="V5" s="420"/>
      <c r="W5" s="420"/>
      <c r="X5" s="420"/>
      <c r="Y5" s="420"/>
      <c r="Z5" s="420"/>
      <c r="AA5" s="420"/>
      <c r="AB5" s="420"/>
    </row>
    <row r="6" spans="1:28" s="421" customFormat="1" ht="42.75" customHeight="1" thickBot="1">
      <c r="A6" s="485" t="s">
        <v>1000</v>
      </c>
      <c r="B6" s="486" t="s">
        <v>1015</v>
      </c>
      <c r="C6" s="487"/>
      <c r="D6" s="487"/>
      <c r="E6" s="487"/>
      <c r="F6" s="487"/>
      <c r="G6" s="423"/>
      <c r="H6" s="423"/>
      <c r="I6" s="420"/>
      <c r="J6" s="420"/>
      <c r="K6" s="420"/>
      <c r="L6" s="420"/>
      <c r="M6" s="420"/>
      <c r="N6" s="420"/>
      <c r="O6" s="420"/>
      <c r="P6" s="420"/>
      <c r="Q6" s="420"/>
      <c r="R6" s="420"/>
      <c r="S6" s="420"/>
      <c r="T6" s="420"/>
      <c r="U6" s="420"/>
      <c r="V6" s="420"/>
      <c r="W6" s="420"/>
      <c r="X6" s="420"/>
      <c r="Y6" s="420"/>
      <c r="Z6" s="420"/>
      <c r="AA6" s="420"/>
      <c r="AB6" s="420"/>
    </row>
    <row r="7" spans="1:28" s="421" customFormat="1" ht="21.75" customHeight="1">
      <c r="A7" s="488">
        <v>1</v>
      </c>
      <c r="B7" s="489" t="s">
        <v>453</v>
      </c>
      <c r="C7" s="488"/>
      <c r="D7" s="488"/>
      <c r="E7" s="425"/>
      <c r="F7" s="426"/>
      <c r="G7" s="425"/>
      <c r="H7" s="427"/>
      <c r="I7" s="420"/>
      <c r="J7" s="420"/>
      <c r="K7" s="420"/>
      <c r="L7" s="420"/>
      <c r="M7" s="420"/>
      <c r="N7" s="420"/>
      <c r="O7" s="420"/>
      <c r="P7" s="420"/>
      <c r="Q7" s="420"/>
      <c r="R7" s="420"/>
      <c r="S7" s="420"/>
      <c r="T7" s="420"/>
      <c r="U7" s="420"/>
      <c r="V7" s="420"/>
      <c r="W7" s="420"/>
      <c r="X7" s="420"/>
      <c r="Y7" s="420"/>
      <c r="Z7" s="420"/>
      <c r="AA7" s="420"/>
      <c r="AB7" s="420"/>
    </row>
    <row r="8" spans="1:28" s="421" customFormat="1" ht="18.75" customHeight="1">
      <c r="A8" s="1179" t="s">
        <v>733</v>
      </c>
      <c r="B8" s="1188" t="s">
        <v>834</v>
      </c>
      <c r="C8" s="1179" t="s">
        <v>835</v>
      </c>
      <c r="D8" s="1179" t="s">
        <v>836</v>
      </c>
      <c r="E8" s="1167" t="s">
        <v>187</v>
      </c>
      <c r="F8" s="426" t="e">
        <f>(LUONGNGAY!K35+LUONGNGAY!K44)/2</f>
        <v>#VALUE!</v>
      </c>
      <c r="G8" s="428">
        <f>2*2</f>
        <v>4</v>
      </c>
      <c r="H8" s="429" t="e">
        <f>G8*F8</f>
        <v>#VALUE!</v>
      </c>
      <c r="I8" s="420"/>
      <c r="J8" s="420"/>
      <c r="K8" s="420"/>
      <c r="L8" s="420"/>
      <c r="M8" s="420"/>
      <c r="N8" s="420"/>
      <c r="O8" s="420"/>
      <c r="P8" s="420"/>
      <c r="Q8" s="420"/>
      <c r="R8" s="420"/>
      <c r="S8" s="420"/>
      <c r="T8" s="420"/>
      <c r="U8" s="420"/>
      <c r="V8" s="420"/>
      <c r="W8" s="420"/>
      <c r="X8" s="420"/>
      <c r="Y8" s="420"/>
      <c r="Z8" s="420"/>
      <c r="AA8" s="420"/>
      <c r="AB8" s="420"/>
    </row>
    <row r="9" spans="1:28" s="421" customFormat="1" ht="15.75" customHeight="1">
      <c r="A9" s="1179"/>
      <c r="B9" s="1188"/>
      <c r="C9" s="1179"/>
      <c r="D9" s="1179"/>
      <c r="E9" s="1168"/>
      <c r="F9" s="426">
        <f>'He so chung'!$D$11</f>
        <v>147000</v>
      </c>
      <c r="G9" s="428">
        <v>2</v>
      </c>
      <c r="H9" s="429">
        <f>G9*F9</f>
        <v>294000</v>
      </c>
      <c r="I9" s="420"/>
      <c r="J9" s="420"/>
      <c r="K9" s="420"/>
      <c r="L9" s="420"/>
      <c r="M9" s="420"/>
      <c r="N9" s="420"/>
      <c r="O9" s="420"/>
      <c r="P9" s="420"/>
      <c r="Q9" s="420"/>
      <c r="R9" s="420"/>
      <c r="S9" s="420"/>
      <c r="T9" s="420"/>
      <c r="U9" s="420"/>
      <c r="V9" s="420"/>
      <c r="W9" s="420"/>
      <c r="X9" s="420"/>
      <c r="Y9" s="420"/>
      <c r="Z9" s="420"/>
      <c r="AA9" s="420"/>
      <c r="AB9" s="420"/>
    </row>
    <row r="10" spans="1:28" s="421" customFormat="1" ht="27" customHeight="1">
      <c r="A10" s="488" t="s">
        <v>741</v>
      </c>
      <c r="B10" s="489" t="s">
        <v>837</v>
      </c>
      <c r="C10" s="488" t="s">
        <v>838</v>
      </c>
      <c r="D10" s="488" t="s">
        <v>839</v>
      </c>
      <c r="E10" s="425" t="s">
        <v>187</v>
      </c>
      <c r="F10" s="426" t="e">
        <f>(LUONGNGAY!K36+LUONGNGAY!K35+LUONGNGAY!K44)/3</f>
        <v>#VALUE!</v>
      </c>
      <c r="G10" s="428">
        <f>16*3</f>
        <v>48</v>
      </c>
      <c r="H10" s="429" t="e">
        <f>G10*F10</f>
        <v>#VALUE!</v>
      </c>
      <c r="I10" s="420"/>
      <c r="J10" s="420"/>
      <c r="K10" s="420"/>
      <c r="L10" s="420"/>
      <c r="M10" s="420"/>
      <c r="N10" s="420"/>
      <c r="O10" s="420"/>
      <c r="P10" s="420"/>
      <c r="Q10" s="420"/>
      <c r="R10" s="420"/>
      <c r="S10" s="420"/>
      <c r="T10" s="420"/>
      <c r="U10" s="420"/>
      <c r="V10" s="420"/>
      <c r="W10" s="420"/>
      <c r="X10" s="420"/>
      <c r="Y10" s="420"/>
      <c r="Z10" s="420"/>
      <c r="AA10" s="420"/>
      <c r="AB10" s="420"/>
    </row>
    <row r="11" spans="1:28" s="421" customFormat="1" ht="15.75" customHeight="1">
      <c r="A11" s="1179" t="s">
        <v>734</v>
      </c>
      <c r="B11" s="1188" t="s">
        <v>840</v>
      </c>
      <c r="C11" s="1179" t="s">
        <v>841</v>
      </c>
      <c r="D11" s="1179" t="s">
        <v>842</v>
      </c>
      <c r="E11" s="1167" t="s">
        <v>187</v>
      </c>
      <c r="F11" s="426" t="e">
        <f>LUONGNGAY!$K$36</f>
        <v>#VALUE!</v>
      </c>
      <c r="G11" s="428">
        <v>2.5</v>
      </c>
      <c r="H11" s="429" t="e">
        <f>G11*F11</f>
        <v>#VALUE!</v>
      </c>
      <c r="I11" s="420"/>
      <c r="J11" s="420"/>
      <c r="K11" s="420"/>
      <c r="L11" s="420"/>
      <c r="M11" s="420"/>
      <c r="N11" s="420"/>
      <c r="O11" s="420"/>
      <c r="P11" s="420"/>
      <c r="Q11" s="420"/>
      <c r="R11" s="420"/>
      <c r="S11" s="420"/>
      <c r="T11" s="420"/>
      <c r="U11" s="420"/>
      <c r="V11" s="420"/>
      <c r="W11" s="420"/>
      <c r="X11" s="420"/>
      <c r="Y11" s="420"/>
      <c r="Z11" s="420"/>
      <c r="AA11" s="420"/>
      <c r="AB11" s="420"/>
    </row>
    <row r="12" spans="1:28" s="421" customFormat="1" ht="15.75" customHeight="1">
      <c r="A12" s="1179"/>
      <c r="B12" s="1188"/>
      <c r="C12" s="1179"/>
      <c r="D12" s="1179"/>
      <c r="E12" s="1168"/>
      <c r="F12" s="426">
        <f>$F$9</f>
        <v>147000</v>
      </c>
      <c r="G12" s="428">
        <v>2.5</v>
      </c>
      <c r="H12" s="429">
        <f>F12*G12</f>
        <v>367500</v>
      </c>
      <c r="I12" s="420"/>
      <c r="J12" s="420"/>
      <c r="K12" s="420"/>
      <c r="L12" s="420"/>
      <c r="M12" s="420"/>
      <c r="N12" s="420"/>
      <c r="O12" s="420"/>
      <c r="P12" s="420"/>
      <c r="Q12" s="420"/>
      <c r="R12" s="420"/>
      <c r="S12" s="420"/>
      <c r="T12" s="420"/>
      <c r="U12" s="420"/>
      <c r="V12" s="420"/>
      <c r="W12" s="420"/>
      <c r="X12" s="420"/>
      <c r="Y12" s="420"/>
      <c r="Z12" s="420"/>
      <c r="AA12" s="420"/>
      <c r="AB12" s="420"/>
    </row>
    <row r="13" spans="1:28" s="421" customFormat="1" ht="16.5" customHeight="1">
      <c r="A13" s="488" t="s">
        <v>843</v>
      </c>
      <c r="B13" s="489" t="s">
        <v>844</v>
      </c>
      <c r="C13" s="488"/>
      <c r="D13" s="488"/>
      <c r="E13" s="425"/>
      <c r="F13" s="426"/>
      <c r="G13" s="428"/>
      <c r="H13" s="429"/>
      <c r="I13" s="420"/>
      <c r="J13" s="420"/>
      <c r="K13" s="420"/>
      <c r="L13" s="420"/>
      <c r="M13" s="420"/>
      <c r="N13" s="420"/>
      <c r="O13" s="420"/>
      <c r="P13" s="420"/>
      <c r="Q13" s="420"/>
      <c r="R13" s="420"/>
      <c r="S13" s="420"/>
      <c r="T13" s="420"/>
      <c r="U13" s="420"/>
      <c r="V13" s="420"/>
      <c r="W13" s="420"/>
      <c r="X13" s="420"/>
      <c r="Y13" s="420"/>
      <c r="Z13" s="420"/>
      <c r="AA13" s="420"/>
      <c r="AB13" s="420"/>
    </row>
    <row r="14" spans="1:28" s="421" customFormat="1" ht="30" customHeight="1">
      <c r="A14" s="488" t="s">
        <v>845</v>
      </c>
      <c r="B14" s="489" t="s">
        <v>846</v>
      </c>
      <c r="C14" s="488" t="s">
        <v>261</v>
      </c>
      <c r="D14" s="488" t="s">
        <v>847</v>
      </c>
      <c r="E14" s="425" t="s">
        <v>187</v>
      </c>
      <c r="F14" s="426" t="e">
        <f>LUONGNGAY!$K$35</f>
        <v>#VALUE!</v>
      </c>
      <c r="G14" s="428">
        <v>0.1</v>
      </c>
      <c r="H14" s="429" t="e">
        <f>F14*G14</f>
        <v>#VALUE!</v>
      </c>
      <c r="I14" s="420"/>
      <c r="J14" s="420"/>
      <c r="K14" s="420"/>
      <c r="L14" s="420"/>
      <c r="M14" s="420"/>
      <c r="N14" s="420"/>
      <c r="O14" s="420"/>
      <c r="P14" s="420"/>
      <c r="Q14" s="420"/>
      <c r="R14" s="420"/>
      <c r="S14" s="420"/>
      <c r="T14" s="420"/>
      <c r="U14" s="420"/>
      <c r="V14" s="420"/>
      <c r="W14" s="420"/>
      <c r="X14" s="420"/>
      <c r="Y14" s="420"/>
      <c r="Z14" s="420"/>
      <c r="AA14" s="420"/>
      <c r="AB14" s="420"/>
    </row>
    <row r="15" spans="1:28" s="421" customFormat="1" ht="32.25" customHeight="1">
      <c r="A15" s="488" t="s">
        <v>848</v>
      </c>
      <c r="B15" s="489" t="s">
        <v>849</v>
      </c>
      <c r="C15" s="488" t="s">
        <v>261</v>
      </c>
      <c r="D15" s="488" t="s">
        <v>847</v>
      </c>
      <c r="E15" s="425" t="s">
        <v>187</v>
      </c>
      <c r="F15" s="426" t="e">
        <f>LUONGNGAY!$K$35</f>
        <v>#VALUE!</v>
      </c>
      <c r="G15" s="430">
        <v>0.05</v>
      </c>
      <c r="H15" s="429" t="e">
        <f>F15*G15</f>
        <v>#VALUE!</v>
      </c>
      <c r="I15" s="420"/>
      <c r="J15" s="420"/>
      <c r="K15" s="420"/>
      <c r="L15" s="420"/>
      <c r="M15" s="420"/>
      <c r="N15" s="420"/>
      <c r="O15" s="420"/>
      <c r="P15" s="420"/>
      <c r="Q15" s="420"/>
      <c r="R15" s="420"/>
      <c r="S15" s="420"/>
      <c r="T15" s="420"/>
      <c r="U15" s="420"/>
      <c r="V15" s="420"/>
      <c r="W15" s="420"/>
      <c r="X15" s="420"/>
      <c r="Y15" s="420"/>
      <c r="Z15" s="420"/>
      <c r="AA15" s="420"/>
      <c r="AB15" s="420"/>
    </row>
    <row r="16" spans="1:28" s="421" customFormat="1" ht="60" customHeight="1">
      <c r="A16" s="488">
        <v>2</v>
      </c>
      <c r="B16" s="489" t="s">
        <v>850</v>
      </c>
      <c r="C16" s="488" t="s">
        <v>261</v>
      </c>
      <c r="D16" s="488" t="s">
        <v>847</v>
      </c>
      <c r="E16" s="425" t="s">
        <v>187</v>
      </c>
      <c r="F16" s="426" t="e">
        <f>LUONGNGAY!$K$35</f>
        <v>#VALUE!</v>
      </c>
      <c r="G16" s="431">
        <v>0.1</v>
      </c>
      <c r="H16" s="429" t="e">
        <f>F16*G16</f>
        <v>#VALUE!</v>
      </c>
      <c r="I16" s="420"/>
      <c r="J16" s="420"/>
      <c r="K16" s="420"/>
      <c r="L16" s="420"/>
      <c r="M16" s="420"/>
      <c r="N16" s="420"/>
      <c r="O16" s="420"/>
      <c r="P16" s="420"/>
      <c r="Q16" s="420"/>
      <c r="R16" s="420"/>
      <c r="S16" s="420"/>
      <c r="T16" s="420"/>
      <c r="U16" s="420"/>
      <c r="V16" s="420"/>
      <c r="W16" s="420"/>
      <c r="X16" s="420"/>
      <c r="Y16" s="420"/>
      <c r="Z16" s="420"/>
      <c r="AA16" s="420"/>
      <c r="AB16" s="420"/>
    </row>
    <row r="17" spans="1:28" s="421" customFormat="1" ht="47.25" customHeight="1">
      <c r="A17" s="488">
        <v>3</v>
      </c>
      <c r="B17" s="489" t="s">
        <v>851</v>
      </c>
      <c r="C17" s="488" t="s">
        <v>481</v>
      </c>
      <c r="D17" s="488" t="s">
        <v>842</v>
      </c>
      <c r="E17" s="425" t="s">
        <v>187</v>
      </c>
      <c r="F17" s="426" t="e">
        <f>LUONGNGAY!$K$36</f>
        <v>#VALUE!</v>
      </c>
      <c r="G17" s="432">
        <v>0.107</v>
      </c>
      <c r="H17" s="429" t="e">
        <f>F17*G17</f>
        <v>#VALUE!</v>
      </c>
      <c r="I17" s="420"/>
      <c r="J17" s="420"/>
      <c r="K17" s="420"/>
      <c r="L17" s="420"/>
      <c r="M17" s="420"/>
      <c r="N17" s="420"/>
      <c r="O17" s="420"/>
      <c r="P17" s="420"/>
      <c r="Q17" s="420"/>
      <c r="R17" s="420"/>
      <c r="S17" s="420"/>
      <c r="T17" s="420"/>
      <c r="U17" s="420"/>
      <c r="V17" s="420"/>
      <c r="W17" s="420"/>
      <c r="X17" s="420"/>
      <c r="Y17" s="420"/>
      <c r="Z17" s="420"/>
      <c r="AA17" s="420"/>
      <c r="AB17" s="420"/>
    </row>
    <row r="18" spans="1:28" s="421" customFormat="1" ht="16.5" customHeight="1">
      <c r="A18" s="1180">
        <v>4</v>
      </c>
      <c r="B18" s="1183" t="s">
        <v>852</v>
      </c>
      <c r="C18" s="1179" t="s">
        <v>261</v>
      </c>
      <c r="D18" s="1179" t="s">
        <v>836</v>
      </c>
      <c r="E18" s="1167">
        <v>1</v>
      </c>
      <c r="F18" s="426" t="e">
        <f>(LUONGNGAY!K35+LUONGNGAY!K44)/2</f>
        <v>#VALUE!</v>
      </c>
      <c r="G18" s="432">
        <f>0.206*2</f>
        <v>0.41199999999999998</v>
      </c>
      <c r="H18" s="429" t="e">
        <f>F18*G18</f>
        <v>#VALUE!</v>
      </c>
      <c r="I18" s="420"/>
      <c r="J18" s="420"/>
      <c r="K18" s="420"/>
      <c r="L18" s="420"/>
      <c r="M18" s="420"/>
      <c r="N18" s="420"/>
      <c r="O18" s="420"/>
      <c r="P18" s="420"/>
      <c r="Q18" s="420"/>
      <c r="R18" s="420"/>
      <c r="S18" s="420"/>
      <c r="T18" s="420"/>
      <c r="U18" s="420"/>
      <c r="V18" s="420"/>
      <c r="W18" s="420"/>
      <c r="X18" s="420"/>
      <c r="Y18" s="420"/>
      <c r="Z18" s="420"/>
      <c r="AA18" s="420"/>
      <c r="AB18" s="420"/>
    </row>
    <row r="19" spans="1:28" s="421" customFormat="1" ht="17.25" customHeight="1">
      <c r="A19" s="1181"/>
      <c r="B19" s="1184"/>
      <c r="C19" s="1179"/>
      <c r="D19" s="1179"/>
      <c r="E19" s="1168"/>
      <c r="F19" s="426">
        <f>$F$9</f>
        <v>147000</v>
      </c>
      <c r="G19" s="432">
        <v>0.122</v>
      </c>
      <c r="H19" s="429">
        <f t="shared" ref="H19:H73" si="0">F19*G19</f>
        <v>17934</v>
      </c>
      <c r="I19" s="420"/>
      <c r="J19" s="420"/>
      <c r="K19" s="420"/>
      <c r="L19" s="420"/>
      <c r="M19" s="420"/>
      <c r="N19" s="420"/>
      <c r="O19" s="420"/>
      <c r="P19" s="420"/>
      <c r="Q19" s="420"/>
      <c r="R19" s="420"/>
      <c r="S19" s="420"/>
      <c r="T19" s="420"/>
      <c r="U19" s="420"/>
      <c r="V19" s="420"/>
      <c r="W19" s="420"/>
      <c r="X19" s="420"/>
      <c r="Y19" s="420"/>
      <c r="Z19" s="420"/>
      <c r="AA19" s="420"/>
      <c r="AB19" s="420"/>
    </row>
    <row r="20" spans="1:28" s="421" customFormat="1" ht="16.5" customHeight="1">
      <c r="A20" s="1181"/>
      <c r="B20" s="1184"/>
      <c r="C20" s="1179"/>
      <c r="D20" s="1179"/>
      <c r="E20" s="1167">
        <v>2</v>
      </c>
      <c r="F20" s="426" t="e">
        <f>$F$18</f>
        <v>#VALUE!</v>
      </c>
      <c r="G20" s="432">
        <f>0.237*2</f>
        <v>0.47399999999999998</v>
      </c>
      <c r="H20" s="429" t="e">
        <f t="shared" si="0"/>
        <v>#VALUE!</v>
      </c>
      <c r="I20" s="420"/>
      <c r="J20" s="420"/>
      <c r="K20" s="420"/>
      <c r="L20" s="420"/>
      <c r="M20" s="420"/>
      <c r="N20" s="420"/>
      <c r="O20" s="420"/>
      <c r="P20" s="420"/>
      <c r="Q20" s="420"/>
      <c r="R20" s="420"/>
      <c r="S20" s="420"/>
      <c r="T20" s="420"/>
      <c r="U20" s="420"/>
      <c r="V20" s="420"/>
      <c r="W20" s="420"/>
      <c r="X20" s="420"/>
      <c r="Y20" s="420"/>
      <c r="Z20" s="420"/>
      <c r="AA20" s="420"/>
      <c r="AB20" s="420"/>
    </row>
    <row r="21" spans="1:28" s="421" customFormat="1" ht="16.5" customHeight="1">
      <c r="A21" s="1181"/>
      <c r="B21" s="1184"/>
      <c r="C21" s="1179"/>
      <c r="D21" s="1179"/>
      <c r="E21" s="1168"/>
      <c r="F21" s="426">
        <f>$F$9</f>
        <v>147000</v>
      </c>
      <c r="G21" s="432">
        <v>0.14000000000000001</v>
      </c>
      <c r="H21" s="429">
        <f t="shared" si="0"/>
        <v>20580.000000000004</v>
      </c>
      <c r="I21" s="420"/>
      <c r="J21" s="420"/>
      <c r="K21" s="420"/>
      <c r="L21" s="420"/>
      <c r="M21" s="420"/>
      <c r="N21" s="420"/>
      <c r="O21" s="420"/>
      <c r="P21" s="420"/>
      <c r="Q21" s="420"/>
      <c r="R21" s="420"/>
      <c r="S21" s="420"/>
      <c r="T21" s="420"/>
      <c r="U21" s="420"/>
      <c r="V21" s="420"/>
      <c r="W21" s="420"/>
      <c r="X21" s="420"/>
      <c r="Y21" s="420"/>
      <c r="Z21" s="420"/>
      <c r="AA21" s="420"/>
      <c r="AB21" s="420"/>
    </row>
    <row r="22" spans="1:28" s="421" customFormat="1" ht="16.5" customHeight="1">
      <c r="A22" s="1181"/>
      <c r="B22" s="1184"/>
      <c r="C22" s="1179"/>
      <c r="D22" s="1179"/>
      <c r="E22" s="1167">
        <v>3</v>
      </c>
      <c r="F22" s="426" t="e">
        <f>$F$18</f>
        <v>#VALUE!</v>
      </c>
      <c r="G22" s="432">
        <f>0.273*2</f>
        <v>0.54600000000000004</v>
      </c>
      <c r="H22" s="429" t="e">
        <f t="shared" si="0"/>
        <v>#VALUE!</v>
      </c>
      <c r="I22" s="420"/>
      <c r="J22" s="420"/>
      <c r="K22" s="420"/>
      <c r="L22" s="420"/>
      <c r="M22" s="420"/>
      <c r="N22" s="420"/>
      <c r="O22" s="420"/>
      <c r="P22" s="420"/>
      <c r="Q22" s="420"/>
      <c r="R22" s="420"/>
      <c r="S22" s="420"/>
      <c r="T22" s="420"/>
      <c r="U22" s="420"/>
      <c r="V22" s="420"/>
      <c r="W22" s="420"/>
      <c r="X22" s="420"/>
      <c r="Y22" s="420"/>
      <c r="Z22" s="420"/>
      <c r="AA22" s="420"/>
      <c r="AB22" s="420"/>
    </row>
    <row r="23" spans="1:28" s="421" customFormat="1" ht="16.5" customHeight="1">
      <c r="A23" s="1182"/>
      <c r="B23" s="1185"/>
      <c r="C23" s="1179"/>
      <c r="D23" s="1179"/>
      <c r="E23" s="1168"/>
      <c r="F23" s="426">
        <f>$F$9</f>
        <v>147000</v>
      </c>
      <c r="G23" s="432">
        <v>0.161</v>
      </c>
      <c r="H23" s="429">
        <f t="shared" si="0"/>
        <v>23667</v>
      </c>
      <c r="I23" s="420"/>
      <c r="J23" s="420"/>
      <c r="K23" s="420"/>
      <c r="L23" s="420"/>
      <c r="M23" s="420"/>
      <c r="N23" s="420"/>
      <c r="O23" s="420"/>
      <c r="P23" s="420"/>
      <c r="Q23" s="420"/>
      <c r="R23" s="420"/>
      <c r="S23" s="420"/>
      <c r="T23" s="420"/>
      <c r="U23" s="420"/>
      <c r="V23" s="420"/>
      <c r="W23" s="420"/>
      <c r="X23" s="420"/>
      <c r="Y23" s="420"/>
      <c r="Z23" s="420"/>
      <c r="AA23" s="420"/>
      <c r="AB23" s="420"/>
    </row>
    <row r="24" spans="1:28" s="421" customFormat="1" ht="16.5" customHeight="1">
      <c r="A24" s="488">
        <v>5</v>
      </c>
      <c r="B24" s="489" t="s">
        <v>579</v>
      </c>
      <c r="C24" s="488"/>
      <c r="D24" s="488"/>
      <c r="E24" s="425"/>
      <c r="F24" s="426"/>
      <c r="G24" s="433"/>
      <c r="H24" s="429"/>
      <c r="I24" s="420"/>
      <c r="J24" s="420"/>
      <c r="K24" s="420"/>
      <c r="L24" s="420"/>
      <c r="M24" s="420"/>
      <c r="N24" s="420"/>
      <c r="O24" s="420"/>
      <c r="P24" s="420"/>
      <c r="Q24" s="420"/>
      <c r="R24" s="420"/>
      <c r="S24" s="420"/>
      <c r="T24" s="420"/>
      <c r="U24" s="420"/>
      <c r="V24" s="420"/>
      <c r="W24" s="420"/>
      <c r="X24" s="420"/>
      <c r="Y24" s="420"/>
      <c r="Z24" s="420"/>
      <c r="AA24" s="420"/>
      <c r="AB24" s="420"/>
    </row>
    <row r="25" spans="1:28" s="421" customFormat="1" ht="16.5" customHeight="1">
      <c r="A25" s="488" t="s">
        <v>461</v>
      </c>
      <c r="B25" s="489" t="s">
        <v>846</v>
      </c>
      <c r="C25" s="488" t="s">
        <v>261</v>
      </c>
      <c r="D25" s="488" t="s">
        <v>842</v>
      </c>
      <c r="E25" s="425" t="s">
        <v>187</v>
      </c>
      <c r="F25" s="426" t="e">
        <f>LUONGNGAY!$K$36</f>
        <v>#VALUE!</v>
      </c>
      <c r="G25" s="432">
        <v>0.05</v>
      </c>
      <c r="H25" s="429" t="e">
        <f t="shared" si="0"/>
        <v>#VALUE!</v>
      </c>
      <c r="I25" s="420"/>
      <c r="J25" s="420"/>
      <c r="K25" s="420"/>
      <c r="L25" s="420"/>
      <c r="M25" s="420"/>
      <c r="N25" s="420"/>
      <c r="O25" s="420"/>
      <c r="P25" s="420"/>
      <c r="Q25" s="420"/>
      <c r="R25" s="420"/>
      <c r="S25" s="420"/>
      <c r="T25" s="420"/>
      <c r="U25" s="420"/>
      <c r="V25" s="420"/>
      <c r="W25" s="420"/>
      <c r="X25" s="420"/>
      <c r="Y25" s="420"/>
      <c r="Z25" s="420"/>
      <c r="AA25" s="420"/>
      <c r="AB25" s="420"/>
    </row>
    <row r="26" spans="1:28" s="421" customFormat="1" ht="16.5" customHeight="1">
      <c r="A26" s="488" t="s">
        <v>462</v>
      </c>
      <c r="B26" s="489" t="s">
        <v>849</v>
      </c>
      <c r="C26" s="488" t="s">
        <v>261</v>
      </c>
      <c r="D26" s="488" t="s">
        <v>842</v>
      </c>
      <c r="E26" s="425" t="s">
        <v>187</v>
      </c>
      <c r="F26" s="426" t="e">
        <f>LUONGNGAY!$K$36</f>
        <v>#VALUE!</v>
      </c>
      <c r="G26" s="432">
        <v>0.04</v>
      </c>
      <c r="H26" s="429" t="e">
        <f t="shared" si="0"/>
        <v>#VALUE!</v>
      </c>
      <c r="I26" s="420"/>
      <c r="J26" s="420"/>
      <c r="K26" s="420"/>
      <c r="L26" s="420"/>
      <c r="M26" s="420"/>
      <c r="N26" s="420"/>
      <c r="O26" s="420"/>
      <c r="P26" s="420"/>
      <c r="Q26" s="420"/>
      <c r="R26" s="420"/>
      <c r="S26" s="420"/>
      <c r="T26" s="420"/>
      <c r="U26" s="420"/>
      <c r="V26" s="420"/>
      <c r="W26" s="420"/>
      <c r="X26" s="420"/>
      <c r="Y26" s="420"/>
      <c r="Z26" s="420"/>
      <c r="AA26" s="420"/>
      <c r="AB26" s="420"/>
    </row>
    <row r="27" spans="1:28" s="421" customFormat="1" ht="16.5" customHeight="1">
      <c r="A27" s="488">
        <v>6</v>
      </c>
      <c r="B27" s="489" t="s">
        <v>580</v>
      </c>
      <c r="C27" s="488" t="s">
        <v>481</v>
      </c>
      <c r="D27" s="488" t="s">
        <v>842</v>
      </c>
      <c r="E27" s="425" t="s">
        <v>187</v>
      </c>
      <c r="F27" s="426" t="e">
        <f>LUONGNGAY!$K$36</f>
        <v>#VALUE!</v>
      </c>
      <c r="G27" s="432">
        <v>3.0000000000000001E-3</v>
      </c>
      <c r="H27" s="429" t="e">
        <f t="shared" si="0"/>
        <v>#VALUE!</v>
      </c>
      <c r="I27" s="420"/>
      <c r="J27" s="420"/>
      <c r="K27" s="420"/>
      <c r="L27" s="420"/>
      <c r="M27" s="420"/>
      <c r="N27" s="420"/>
      <c r="O27" s="420"/>
      <c r="P27" s="420"/>
      <c r="Q27" s="420"/>
      <c r="R27" s="420"/>
      <c r="S27" s="420"/>
      <c r="T27" s="420"/>
      <c r="U27" s="420"/>
      <c r="V27" s="420"/>
      <c r="W27" s="420"/>
      <c r="X27" s="420"/>
      <c r="Y27" s="420"/>
      <c r="Z27" s="420"/>
      <c r="AA27" s="420"/>
      <c r="AB27" s="420"/>
    </row>
    <row r="28" spans="1:28" s="421" customFormat="1" ht="16.5" customHeight="1">
      <c r="A28" s="488">
        <v>7</v>
      </c>
      <c r="B28" s="489" t="s">
        <v>148</v>
      </c>
      <c r="C28" s="488" t="s">
        <v>261</v>
      </c>
      <c r="D28" s="488" t="s">
        <v>480</v>
      </c>
      <c r="E28" s="425" t="s">
        <v>187</v>
      </c>
      <c r="F28" s="426" t="e">
        <f>LUONGNGAY!K44</f>
        <v>#VALUE!</v>
      </c>
      <c r="G28" s="432">
        <v>1.2999999999999999E-2</v>
      </c>
      <c r="H28" s="429" t="e">
        <f t="shared" si="0"/>
        <v>#VALUE!</v>
      </c>
      <c r="I28" s="420"/>
      <c r="J28" s="420"/>
      <c r="K28" s="420"/>
      <c r="L28" s="420"/>
      <c r="M28" s="420"/>
      <c r="N28" s="420"/>
      <c r="O28" s="420"/>
      <c r="P28" s="420"/>
      <c r="Q28" s="420"/>
      <c r="R28" s="420"/>
      <c r="S28" s="420"/>
      <c r="T28" s="420"/>
      <c r="U28" s="420"/>
      <c r="V28" s="420"/>
      <c r="W28" s="420"/>
      <c r="X28" s="420"/>
      <c r="Y28" s="420"/>
      <c r="Z28" s="420"/>
      <c r="AA28" s="420"/>
      <c r="AB28" s="420"/>
    </row>
    <row r="29" spans="1:28" s="421" customFormat="1" ht="35.25" customHeight="1">
      <c r="A29" s="488">
        <v>8</v>
      </c>
      <c r="B29" s="489" t="s">
        <v>167</v>
      </c>
      <c r="C29" s="488"/>
      <c r="D29" s="488"/>
      <c r="E29" s="434"/>
      <c r="F29" s="426"/>
      <c r="G29" s="432"/>
      <c r="H29" s="429"/>
      <c r="I29" s="420"/>
      <c r="J29" s="420"/>
      <c r="K29" s="420"/>
      <c r="L29" s="420"/>
      <c r="M29" s="420"/>
      <c r="N29" s="420"/>
      <c r="O29" s="420"/>
      <c r="P29" s="420"/>
      <c r="Q29" s="420"/>
      <c r="R29" s="420"/>
      <c r="S29" s="420"/>
      <c r="T29" s="420"/>
      <c r="U29" s="420"/>
      <c r="V29" s="420"/>
      <c r="W29" s="420"/>
      <c r="X29" s="420"/>
      <c r="Y29" s="420"/>
      <c r="Z29" s="420"/>
      <c r="AA29" s="420"/>
      <c r="AB29" s="420"/>
    </row>
    <row r="30" spans="1:28" s="421" customFormat="1" ht="31.5" customHeight="1">
      <c r="A30" s="488" t="s">
        <v>191</v>
      </c>
      <c r="B30" s="489" t="s">
        <v>846</v>
      </c>
      <c r="C30" s="488" t="s">
        <v>261</v>
      </c>
      <c r="D30" s="488" t="s">
        <v>842</v>
      </c>
      <c r="E30" s="434" t="s">
        <v>187</v>
      </c>
      <c r="F30" s="426" t="e">
        <f>LUONGNGAY!$K$36</f>
        <v>#VALUE!</v>
      </c>
      <c r="G30" s="432">
        <v>1.4999999999999999E-2</v>
      </c>
      <c r="H30" s="429" t="e">
        <f t="shared" si="0"/>
        <v>#VALUE!</v>
      </c>
      <c r="I30" s="420"/>
      <c r="J30" s="420"/>
      <c r="K30" s="420"/>
      <c r="L30" s="420"/>
      <c r="M30" s="420"/>
      <c r="N30" s="420"/>
      <c r="O30" s="420"/>
      <c r="P30" s="420"/>
      <c r="Q30" s="420"/>
      <c r="R30" s="420"/>
      <c r="S30" s="420"/>
      <c r="T30" s="420"/>
      <c r="U30" s="420"/>
      <c r="V30" s="420"/>
      <c r="W30" s="420"/>
      <c r="X30" s="420"/>
      <c r="Y30" s="420"/>
      <c r="Z30" s="420"/>
      <c r="AA30" s="420"/>
      <c r="AB30" s="420"/>
    </row>
    <row r="31" spans="1:28" s="421" customFormat="1" ht="31.5" customHeight="1">
      <c r="A31" s="488" t="s">
        <v>192</v>
      </c>
      <c r="B31" s="489" t="s">
        <v>849</v>
      </c>
      <c r="C31" s="488" t="s">
        <v>261</v>
      </c>
      <c r="D31" s="488" t="s">
        <v>842</v>
      </c>
      <c r="E31" s="434" t="s">
        <v>187</v>
      </c>
      <c r="F31" s="426" t="e">
        <f>LUONGNGAY!$K$36</f>
        <v>#VALUE!</v>
      </c>
      <c r="G31" s="432">
        <v>0.01</v>
      </c>
      <c r="H31" s="429" t="e">
        <f t="shared" si="0"/>
        <v>#VALUE!</v>
      </c>
      <c r="I31" s="420"/>
      <c r="J31" s="420"/>
      <c r="K31" s="420"/>
      <c r="L31" s="420"/>
      <c r="M31" s="420"/>
      <c r="N31" s="420"/>
      <c r="O31" s="420"/>
      <c r="P31" s="420"/>
      <c r="Q31" s="420"/>
      <c r="R31" s="420"/>
      <c r="S31" s="420"/>
      <c r="T31" s="420"/>
      <c r="U31" s="420"/>
      <c r="V31" s="420"/>
      <c r="W31" s="420"/>
      <c r="X31" s="420"/>
      <c r="Y31" s="420"/>
      <c r="Z31" s="420"/>
      <c r="AA31" s="420"/>
      <c r="AB31" s="420"/>
    </row>
    <row r="32" spans="1:28" s="421" customFormat="1" ht="65.25" customHeight="1">
      <c r="A32" s="488">
        <v>9</v>
      </c>
      <c r="B32" s="489" t="s">
        <v>149</v>
      </c>
      <c r="C32" s="488" t="s">
        <v>261</v>
      </c>
      <c r="D32" s="488" t="s">
        <v>842</v>
      </c>
      <c r="E32" s="434" t="s">
        <v>187</v>
      </c>
      <c r="F32" s="426" t="e">
        <f>LUONGNGAY!$K$36</f>
        <v>#VALUE!</v>
      </c>
      <c r="G32" s="432">
        <v>0.05</v>
      </c>
      <c r="H32" s="429" t="e">
        <f t="shared" si="0"/>
        <v>#VALUE!</v>
      </c>
      <c r="I32" s="420"/>
      <c r="J32" s="420"/>
      <c r="K32" s="420"/>
      <c r="L32" s="420"/>
      <c r="M32" s="420"/>
      <c r="N32" s="420"/>
      <c r="O32" s="420"/>
      <c r="P32" s="420"/>
      <c r="Q32" s="420"/>
      <c r="R32" s="420"/>
      <c r="S32" s="420"/>
      <c r="T32" s="420"/>
      <c r="U32" s="420"/>
      <c r="V32" s="420"/>
      <c r="W32" s="420"/>
      <c r="X32" s="420"/>
      <c r="Y32" s="420"/>
      <c r="Z32" s="420"/>
      <c r="AA32" s="420"/>
      <c r="AB32" s="420"/>
    </row>
    <row r="33" spans="1:28" s="421" customFormat="1" ht="52.5" customHeight="1">
      <c r="A33" s="488">
        <v>10</v>
      </c>
      <c r="B33" s="489" t="s">
        <v>150</v>
      </c>
      <c r="C33" s="488" t="s">
        <v>261</v>
      </c>
      <c r="D33" s="488" t="s">
        <v>847</v>
      </c>
      <c r="E33" s="434" t="s">
        <v>187</v>
      </c>
      <c r="F33" s="426" t="e">
        <f>LUONGNGAY!$K$35</f>
        <v>#VALUE!</v>
      </c>
      <c r="G33" s="432">
        <v>0.02</v>
      </c>
      <c r="H33" s="429" t="e">
        <f t="shared" si="0"/>
        <v>#VALUE!</v>
      </c>
      <c r="I33" s="420"/>
      <c r="J33" s="420"/>
      <c r="K33" s="420"/>
      <c r="L33" s="420"/>
      <c r="M33" s="420"/>
      <c r="N33" s="420"/>
      <c r="O33" s="420"/>
      <c r="P33" s="420"/>
      <c r="Q33" s="420"/>
      <c r="R33" s="420"/>
      <c r="S33" s="420"/>
      <c r="T33" s="420"/>
      <c r="U33" s="420"/>
      <c r="V33" s="420"/>
      <c r="W33" s="420"/>
      <c r="X33" s="420"/>
      <c r="Y33" s="420"/>
      <c r="Z33" s="420"/>
      <c r="AA33" s="420"/>
      <c r="AB33" s="420"/>
    </row>
    <row r="34" spans="1:28" s="421" customFormat="1" ht="64.5" customHeight="1">
      <c r="A34" s="488">
        <v>11</v>
      </c>
      <c r="B34" s="489" t="s">
        <v>581</v>
      </c>
      <c r="C34" s="488" t="s">
        <v>261</v>
      </c>
      <c r="D34" s="488" t="s">
        <v>847</v>
      </c>
      <c r="E34" s="434" t="s">
        <v>187</v>
      </c>
      <c r="F34" s="426" t="e">
        <f>LUONGNGAY!$K$35</f>
        <v>#VALUE!</v>
      </c>
      <c r="G34" s="432">
        <v>0.02</v>
      </c>
      <c r="H34" s="429" t="e">
        <f t="shared" si="0"/>
        <v>#VALUE!</v>
      </c>
      <c r="I34" s="420"/>
      <c r="J34" s="420"/>
      <c r="K34" s="420"/>
      <c r="L34" s="420"/>
      <c r="M34" s="420"/>
      <c r="N34" s="420"/>
      <c r="O34" s="420"/>
      <c r="P34" s="420"/>
      <c r="Q34" s="420"/>
      <c r="R34" s="420"/>
      <c r="S34" s="420"/>
      <c r="T34" s="420"/>
      <c r="U34" s="420"/>
      <c r="V34" s="420"/>
      <c r="W34" s="420"/>
      <c r="X34" s="420"/>
      <c r="Y34" s="420"/>
      <c r="Z34" s="420"/>
      <c r="AA34" s="420"/>
      <c r="AB34" s="420"/>
    </row>
    <row r="35" spans="1:28" s="421" customFormat="1" ht="19.5" customHeight="1">
      <c r="A35" s="490" t="s">
        <v>1005</v>
      </c>
      <c r="B35" s="491" t="s">
        <v>582</v>
      </c>
      <c r="C35" s="488"/>
      <c r="D35" s="488"/>
      <c r="E35" s="434"/>
      <c r="F35" s="426"/>
      <c r="G35" s="432"/>
      <c r="H35" s="429"/>
      <c r="I35" s="420"/>
      <c r="J35" s="420"/>
      <c r="K35" s="420"/>
      <c r="L35" s="420"/>
      <c r="M35" s="420"/>
      <c r="N35" s="420"/>
      <c r="O35" s="420"/>
      <c r="P35" s="420"/>
      <c r="Q35" s="420"/>
      <c r="R35" s="420"/>
      <c r="S35" s="420"/>
      <c r="T35" s="420"/>
      <c r="U35" s="420"/>
      <c r="V35" s="420"/>
      <c r="W35" s="420"/>
      <c r="X35" s="420"/>
      <c r="Y35" s="420"/>
      <c r="Z35" s="420"/>
      <c r="AA35" s="420"/>
      <c r="AB35" s="420"/>
    </row>
    <row r="36" spans="1:28" s="421" customFormat="1" ht="33.75" customHeight="1">
      <c r="A36" s="488">
        <v>1</v>
      </c>
      <c r="B36" s="489" t="s">
        <v>583</v>
      </c>
      <c r="C36" s="488"/>
      <c r="D36" s="488"/>
      <c r="E36" s="434"/>
      <c r="F36" s="426"/>
      <c r="G36" s="432"/>
      <c r="H36" s="429"/>
      <c r="I36" s="420"/>
      <c r="J36" s="420"/>
      <c r="K36" s="420"/>
      <c r="L36" s="420"/>
      <c r="M36" s="420"/>
      <c r="N36" s="420"/>
      <c r="O36" s="420"/>
      <c r="P36" s="420"/>
      <c r="Q36" s="420"/>
      <c r="R36" s="420"/>
      <c r="S36" s="420"/>
      <c r="T36" s="420"/>
      <c r="U36" s="420"/>
      <c r="V36" s="420"/>
      <c r="W36" s="420"/>
      <c r="X36" s="420"/>
      <c r="Y36" s="420"/>
      <c r="Z36" s="420"/>
      <c r="AA36" s="420"/>
      <c r="AB36" s="420"/>
    </row>
    <row r="37" spans="1:28" s="421" customFormat="1" ht="64.5" customHeight="1">
      <c r="A37" s="488" t="s">
        <v>733</v>
      </c>
      <c r="B37" s="489" t="s">
        <v>846</v>
      </c>
      <c r="C37" s="488" t="s">
        <v>261</v>
      </c>
      <c r="D37" s="488" t="s">
        <v>847</v>
      </c>
      <c r="E37" s="434" t="s">
        <v>187</v>
      </c>
      <c r="F37" s="426" t="e">
        <f>LUONGNGAY!$K$35</f>
        <v>#VALUE!</v>
      </c>
      <c r="G37" s="432">
        <v>0.04</v>
      </c>
      <c r="H37" s="429" t="e">
        <f t="shared" si="0"/>
        <v>#VALUE!</v>
      </c>
      <c r="I37" s="420"/>
      <c r="J37" s="420"/>
      <c r="K37" s="420"/>
      <c r="L37" s="420"/>
      <c r="M37" s="420"/>
      <c r="N37" s="420"/>
      <c r="O37" s="420"/>
      <c r="P37" s="420"/>
      <c r="Q37" s="420"/>
      <c r="R37" s="420"/>
      <c r="S37" s="420"/>
      <c r="T37" s="420"/>
      <c r="U37" s="420"/>
      <c r="V37" s="420"/>
      <c r="W37" s="420"/>
      <c r="X37" s="420"/>
      <c r="Y37" s="420"/>
      <c r="Z37" s="420"/>
      <c r="AA37" s="420"/>
      <c r="AB37" s="420"/>
    </row>
    <row r="38" spans="1:28" s="421" customFormat="1" ht="33" customHeight="1">
      <c r="A38" s="488" t="s">
        <v>741</v>
      </c>
      <c r="B38" s="489" t="s">
        <v>849</v>
      </c>
      <c r="C38" s="488" t="s">
        <v>261</v>
      </c>
      <c r="D38" s="488" t="s">
        <v>847</v>
      </c>
      <c r="E38" s="434" t="s">
        <v>187</v>
      </c>
      <c r="F38" s="426" t="e">
        <f>LUONGNGAY!$K$35</f>
        <v>#VALUE!</v>
      </c>
      <c r="G38" s="432">
        <v>2.5000000000000001E-2</v>
      </c>
      <c r="H38" s="429" t="e">
        <f t="shared" si="0"/>
        <v>#VALUE!</v>
      </c>
      <c r="I38" s="420"/>
      <c r="J38" s="420"/>
      <c r="K38" s="420"/>
      <c r="L38" s="420"/>
      <c r="M38" s="420"/>
      <c r="N38" s="420"/>
      <c r="O38" s="420"/>
      <c r="P38" s="420"/>
      <c r="Q38" s="420"/>
      <c r="R38" s="420"/>
      <c r="S38" s="420"/>
      <c r="T38" s="420"/>
      <c r="U38" s="420"/>
      <c r="V38" s="420"/>
      <c r="W38" s="420"/>
      <c r="X38" s="420"/>
      <c r="Y38" s="420"/>
      <c r="Z38" s="420"/>
      <c r="AA38" s="420"/>
      <c r="AB38" s="420"/>
    </row>
    <row r="39" spans="1:28" s="421" customFormat="1" ht="19.5" customHeight="1">
      <c r="A39" s="488">
        <v>2</v>
      </c>
      <c r="B39" s="489" t="s">
        <v>584</v>
      </c>
      <c r="C39" s="488" t="s">
        <v>261</v>
      </c>
      <c r="D39" s="488" t="s">
        <v>847</v>
      </c>
      <c r="E39" s="434"/>
      <c r="F39" s="426" t="e">
        <f>LUONGNGAY!$K$35</f>
        <v>#VALUE!</v>
      </c>
      <c r="G39" s="432">
        <v>0.02</v>
      </c>
      <c r="H39" s="429" t="e">
        <f t="shared" si="0"/>
        <v>#VALUE!</v>
      </c>
      <c r="I39" s="420"/>
      <c r="J39" s="420"/>
      <c r="K39" s="420"/>
      <c r="L39" s="420"/>
      <c r="M39" s="420"/>
      <c r="N39" s="420"/>
      <c r="O39" s="420"/>
      <c r="P39" s="420"/>
      <c r="Q39" s="420"/>
      <c r="R39" s="420"/>
      <c r="S39" s="420"/>
      <c r="T39" s="420"/>
      <c r="U39" s="420"/>
      <c r="V39" s="420"/>
      <c r="W39" s="420"/>
      <c r="X39" s="420"/>
      <c r="Y39" s="420"/>
      <c r="Z39" s="420"/>
      <c r="AA39" s="420"/>
      <c r="AB39" s="420"/>
    </row>
    <row r="40" spans="1:28" s="421" customFormat="1" ht="16.5" customHeight="1">
      <c r="A40" s="488">
        <v>3</v>
      </c>
      <c r="B40" s="489" t="s">
        <v>585</v>
      </c>
      <c r="C40" s="488" t="s">
        <v>261</v>
      </c>
      <c r="D40" s="488" t="s">
        <v>842</v>
      </c>
      <c r="E40" s="434" t="s">
        <v>187</v>
      </c>
      <c r="F40" s="426" t="e">
        <f>LUONGNGAY!$K$36</f>
        <v>#VALUE!</v>
      </c>
      <c r="G40" s="432">
        <v>0.2</v>
      </c>
      <c r="H40" s="429" t="e">
        <f t="shared" si="0"/>
        <v>#VALUE!</v>
      </c>
      <c r="I40" s="420"/>
      <c r="J40" s="420"/>
      <c r="K40" s="420"/>
      <c r="L40" s="420"/>
      <c r="M40" s="420"/>
      <c r="N40" s="420"/>
      <c r="O40" s="420"/>
      <c r="P40" s="420"/>
      <c r="Q40" s="420"/>
      <c r="R40" s="420"/>
      <c r="S40" s="420"/>
      <c r="T40" s="420"/>
      <c r="U40" s="420"/>
      <c r="V40" s="420"/>
      <c r="W40" s="420"/>
      <c r="X40" s="420"/>
      <c r="Y40" s="420"/>
      <c r="Z40" s="420"/>
      <c r="AA40" s="420"/>
      <c r="AB40" s="420"/>
    </row>
    <row r="41" spans="1:28" s="421" customFormat="1" ht="18.75" customHeight="1">
      <c r="A41" s="488">
        <v>4</v>
      </c>
      <c r="B41" s="492" t="s">
        <v>586</v>
      </c>
      <c r="C41" s="488" t="s">
        <v>481</v>
      </c>
      <c r="D41" s="488" t="s">
        <v>842</v>
      </c>
      <c r="E41" s="434" t="s">
        <v>187</v>
      </c>
      <c r="F41" s="426" t="e">
        <f>LUONGNGAY!$K$36</f>
        <v>#VALUE!</v>
      </c>
      <c r="G41" s="432">
        <v>6.0000000000000001E-3</v>
      </c>
      <c r="H41" s="429" t="e">
        <f t="shared" si="0"/>
        <v>#VALUE!</v>
      </c>
      <c r="I41" s="420"/>
      <c r="J41" s="420"/>
      <c r="K41" s="420"/>
      <c r="L41" s="420"/>
      <c r="M41" s="420"/>
      <c r="N41" s="420"/>
      <c r="O41" s="420"/>
      <c r="P41" s="420"/>
      <c r="Q41" s="420"/>
      <c r="R41" s="420"/>
      <c r="S41" s="420"/>
      <c r="T41" s="420"/>
      <c r="U41" s="420"/>
      <c r="V41" s="420"/>
      <c r="W41" s="420"/>
      <c r="X41" s="420"/>
      <c r="Y41" s="420"/>
      <c r="Z41" s="420"/>
      <c r="AA41" s="420"/>
      <c r="AB41" s="420"/>
    </row>
    <row r="42" spans="1:28" s="421" customFormat="1" ht="34.5" customHeight="1">
      <c r="A42" s="488">
        <v>5</v>
      </c>
      <c r="B42" s="489" t="s">
        <v>23</v>
      </c>
      <c r="C42" s="488"/>
      <c r="D42" s="488"/>
      <c r="E42" s="434"/>
      <c r="F42" s="426"/>
      <c r="G42" s="432"/>
      <c r="H42" s="429"/>
      <c r="I42" s="420"/>
      <c r="J42" s="420"/>
      <c r="K42" s="420"/>
      <c r="L42" s="420"/>
      <c r="M42" s="420"/>
      <c r="N42" s="420"/>
      <c r="O42" s="420"/>
      <c r="P42" s="420"/>
      <c r="Q42" s="420"/>
      <c r="R42" s="420"/>
      <c r="S42" s="420"/>
      <c r="T42" s="420"/>
      <c r="U42" s="420"/>
      <c r="V42" s="420"/>
      <c r="W42" s="420"/>
      <c r="X42" s="420"/>
      <c r="Y42" s="420"/>
      <c r="Z42" s="420"/>
      <c r="AA42" s="420"/>
      <c r="AB42" s="420"/>
    </row>
    <row r="43" spans="1:28" s="421" customFormat="1" ht="46.9" customHeight="1">
      <c r="A43" s="488" t="s">
        <v>461</v>
      </c>
      <c r="B43" s="489" t="s">
        <v>587</v>
      </c>
      <c r="C43" s="488" t="s">
        <v>481</v>
      </c>
      <c r="D43" s="488" t="s">
        <v>847</v>
      </c>
      <c r="E43" s="434" t="s">
        <v>187</v>
      </c>
      <c r="F43" s="426" t="e">
        <f>LUONGNGAY!$K$35</f>
        <v>#VALUE!</v>
      </c>
      <c r="G43" s="432">
        <v>2.5000000000000001E-2</v>
      </c>
      <c r="H43" s="429" t="e">
        <f t="shared" si="0"/>
        <v>#VALUE!</v>
      </c>
      <c r="I43" s="420"/>
      <c r="J43" s="420"/>
      <c r="K43" s="420"/>
      <c r="L43" s="420"/>
      <c r="M43" s="420"/>
      <c r="N43" s="420"/>
      <c r="O43" s="420"/>
      <c r="P43" s="420"/>
      <c r="Q43" s="420"/>
      <c r="R43" s="420"/>
      <c r="S43" s="420"/>
      <c r="T43" s="420"/>
      <c r="U43" s="420"/>
      <c r="V43" s="420"/>
      <c r="W43" s="420"/>
      <c r="X43" s="420"/>
      <c r="Y43" s="420"/>
      <c r="Z43" s="420"/>
      <c r="AA43" s="420"/>
      <c r="AB43" s="420"/>
    </row>
    <row r="44" spans="1:28" s="421" customFormat="1" ht="49.5" customHeight="1">
      <c r="A44" s="488" t="s">
        <v>462</v>
      </c>
      <c r="B44" s="489" t="s">
        <v>588</v>
      </c>
      <c r="C44" s="488" t="s">
        <v>481</v>
      </c>
      <c r="D44" s="488" t="s">
        <v>847</v>
      </c>
      <c r="E44" s="434" t="s">
        <v>187</v>
      </c>
      <c r="F44" s="426" t="e">
        <f>LUONGNGAY!$K$35</f>
        <v>#VALUE!</v>
      </c>
      <c r="G44" s="432">
        <v>0.05</v>
      </c>
      <c r="H44" s="429" t="e">
        <f t="shared" si="0"/>
        <v>#VALUE!</v>
      </c>
      <c r="I44" s="420"/>
      <c r="J44" s="420"/>
      <c r="K44" s="420"/>
      <c r="L44" s="420"/>
      <c r="M44" s="420"/>
      <c r="N44" s="420"/>
      <c r="O44" s="420"/>
      <c r="P44" s="420"/>
      <c r="Q44" s="420"/>
      <c r="R44" s="420"/>
      <c r="S44" s="420"/>
      <c r="T44" s="420"/>
      <c r="U44" s="420"/>
      <c r="V44" s="420"/>
      <c r="W44" s="420"/>
      <c r="X44" s="420"/>
      <c r="Y44" s="420"/>
      <c r="Z44" s="420"/>
      <c r="AA44" s="420"/>
      <c r="AB44" s="420"/>
    </row>
    <row r="45" spans="1:28" s="421" customFormat="1" ht="30" customHeight="1">
      <c r="A45" s="488">
        <v>6</v>
      </c>
      <c r="B45" s="489" t="s">
        <v>589</v>
      </c>
      <c r="C45" s="488"/>
      <c r="D45" s="488"/>
      <c r="E45" s="434"/>
      <c r="F45" s="426"/>
      <c r="G45" s="432"/>
      <c r="H45" s="429"/>
      <c r="I45" s="420"/>
      <c r="J45" s="420"/>
      <c r="K45" s="420"/>
      <c r="L45" s="420"/>
      <c r="M45" s="420"/>
      <c r="N45" s="420"/>
      <c r="O45" s="420"/>
      <c r="P45" s="420"/>
      <c r="Q45" s="420"/>
      <c r="R45" s="420"/>
      <c r="S45" s="420"/>
      <c r="T45" s="420"/>
      <c r="U45" s="420"/>
      <c r="V45" s="420"/>
      <c r="W45" s="420"/>
      <c r="X45" s="420"/>
      <c r="Y45" s="420"/>
      <c r="Z45" s="420"/>
      <c r="AA45" s="420"/>
      <c r="AB45" s="420"/>
    </row>
    <row r="46" spans="1:28" s="421" customFormat="1" ht="36.75" customHeight="1">
      <c r="A46" s="488" t="s">
        <v>661</v>
      </c>
      <c r="B46" s="489" t="s">
        <v>590</v>
      </c>
      <c r="C46" s="488" t="s">
        <v>261</v>
      </c>
      <c r="D46" s="488" t="s">
        <v>842</v>
      </c>
      <c r="E46" s="434" t="s">
        <v>187</v>
      </c>
      <c r="F46" s="426" t="e">
        <f>LUONGNGAY!$K$36</f>
        <v>#VALUE!</v>
      </c>
      <c r="G46" s="432">
        <v>0.03</v>
      </c>
      <c r="H46" s="429" t="e">
        <f t="shared" si="0"/>
        <v>#VALUE!</v>
      </c>
      <c r="I46" s="420"/>
      <c r="J46" s="420"/>
      <c r="K46" s="420"/>
      <c r="L46" s="420"/>
      <c r="M46" s="420"/>
      <c r="N46" s="420"/>
      <c r="O46" s="420"/>
      <c r="P46" s="420"/>
      <c r="Q46" s="420"/>
      <c r="R46" s="420"/>
      <c r="S46" s="420"/>
      <c r="T46" s="420"/>
      <c r="U46" s="420"/>
      <c r="V46" s="420"/>
      <c r="W46" s="420"/>
      <c r="X46" s="420"/>
      <c r="Y46" s="420"/>
      <c r="Z46" s="420"/>
      <c r="AA46" s="420"/>
      <c r="AB46" s="420"/>
    </row>
    <row r="47" spans="1:28" s="421" customFormat="1" ht="35.450000000000003" customHeight="1">
      <c r="A47" s="488" t="s">
        <v>662</v>
      </c>
      <c r="B47" s="489" t="s">
        <v>591</v>
      </c>
      <c r="C47" s="488" t="s">
        <v>261</v>
      </c>
      <c r="D47" s="488" t="s">
        <v>842</v>
      </c>
      <c r="E47" s="434" t="s">
        <v>187</v>
      </c>
      <c r="F47" s="426" t="e">
        <f>LUONGNGAY!$K$36</f>
        <v>#VALUE!</v>
      </c>
      <c r="G47" s="432">
        <v>0.04</v>
      </c>
      <c r="H47" s="429" t="e">
        <f t="shared" si="0"/>
        <v>#VALUE!</v>
      </c>
      <c r="I47" s="420"/>
      <c r="J47" s="420"/>
      <c r="K47" s="420"/>
      <c r="L47" s="420"/>
      <c r="M47" s="420"/>
      <c r="N47" s="420"/>
      <c r="O47" s="420"/>
      <c r="P47" s="420"/>
      <c r="Q47" s="420"/>
      <c r="R47" s="420"/>
      <c r="S47" s="420"/>
      <c r="T47" s="420"/>
      <c r="U47" s="420"/>
      <c r="V47" s="420"/>
      <c r="W47" s="420"/>
      <c r="X47" s="420"/>
      <c r="Y47" s="420"/>
      <c r="Z47" s="420"/>
      <c r="AA47" s="420"/>
      <c r="AB47" s="420"/>
    </row>
    <row r="48" spans="1:28" s="421" customFormat="1" ht="32.25" customHeight="1">
      <c r="A48" s="488">
        <v>7</v>
      </c>
      <c r="B48" s="489" t="s">
        <v>592</v>
      </c>
      <c r="C48" s="488"/>
      <c r="D48" s="488"/>
      <c r="E48" s="434"/>
      <c r="F48" s="426"/>
      <c r="G48" s="432"/>
      <c r="H48" s="429"/>
      <c r="I48" s="420"/>
      <c r="J48" s="420"/>
      <c r="K48" s="420"/>
      <c r="L48" s="420"/>
      <c r="M48" s="420"/>
      <c r="N48" s="420"/>
      <c r="O48" s="420"/>
      <c r="P48" s="420"/>
      <c r="Q48" s="420"/>
      <c r="R48" s="420"/>
      <c r="S48" s="420"/>
      <c r="T48" s="420"/>
      <c r="U48" s="420"/>
      <c r="V48" s="420"/>
      <c r="W48" s="420"/>
      <c r="X48" s="420"/>
      <c r="Y48" s="420"/>
      <c r="Z48" s="420"/>
      <c r="AA48" s="420"/>
      <c r="AB48" s="420"/>
    </row>
    <row r="49" spans="1:28" s="421" customFormat="1" ht="30.6" customHeight="1">
      <c r="A49" s="488" t="s">
        <v>714</v>
      </c>
      <c r="B49" s="489" t="s">
        <v>593</v>
      </c>
      <c r="C49" s="488" t="s">
        <v>261</v>
      </c>
      <c r="D49" s="488" t="s">
        <v>847</v>
      </c>
      <c r="E49" s="434" t="s">
        <v>187</v>
      </c>
      <c r="F49" s="426" t="e">
        <f>LUONGNGAY!$K$35</f>
        <v>#VALUE!</v>
      </c>
      <c r="G49" s="432">
        <v>0.04</v>
      </c>
      <c r="H49" s="429" t="e">
        <f t="shared" si="0"/>
        <v>#VALUE!</v>
      </c>
      <c r="I49" s="420"/>
      <c r="J49" s="420"/>
      <c r="K49" s="420"/>
      <c r="L49" s="420"/>
      <c r="M49" s="420"/>
      <c r="N49" s="420"/>
      <c r="O49" s="420"/>
      <c r="P49" s="420"/>
      <c r="Q49" s="420"/>
      <c r="R49" s="420"/>
      <c r="S49" s="420"/>
      <c r="T49" s="420"/>
      <c r="U49" s="420"/>
      <c r="V49" s="420"/>
      <c r="W49" s="420"/>
      <c r="X49" s="420"/>
      <c r="Y49" s="420"/>
      <c r="Z49" s="420"/>
      <c r="AA49" s="420"/>
      <c r="AB49" s="420"/>
    </row>
    <row r="50" spans="1:28" s="421" customFormat="1" ht="33" customHeight="1">
      <c r="A50" s="488" t="s">
        <v>715</v>
      </c>
      <c r="B50" s="489" t="s">
        <v>594</v>
      </c>
      <c r="C50" s="488" t="s">
        <v>261</v>
      </c>
      <c r="D50" s="488" t="s">
        <v>847</v>
      </c>
      <c r="E50" s="434" t="s">
        <v>187</v>
      </c>
      <c r="F50" s="426" t="e">
        <f>LUONGNGAY!$K$35</f>
        <v>#VALUE!</v>
      </c>
      <c r="G50" s="432">
        <v>0.03</v>
      </c>
      <c r="H50" s="429" t="e">
        <f t="shared" si="0"/>
        <v>#VALUE!</v>
      </c>
      <c r="I50" s="420"/>
      <c r="J50" s="420"/>
      <c r="K50" s="420"/>
      <c r="L50" s="420"/>
      <c r="M50" s="420"/>
      <c r="N50" s="420"/>
      <c r="O50" s="420"/>
      <c r="P50" s="420"/>
      <c r="Q50" s="420"/>
      <c r="R50" s="420"/>
      <c r="S50" s="420"/>
      <c r="T50" s="420"/>
      <c r="U50" s="420"/>
      <c r="V50" s="420"/>
      <c r="W50" s="420"/>
      <c r="X50" s="420"/>
      <c r="Y50" s="420"/>
      <c r="Z50" s="420"/>
      <c r="AA50" s="420"/>
      <c r="AB50" s="420"/>
    </row>
    <row r="51" spans="1:28" s="421" customFormat="1" ht="25.5" customHeight="1">
      <c r="A51" s="488">
        <v>8</v>
      </c>
      <c r="B51" s="489" t="s">
        <v>78</v>
      </c>
      <c r="C51" s="488" t="s">
        <v>481</v>
      </c>
      <c r="D51" s="488" t="s">
        <v>842</v>
      </c>
      <c r="E51" s="434" t="s">
        <v>187</v>
      </c>
      <c r="F51" s="426" t="e">
        <f>LUONGNGAY!$K$36</f>
        <v>#VALUE!</v>
      </c>
      <c r="G51" s="432">
        <v>0.03</v>
      </c>
      <c r="H51" s="429" t="e">
        <f t="shared" si="0"/>
        <v>#VALUE!</v>
      </c>
      <c r="I51" s="420"/>
      <c r="J51" s="420"/>
      <c r="K51" s="420"/>
      <c r="L51" s="420"/>
      <c r="M51" s="420"/>
      <c r="N51" s="420"/>
      <c r="O51" s="420"/>
      <c r="P51" s="420"/>
      <c r="Q51" s="420"/>
      <c r="R51" s="420"/>
      <c r="S51" s="420"/>
      <c r="T51" s="420"/>
      <c r="U51" s="420"/>
      <c r="V51" s="420"/>
      <c r="W51" s="420"/>
      <c r="X51" s="420"/>
      <c r="Y51" s="420"/>
      <c r="Z51" s="420"/>
      <c r="AA51" s="420"/>
      <c r="AB51" s="420"/>
    </row>
    <row r="52" spans="1:28" s="421" customFormat="1" ht="55.5" customHeight="1">
      <c r="A52" s="488">
        <v>9</v>
      </c>
      <c r="B52" s="489" t="s">
        <v>260</v>
      </c>
      <c r="C52" s="488" t="s">
        <v>79</v>
      </c>
      <c r="D52" s="488" t="s">
        <v>842</v>
      </c>
      <c r="E52" s="434" t="s">
        <v>187</v>
      </c>
      <c r="F52" s="426" t="e">
        <f>LUONGNGAY!$K$36</f>
        <v>#VALUE!</v>
      </c>
      <c r="G52" s="432">
        <v>0.2</v>
      </c>
      <c r="H52" s="429" t="e">
        <f t="shared" si="0"/>
        <v>#VALUE!</v>
      </c>
      <c r="I52" s="420"/>
      <c r="J52" s="420"/>
      <c r="K52" s="420"/>
      <c r="L52" s="420"/>
      <c r="M52" s="420"/>
      <c r="N52" s="420"/>
      <c r="O52" s="420"/>
      <c r="P52" s="420"/>
      <c r="Q52" s="420"/>
      <c r="R52" s="420"/>
      <c r="S52" s="420"/>
      <c r="T52" s="420"/>
      <c r="U52" s="420"/>
      <c r="V52" s="420"/>
      <c r="W52" s="420"/>
      <c r="X52" s="420"/>
      <c r="Y52" s="420"/>
      <c r="Z52" s="420"/>
      <c r="AA52" s="420"/>
      <c r="AB52" s="420"/>
    </row>
    <row r="53" spans="1:28" s="421" customFormat="1" ht="55.5" customHeight="1">
      <c r="A53" s="488">
        <v>10</v>
      </c>
      <c r="B53" s="489" t="s">
        <v>80</v>
      </c>
      <c r="C53" s="488"/>
      <c r="D53" s="488"/>
      <c r="E53" s="434"/>
      <c r="F53" s="426"/>
      <c r="G53" s="432"/>
      <c r="H53" s="429"/>
      <c r="I53" s="420"/>
      <c r="J53" s="420"/>
      <c r="K53" s="420"/>
      <c r="L53" s="420"/>
      <c r="M53" s="420"/>
      <c r="N53" s="420"/>
      <c r="O53" s="420"/>
      <c r="P53" s="420"/>
      <c r="Q53" s="420"/>
      <c r="R53" s="420"/>
      <c r="S53" s="420"/>
      <c r="T53" s="420"/>
      <c r="U53" s="420"/>
      <c r="V53" s="420"/>
      <c r="W53" s="420"/>
      <c r="X53" s="420"/>
      <c r="Y53" s="420"/>
      <c r="Z53" s="420"/>
      <c r="AA53" s="420"/>
      <c r="AB53" s="420"/>
    </row>
    <row r="54" spans="1:28" s="421" customFormat="1" ht="55.5" customHeight="1">
      <c r="A54" s="488" t="s">
        <v>81</v>
      </c>
      <c r="B54" s="489" t="s">
        <v>82</v>
      </c>
      <c r="C54" s="488" t="s">
        <v>559</v>
      </c>
      <c r="D54" s="488" t="s">
        <v>847</v>
      </c>
      <c r="E54" s="434" t="s">
        <v>187</v>
      </c>
      <c r="F54" s="426" t="e">
        <f>LUONGNGAY!$K$35</f>
        <v>#VALUE!</v>
      </c>
      <c r="G54" s="432">
        <v>0.05</v>
      </c>
      <c r="H54" s="429" t="e">
        <f t="shared" si="0"/>
        <v>#VALUE!</v>
      </c>
      <c r="I54" s="420"/>
      <c r="J54" s="420"/>
      <c r="K54" s="420"/>
      <c r="L54" s="420"/>
      <c r="M54" s="420"/>
      <c r="N54" s="420"/>
      <c r="O54" s="420"/>
      <c r="P54" s="420"/>
      <c r="Q54" s="420"/>
      <c r="R54" s="420"/>
      <c r="S54" s="420"/>
      <c r="T54" s="420"/>
      <c r="U54" s="420"/>
      <c r="V54" s="420"/>
      <c r="W54" s="420"/>
      <c r="X54" s="420"/>
      <c r="Y54" s="420"/>
      <c r="Z54" s="420"/>
      <c r="AA54" s="420"/>
      <c r="AB54" s="420"/>
    </row>
    <row r="55" spans="1:28" s="421" customFormat="1" ht="55.5" customHeight="1">
      <c r="A55" s="488" t="s">
        <v>83</v>
      </c>
      <c r="B55" s="489" t="s">
        <v>84</v>
      </c>
      <c r="C55" s="488" t="s">
        <v>559</v>
      </c>
      <c r="D55" s="488" t="s">
        <v>847</v>
      </c>
      <c r="E55" s="434" t="s">
        <v>187</v>
      </c>
      <c r="F55" s="426" t="e">
        <f>LUONGNGAY!$K$35</f>
        <v>#VALUE!</v>
      </c>
      <c r="G55" s="432">
        <v>0.1</v>
      </c>
      <c r="H55" s="429" t="e">
        <f t="shared" si="0"/>
        <v>#VALUE!</v>
      </c>
      <c r="I55" s="420"/>
      <c r="J55" s="420"/>
      <c r="K55" s="420"/>
      <c r="L55" s="420"/>
      <c r="M55" s="420"/>
      <c r="N55" s="420"/>
      <c r="O55" s="420"/>
      <c r="P55" s="420"/>
      <c r="Q55" s="420"/>
      <c r="R55" s="420"/>
      <c r="S55" s="420"/>
      <c r="T55" s="420"/>
      <c r="U55" s="420"/>
      <c r="V55" s="420"/>
      <c r="W55" s="420"/>
      <c r="X55" s="420"/>
      <c r="Y55" s="420"/>
      <c r="Z55" s="420"/>
      <c r="AA55" s="420"/>
      <c r="AB55" s="420"/>
    </row>
    <row r="56" spans="1:28" s="421" customFormat="1" ht="55.5" customHeight="1">
      <c r="A56" s="488">
        <v>11</v>
      </c>
      <c r="B56" s="489" t="s">
        <v>85</v>
      </c>
      <c r="C56" s="488" t="s">
        <v>261</v>
      </c>
      <c r="D56" s="488" t="s">
        <v>847</v>
      </c>
      <c r="E56" s="434" t="s">
        <v>187</v>
      </c>
      <c r="F56" s="426" t="e">
        <f>LUONGNGAY!$K$35</f>
        <v>#VALUE!</v>
      </c>
      <c r="G56" s="432">
        <v>0.04</v>
      </c>
      <c r="H56" s="429" t="e">
        <f t="shared" si="0"/>
        <v>#VALUE!</v>
      </c>
      <c r="I56" s="420"/>
      <c r="J56" s="420"/>
      <c r="K56" s="420"/>
      <c r="L56" s="420"/>
      <c r="M56" s="420"/>
      <c r="N56" s="420"/>
      <c r="O56" s="420"/>
      <c r="P56" s="420"/>
      <c r="Q56" s="420"/>
      <c r="R56" s="420"/>
      <c r="S56" s="420"/>
      <c r="T56" s="420"/>
      <c r="U56" s="420"/>
      <c r="V56" s="420"/>
      <c r="W56" s="420"/>
      <c r="X56" s="420"/>
      <c r="Y56" s="420"/>
      <c r="Z56" s="420"/>
      <c r="AA56" s="420"/>
      <c r="AB56" s="420"/>
    </row>
    <row r="57" spans="1:28" s="421" customFormat="1" ht="55.5" customHeight="1">
      <c r="A57" s="488">
        <v>12</v>
      </c>
      <c r="B57" s="489" t="s">
        <v>86</v>
      </c>
      <c r="C57" s="488" t="s">
        <v>261</v>
      </c>
      <c r="D57" s="488" t="s">
        <v>847</v>
      </c>
      <c r="E57" s="434" t="s">
        <v>187</v>
      </c>
      <c r="F57" s="426" t="e">
        <f>LUONGNGAY!$K$35</f>
        <v>#VALUE!</v>
      </c>
      <c r="G57" s="432">
        <v>0.02</v>
      </c>
      <c r="H57" s="429" t="e">
        <f t="shared" si="0"/>
        <v>#VALUE!</v>
      </c>
      <c r="I57" s="420"/>
      <c r="J57" s="420"/>
      <c r="K57" s="420"/>
      <c r="L57" s="420"/>
      <c r="M57" s="420"/>
      <c r="N57" s="420"/>
      <c r="O57" s="420"/>
      <c r="P57" s="420"/>
      <c r="Q57" s="420"/>
      <c r="R57" s="420"/>
      <c r="S57" s="420"/>
      <c r="T57" s="420"/>
      <c r="U57" s="420"/>
      <c r="V57" s="420"/>
      <c r="W57" s="420"/>
      <c r="X57" s="420"/>
      <c r="Y57" s="420"/>
      <c r="Z57" s="420"/>
      <c r="AA57" s="420"/>
      <c r="AB57" s="420"/>
    </row>
    <row r="58" spans="1:28" s="421" customFormat="1" ht="55.5" customHeight="1">
      <c r="A58" s="488">
        <v>13</v>
      </c>
      <c r="B58" s="489" t="s">
        <v>87</v>
      </c>
      <c r="C58" s="488" t="s">
        <v>481</v>
      </c>
      <c r="D58" s="488" t="s">
        <v>842</v>
      </c>
      <c r="E58" s="434" t="s">
        <v>187</v>
      </c>
      <c r="F58" s="426" t="e">
        <f>LUONGNGAY!$K$36</f>
        <v>#VALUE!</v>
      </c>
      <c r="G58" s="432">
        <v>3.3000000000000002E-2</v>
      </c>
      <c r="H58" s="429" t="e">
        <f t="shared" si="0"/>
        <v>#VALUE!</v>
      </c>
      <c r="I58" s="420"/>
      <c r="J58" s="420"/>
      <c r="K58" s="420"/>
      <c r="L58" s="420"/>
      <c r="M58" s="420"/>
      <c r="N58" s="420"/>
      <c r="O58" s="420"/>
      <c r="P58" s="420"/>
      <c r="Q58" s="420"/>
      <c r="R58" s="420"/>
      <c r="S58" s="420"/>
      <c r="T58" s="420"/>
      <c r="U58" s="420"/>
      <c r="V58" s="420"/>
      <c r="W58" s="420"/>
      <c r="X58" s="420"/>
      <c r="Y58" s="420"/>
      <c r="Z58" s="420"/>
      <c r="AA58" s="420"/>
      <c r="AB58" s="420"/>
    </row>
    <row r="59" spans="1:28" s="421" customFormat="1" ht="55.5" customHeight="1">
      <c r="A59" s="488">
        <v>14</v>
      </c>
      <c r="B59" s="489" t="s">
        <v>88</v>
      </c>
      <c r="C59" s="488"/>
      <c r="D59" s="488"/>
      <c r="E59" s="434"/>
      <c r="F59" s="426"/>
      <c r="G59" s="432"/>
      <c r="H59" s="429"/>
      <c r="I59" s="420"/>
      <c r="J59" s="420"/>
      <c r="K59" s="420"/>
      <c r="L59" s="420"/>
      <c r="M59" s="420"/>
      <c r="N59" s="420"/>
      <c r="O59" s="420"/>
      <c r="P59" s="420"/>
      <c r="Q59" s="420"/>
      <c r="R59" s="420"/>
      <c r="S59" s="420"/>
      <c r="T59" s="420"/>
      <c r="U59" s="420"/>
      <c r="V59" s="420"/>
      <c r="W59" s="420"/>
      <c r="X59" s="420"/>
      <c r="Y59" s="420"/>
      <c r="Z59" s="420"/>
      <c r="AA59" s="420"/>
      <c r="AB59" s="420"/>
    </row>
    <row r="60" spans="1:28" s="421" customFormat="1" ht="55.5" customHeight="1">
      <c r="A60" s="488" t="s">
        <v>860</v>
      </c>
      <c r="B60" s="489" t="s">
        <v>775</v>
      </c>
      <c r="C60" s="488"/>
      <c r="D60" s="488"/>
      <c r="E60" s="434"/>
      <c r="F60" s="426"/>
      <c r="G60" s="432"/>
      <c r="H60" s="429"/>
      <c r="I60" s="420"/>
      <c r="J60" s="420"/>
      <c r="K60" s="420"/>
      <c r="L60" s="420"/>
      <c r="M60" s="420"/>
      <c r="N60" s="420"/>
      <c r="O60" s="420"/>
      <c r="P60" s="420"/>
      <c r="Q60" s="420"/>
      <c r="R60" s="420"/>
      <c r="S60" s="420"/>
      <c r="T60" s="420"/>
      <c r="U60" s="420"/>
      <c r="V60" s="420"/>
      <c r="W60" s="420"/>
      <c r="X60" s="420"/>
      <c r="Y60" s="420"/>
      <c r="Z60" s="420"/>
      <c r="AA60" s="420"/>
      <c r="AB60" s="420"/>
    </row>
    <row r="61" spans="1:28" s="421" customFormat="1" ht="55.5" customHeight="1">
      <c r="A61" s="488" t="s">
        <v>776</v>
      </c>
      <c r="B61" s="489" t="s">
        <v>777</v>
      </c>
      <c r="C61" s="488" t="s">
        <v>778</v>
      </c>
      <c r="D61" s="488" t="s">
        <v>779</v>
      </c>
      <c r="E61" s="434" t="s">
        <v>187</v>
      </c>
      <c r="F61" s="426" t="e">
        <f>LUONGNGAY!$K$34</f>
        <v>#VALUE!</v>
      </c>
      <c r="G61" s="432">
        <v>1.6E-2</v>
      </c>
      <c r="H61" s="429" t="e">
        <f t="shared" si="0"/>
        <v>#VALUE!</v>
      </c>
      <c r="I61" s="420"/>
      <c r="J61" s="420"/>
      <c r="K61" s="420"/>
      <c r="L61" s="420"/>
      <c r="M61" s="420"/>
      <c r="N61" s="420"/>
      <c r="O61" s="420"/>
      <c r="P61" s="420"/>
      <c r="Q61" s="420"/>
      <c r="R61" s="420"/>
      <c r="S61" s="420"/>
      <c r="T61" s="420"/>
      <c r="U61" s="420"/>
      <c r="V61" s="420"/>
      <c r="W61" s="420"/>
      <c r="X61" s="420"/>
      <c r="Y61" s="420"/>
      <c r="Z61" s="420"/>
      <c r="AA61" s="420"/>
      <c r="AB61" s="420"/>
    </row>
    <row r="62" spans="1:28" s="421" customFormat="1" ht="55.5" customHeight="1">
      <c r="A62" s="488" t="s">
        <v>780</v>
      </c>
      <c r="B62" s="489" t="s">
        <v>781</v>
      </c>
      <c r="C62" s="488" t="s">
        <v>778</v>
      </c>
      <c r="D62" s="488" t="s">
        <v>779</v>
      </c>
      <c r="E62" s="434" t="s">
        <v>187</v>
      </c>
      <c r="F62" s="426" t="e">
        <f>LUONGNGAY!$K$34</f>
        <v>#VALUE!</v>
      </c>
      <c r="G62" s="432">
        <v>8.0000000000000002E-3</v>
      </c>
      <c r="H62" s="429" t="e">
        <f t="shared" si="0"/>
        <v>#VALUE!</v>
      </c>
      <c r="I62" s="420"/>
      <c r="J62" s="420"/>
      <c r="K62" s="420"/>
      <c r="L62" s="420"/>
      <c r="M62" s="420"/>
      <c r="N62" s="420"/>
      <c r="O62" s="420"/>
      <c r="P62" s="420"/>
      <c r="Q62" s="420"/>
      <c r="R62" s="420"/>
      <c r="S62" s="420"/>
      <c r="T62" s="420"/>
      <c r="U62" s="420"/>
      <c r="V62" s="420"/>
      <c r="W62" s="420"/>
      <c r="X62" s="420"/>
      <c r="Y62" s="420"/>
      <c r="Z62" s="420"/>
      <c r="AA62" s="420"/>
      <c r="AB62" s="420"/>
    </row>
    <row r="63" spans="1:28" s="421" customFormat="1" ht="55.5" customHeight="1">
      <c r="A63" s="488" t="s">
        <v>782</v>
      </c>
      <c r="B63" s="489" t="s">
        <v>861</v>
      </c>
      <c r="C63" s="488" t="s">
        <v>778</v>
      </c>
      <c r="D63" s="488" t="s">
        <v>779</v>
      </c>
      <c r="E63" s="434" t="s">
        <v>187</v>
      </c>
      <c r="F63" s="426" t="e">
        <f>LUONGNGAY!$K$34</f>
        <v>#VALUE!</v>
      </c>
      <c r="G63" s="432">
        <v>4.0000000000000001E-3</v>
      </c>
      <c r="H63" s="429" t="e">
        <f t="shared" si="0"/>
        <v>#VALUE!</v>
      </c>
      <c r="I63" s="420"/>
      <c r="J63" s="420"/>
      <c r="K63" s="420"/>
      <c r="L63" s="420"/>
      <c r="M63" s="420"/>
      <c r="N63" s="420"/>
      <c r="O63" s="420"/>
      <c r="P63" s="420"/>
      <c r="Q63" s="420"/>
      <c r="R63" s="420"/>
      <c r="S63" s="420"/>
      <c r="T63" s="420"/>
      <c r="U63" s="420"/>
      <c r="V63" s="420"/>
      <c r="W63" s="420"/>
      <c r="X63" s="420"/>
      <c r="Y63" s="420"/>
      <c r="Z63" s="420"/>
      <c r="AA63" s="420"/>
      <c r="AB63" s="420"/>
    </row>
    <row r="64" spans="1:28" s="421" customFormat="1" ht="55.5" customHeight="1">
      <c r="A64" s="488" t="s">
        <v>862</v>
      </c>
      <c r="B64" s="489" t="s">
        <v>863</v>
      </c>
      <c r="C64" s="488" t="s">
        <v>481</v>
      </c>
      <c r="D64" s="488" t="s">
        <v>779</v>
      </c>
      <c r="E64" s="434" t="s">
        <v>187</v>
      </c>
      <c r="F64" s="426" t="e">
        <f>LUONGNGAY!$K$34</f>
        <v>#VALUE!</v>
      </c>
      <c r="G64" s="432">
        <v>0.01</v>
      </c>
      <c r="H64" s="429" t="e">
        <f t="shared" si="0"/>
        <v>#VALUE!</v>
      </c>
      <c r="I64" s="420"/>
      <c r="J64" s="420"/>
      <c r="K64" s="420"/>
      <c r="L64" s="420"/>
      <c r="M64" s="420"/>
      <c r="N64" s="420"/>
      <c r="O64" s="420"/>
      <c r="P64" s="420"/>
      <c r="Q64" s="420"/>
      <c r="R64" s="420"/>
      <c r="S64" s="420"/>
      <c r="T64" s="420"/>
      <c r="U64" s="420"/>
      <c r="V64" s="420"/>
      <c r="W64" s="420"/>
      <c r="X64" s="420"/>
      <c r="Y64" s="420"/>
      <c r="Z64" s="420"/>
      <c r="AA64" s="420"/>
      <c r="AB64" s="420"/>
    </row>
    <row r="65" spans="1:28" s="436" customFormat="1" ht="29.25" customHeight="1">
      <c r="A65" s="488">
        <v>15</v>
      </c>
      <c r="B65" s="489" t="s">
        <v>336</v>
      </c>
      <c r="C65" s="488" t="s">
        <v>261</v>
      </c>
      <c r="D65" s="488" t="s">
        <v>847</v>
      </c>
      <c r="E65" s="434" t="s">
        <v>187</v>
      </c>
      <c r="F65" s="426" t="e">
        <f>LUONGNGAY!$K$35</f>
        <v>#VALUE!</v>
      </c>
      <c r="G65" s="432">
        <v>0.05</v>
      </c>
      <c r="H65" s="429" t="e">
        <f t="shared" si="0"/>
        <v>#VALUE!</v>
      </c>
      <c r="I65" s="435"/>
      <c r="J65" s="435"/>
      <c r="K65" s="435"/>
      <c r="L65" s="435"/>
      <c r="M65" s="435"/>
      <c r="N65" s="435"/>
      <c r="O65" s="435"/>
      <c r="P65" s="435"/>
      <c r="Q65" s="435"/>
      <c r="R65" s="435"/>
      <c r="S65" s="435"/>
      <c r="T65" s="435"/>
      <c r="U65" s="435"/>
      <c r="V65" s="435"/>
      <c r="W65" s="435"/>
      <c r="X65" s="435"/>
      <c r="Y65" s="435"/>
      <c r="Z65" s="435"/>
      <c r="AA65" s="435"/>
      <c r="AB65" s="435"/>
    </row>
    <row r="66" spans="1:28" s="436" customFormat="1" ht="20.25" customHeight="1">
      <c r="A66" s="488">
        <v>16</v>
      </c>
      <c r="B66" s="489" t="s">
        <v>337</v>
      </c>
      <c r="C66" s="488" t="s">
        <v>338</v>
      </c>
      <c r="D66" s="488" t="s">
        <v>847</v>
      </c>
      <c r="E66" s="434" t="s">
        <v>187</v>
      </c>
      <c r="F66" s="426" t="e">
        <f>LUONGNGAY!$K$35</f>
        <v>#VALUE!</v>
      </c>
      <c r="G66" s="432">
        <v>8</v>
      </c>
      <c r="H66" s="429" t="e">
        <f t="shared" si="0"/>
        <v>#VALUE!</v>
      </c>
      <c r="I66" s="435"/>
      <c r="J66" s="435"/>
      <c r="K66" s="435"/>
      <c r="L66" s="435"/>
      <c r="M66" s="435"/>
      <c r="N66" s="435"/>
      <c r="O66" s="435"/>
      <c r="P66" s="435"/>
      <c r="Q66" s="435"/>
      <c r="R66" s="435"/>
      <c r="S66" s="435"/>
      <c r="T66" s="435"/>
      <c r="U66" s="435"/>
      <c r="V66" s="435"/>
      <c r="W66" s="435"/>
      <c r="X66" s="435"/>
      <c r="Y66" s="435"/>
      <c r="Z66" s="435"/>
      <c r="AA66" s="435"/>
      <c r="AB66" s="435"/>
    </row>
    <row r="67" spans="1:28" s="436" customFormat="1" ht="20.25" customHeight="1">
      <c r="A67" s="490" t="s">
        <v>755</v>
      </c>
      <c r="B67" s="491" t="s">
        <v>339</v>
      </c>
      <c r="C67" s="488"/>
      <c r="D67" s="488"/>
      <c r="E67" s="434"/>
      <c r="F67" s="426"/>
      <c r="G67" s="432"/>
      <c r="H67" s="429"/>
      <c r="I67" s="435"/>
      <c r="J67" s="435"/>
      <c r="K67" s="435"/>
      <c r="L67" s="435"/>
      <c r="M67" s="435"/>
      <c r="N67" s="435"/>
      <c r="O67" s="435"/>
      <c r="P67" s="435"/>
      <c r="Q67" s="435"/>
      <c r="R67" s="435"/>
      <c r="S67" s="435"/>
      <c r="T67" s="435"/>
      <c r="U67" s="435"/>
      <c r="V67" s="435"/>
      <c r="W67" s="435"/>
      <c r="X67" s="435"/>
      <c r="Y67" s="435"/>
      <c r="Z67" s="435"/>
      <c r="AA67" s="435"/>
      <c r="AB67" s="435"/>
    </row>
    <row r="68" spans="1:28" s="436" customFormat="1" ht="20.25" customHeight="1">
      <c r="A68" s="488">
        <v>1</v>
      </c>
      <c r="B68" s="489" t="s">
        <v>530</v>
      </c>
      <c r="C68" s="488"/>
      <c r="D68" s="488"/>
      <c r="E68" s="434"/>
      <c r="F68" s="426"/>
      <c r="G68" s="432"/>
      <c r="H68" s="429"/>
      <c r="I68" s="435"/>
      <c r="J68" s="435"/>
      <c r="K68" s="435"/>
      <c r="L68" s="435"/>
      <c r="M68" s="435"/>
      <c r="N68" s="435"/>
      <c r="O68" s="435"/>
      <c r="P68" s="435"/>
      <c r="Q68" s="435"/>
      <c r="R68" s="435"/>
      <c r="S68" s="435"/>
      <c r="T68" s="435"/>
      <c r="U68" s="435"/>
      <c r="V68" s="435"/>
      <c r="W68" s="435"/>
      <c r="X68" s="435"/>
      <c r="Y68" s="435"/>
      <c r="Z68" s="435"/>
      <c r="AA68" s="435"/>
      <c r="AB68" s="435"/>
    </row>
    <row r="69" spans="1:28" s="436" customFormat="1" ht="20.25" customHeight="1">
      <c r="A69" s="488" t="s">
        <v>733</v>
      </c>
      <c r="B69" s="489" t="s">
        <v>340</v>
      </c>
      <c r="C69" s="488" t="s">
        <v>341</v>
      </c>
      <c r="D69" s="488" t="s">
        <v>342</v>
      </c>
      <c r="E69" s="434" t="s">
        <v>187</v>
      </c>
      <c r="F69" s="426" t="e">
        <f>LUONGNGAY!$K$37</f>
        <v>#VALUE!</v>
      </c>
      <c r="G69" s="432">
        <v>300</v>
      </c>
      <c r="H69" s="429" t="e">
        <f>F69*G69</f>
        <v>#VALUE!</v>
      </c>
      <c r="I69" s="435"/>
      <c r="J69" s="435"/>
      <c r="K69" s="435"/>
      <c r="L69" s="435"/>
      <c r="M69" s="435"/>
      <c r="N69" s="435"/>
      <c r="O69" s="435"/>
      <c r="P69" s="435"/>
      <c r="Q69" s="435"/>
      <c r="R69" s="435"/>
      <c r="S69" s="435"/>
      <c r="T69" s="435"/>
      <c r="U69" s="435"/>
      <c r="V69" s="435"/>
      <c r="W69" s="435"/>
      <c r="X69" s="435"/>
      <c r="Y69" s="435"/>
      <c r="Z69" s="435"/>
      <c r="AA69" s="435"/>
      <c r="AB69" s="435"/>
    </row>
    <row r="70" spans="1:28" s="436" customFormat="1" ht="20.25" customHeight="1">
      <c r="A70" s="488" t="s">
        <v>741</v>
      </c>
      <c r="B70" s="489" t="s">
        <v>343</v>
      </c>
      <c r="C70" s="488" t="s">
        <v>481</v>
      </c>
      <c r="D70" s="488" t="s">
        <v>342</v>
      </c>
      <c r="E70" s="434" t="s">
        <v>187</v>
      </c>
      <c r="F70" s="426" t="e">
        <f>LUONGNGAY!$K$37</f>
        <v>#VALUE!</v>
      </c>
      <c r="G70" s="432">
        <v>0.01</v>
      </c>
      <c r="H70" s="429" t="e">
        <f>F70*G70</f>
        <v>#VALUE!</v>
      </c>
      <c r="I70" s="435"/>
      <c r="J70" s="435"/>
      <c r="K70" s="435"/>
      <c r="L70" s="435"/>
      <c r="M70" s="435"/>
      <c r="N70" s="435"/>
      <c r="O70" s="435"/>
      <c r="P70" s="435"/>
      <c r="Q70" s="435"/>
      <c r="R70" s="435"/>
      <c r="S70" s="435"/>
      <c r="T70" s="435"/>
      <c r="U70" s="435"/>
      <c r="V70" s="435"/>
      <c r="W70" s="435"/>
      <c r="X70" s="435"/>
      <c r="Y70" s="435"/>
      <c r="Z70" s="435"/>
      <c r="AA70" s="435"/>
      <c r="AB70" s="435"/>
    </row>
    <row r="71" spans="1:28" s="436" customFormat="1" ht="29.25" customHeight="1">
      <c r="A71" s="488">
        <v>2</v>
      </c>
      <c r="B71" s="489" t="s">
        <v>344</v>
      </c>
      <c r="C71" s="488"/>
      <c r="D71" s="488"/>
      <c r="E71" s="434"/>
      <c r="F71" s="426"/>
      <c r="G71" s="432"/>
      <c r="H71" s="429"/>
      <c r="I71" s="435"/>
      <c r="J71" s="435"/>
      <c r="K71" s="435"/>
      <c r="L71" s="435"/>
      <c r="M71" s="435"/>
      <c r="N71" s="435"/>
      <c r="O71" s="435"/>
      <c r="P71" s="435"/>
      <c r="Q71" s="435"/>
      <c r="R71" s="435"/>
      <c r="S71" s="435"/>
      <c r="T71" s="435"/>
      <c r="U71" s="435"/>
      <c r="V71" s="435"/>
      <c r="W71" s="435"/>
      <c r="X71" s="435"/>
      <c r="Y71" s="435"/>
      <c r="Z71" s="435"/>
      <c r="AA71" s="435"/>
      <c r="AB71" s="435"/>
    </row>
    <row r="72" spans="1:28" s="436" customFormat="1" ht="20.25" customHeight="1">
      <c r="A72" s="488" t="s">
        <v>742</v>
      </c>
      <c r="B72" s="489" t="s">
        <v>345</v>
      </c>
      <c r="C72" s="488" t="s">
        <v>57</v>
      </c>
      <c r="D72" s="488" t="s">
        <v>342</v>
      </c>
      <c r="E72" s="434" t="s">
        <v>187</v>
      </c>
      <c r="F72" s="426" t="e">
        <f>LUONGNGAY!$K$37</f>
        <v>#VALUE!</v>
      </c>
      <c r="G72" s="432">
        <v>2.5000000000000001E-2</v>
      </c>
      <c r="H72" s="429" t="e">
        <f>F72*G72</f>
        <v>#VALUE!</v>
      </c>
      <c r="I72" s="435"/>
      <c r="J72" s="435"/>
      <c r="K72" s="435"/>
      <c r="L72" s="435"/>
      <c r="M72" s="435"/>
      <c r="N72" s="435"/>
      <c r="O72" s="435"/>
      <c r="P72" s="435"/>
      <c r="Q72" s="435"/>
      <c r="R72" s="435"/>
      <c r="S72" s="435"/>
      <c r="T72" s="435"/>
      <c r="U72" s="435"/>
      <c r="V72" s="435"/>
      <c r="W72" s="435"/>
      <c r="X72" s="435"/>
      <c r="Y72" s="435"/>
      <c r="Z72" s="435"/>
      <c r="AA72" s="435"/>
      <c r="AB72" s="435"/>
    </row>
    <row r="73" spans="1:28" s="436" customFormat="1" ht="20.25" customHeight="1">
      <c r="A73" s="488" t="s">
        <v>743</v>
      </c>
      <c r="B73" s="489" t="s">
        <v>346</v>
      </c>
      <c r="C73" s="488" t="s">
        <v>341</v>
      </c>
      <c r="D73" s="488" t="s">
        <v>342</v>
      </c>
      <c r="E73" s="434" t="s">
        <v>187</v>
      </c>
      <c r="F73" s="426" t="e">
        <f>LUONGNGAY!$K$37</f>
        <v>#VALUE!</v>
      </c>
      <c r="G73" s="432">
        <v>2</v>
      </c>
      <c r="H73" s="429" t="e">
        <f t="shared" si="0"/>
        <v>#VALUE!</v>
      </c>
      <c r="I73" s="435"/>
      <c r="J73" s="435"/>
      <c r="K73" s="435"/>
      <c r="L73" s="435"/>
      <c r="M73" s="435"/>
      <c r="N73" s="435"/>
      <c r="O73" s="435"/>
      <c r="P73" s="435"/>
      <c r="Q73" s="435"/>
      <c r="R73" s="435"/>
      <c r="S73" s="435"/>
      <c r="T73" s="435"/>
      <c r="U73" s="435"/>
      <c r="V73" s="435"/>
      <c r="W73" s="435"/>
      <c r="X73" s="435"/>
      <c r="Y73" s="435"/>
      <c r="Z73" s="435"/>
      <c r="AA73" s="435"/>
      <c r="AB73" s="435"/>
    </row>
    <row r="74" spans="1:28" s="436" customFormat="1" ht="20.25" customHeight="1">
      <c r="A74" s="488">
        <v>3</v>
      </c>
      <c r="B74" s="489" t="s">
        <v>347</v>
      </c>
      <c r="C74" s="488" t="s">
        <v>338</v>
      </c>
      <c r="D74" s="488" t="s">
        <v>342</v>
      </c>
      <c r="E74" s="434" t="s">
        <v>187</v>
      </c>
      <c r="F74" s="426" t="e">
        <f>LUONGNGAY!$K$37</f>
        <v>#VALUE!</v>
      </c>
      <c r="G74" s="432">
        <v>8</v>
      </c>
      <c r="H74" s="429" t="e">
        <f>F74*G74</f>
        <v>#VALUE!</v>
      </c>
      <c r="I74" s="435"/>
      <c r="J74" s="435"/>
      <c r="K74" s="435"/>
      <c r="L74" s="435"/>
      <c r="M74" s="435"/>
      <c r="N74" s="435"/>
      <c r="O74" s="435"/>
      <c r="P74" s="435"/>
      <c r="Q74" s="435"/>
      <c r="R74" s="435"/>
      <c r="S74" s="435"/>
      <c r="T74" s="435"/>
      <c r="U74" s="435"/>
      <c r="V74" s="435"/>
      <c r="W74" s="435"/>
      <c r="X74" s="435"/>
      <c r="Y74" s="435"/>
      <c r="Z74" s="435"/>
      <c r="AA74" s="435"/>
      <c r="AB74" s="435"/>
    </row>
    <row r="75" spans="1:28" s="436" customFormat="1" ht="20.25" customHeight="1">
      <c r="A75" s="437"/>
      <c r="B75" s="438"/>
      <c r="C75" s="439"/>
      <c r="D75" s="439"/>
      <c r="E75" s="437"/>
      <c r="F75" s="440"/>
      <c r="G75" s="441"/>
      <c r="H75" s="442"/>
      <c r="I75" s="435"/>
      <c r="J75" s="435"/>
      <c r="K75" s="435"/>
      <c r="L75" s="435"/>
      <c r="M75" s="435"/>
      <c r="N75" s="435"/>
      <c r="O75" s="435"/>
      <c r="P75" s="435"/>
      <c r="Q75" s="435"/>
      <c r="R75" s="435"/>
      <c r="S75" s="435"/>
      <c r="T75" s="435"/>
      <c r="U75" s="435"/>
      <c r="V75" s="435"/>
      <c r="W75" s="435"/>
      <c r="X75" s="435"/>
      <c r="Y75" s="435"/>
      <c r="Z75" s="435"/>
      <c r="AA75" s="435"/>
      <c r="AB75" s="435"/>
    </row>
    <row r="76" spans="1:28" s="436" customFormat="1" ht="20.25" customHeight="1">
      <c r="A76" s="437"/>
      <c r="B76" s="438"/>
      <c r="C76" s="439"/>
      <c r="D76" s="439"/>
      <c r="E76" s="437"/>
      <c r="F76" s="440"/>
      <c r="G76" s="441"/>
      <c r="H76" s="442"/>
      <c r="I76" s="435"/>
      <c r="J76" s="435"/>
      <c r="K76" s="435"/>
      <c r="L76" s="435"/>
      <c r="M76" s="435"/>
      <c r="N76" s="435"/>
      <c r="O76" s="435"/>
      <c r="P76" s="435"/>
      <c r="Q76" s="435"/>
      <c r="R76" s="435"/>
      <c r="S76" s="435"/>
      <c r="T76" s="435"/>
      <c r="U76" s="435"/>
      <c r="V76" s="435"/>
      <c r="W76" s="435"/>
      <c r="X76" s="435"/>
      <c r="Y76" s="435"/>
      <c r="Z76" s="435"/>
      <c r="AA76" s="435"/>
      <c r="AB76" s="435"/>
    </row>
    <row r="77" spans="1:28" s="436" customFormat="1" ht="20.25" customHeight="1">
      <c r="A77" s="437"/>
      <c r="B77" s="438"/>
      <c r="C77" s="439"/>
      <c r="D77" s="439"/>
      <c r="E77" s="437"/>
      <c r="F77" s="440"/>
      <c r="G77" s="441"/>
      <c r="H77" s="442"/>
      <c r="I77" s="435"/>
      <c r="J77" s="435"/>
      <c r="K77" s="435"/>
      <c r="L77" s="435"/>
      <c r="M77" s="435"/>
      <c r="N77" s="435"/>
      <c r="O77" s="435"/>
      <c r="P77" s="435"/>
      <c r="Q77" s="435"/>
      <c r="R77" s="435"/>
      <c r="S77" s="435"/>
      <c r="T77" s="435"/>
      <c r="U77" s="435"/>
      <c r="V77" s="435"/>
      <c r="W77" s="435"/>
      <c r="X77" s="435"/>
      <c r="Y77" s="435"/>
      <c r="Z77" s="435"/>
      <c r="AA77" s="435"/>
      <c r="AB77" s="435"/>
    </row>
    <row r="78" spans="1:28" s="421" customFormat="1" ht="40.15" customHeight="1">
      <c r="A78" s="1151" t="s">
        <v>666</v>
      </c>
      <c r="B78" s="1151"/>
      <c r="C78" s="1151"/>
      <c r="D78" s="1151"/>
      <c r="E78" s="1151"/>
      <c r="F78" s="1151"/>
      <c r="G78" s="1151"/>
      <c r="H78" s="1151"/>
      <c r="I78" s="420"/>
      <c r="J78" s="420"/>
      <c r="K78" s="420"/>
      <c r="L78" s="420"/>
      <c r="M78" s="420"/>
      <c r="N78" s="420"/>
      <c r="O78" s="420"/>
      <c r="P78" s="420"/>
      <c r="Q78" s="420"/>
      <c r="R78" s="420"/>
      <c r="S78" s="420"/>
      <c r="T78" s="420"/>
      <c r="U78" s="420"/>
      <c r="V78" s="420"/>
      <c r="W78" s="420"/>
      <c r="X78" s="420"/>
      <c r="Y78" s="420"/>
      <c r="Z78" s="420"/>
      <c r="AA78" s="420"/>
      <c r="AB78" s="420"/>
    </row>
    <row r="79" spans="1:28" s="421" customFormat="1" ht="45" customHeight="1">
      <c r="A79" s="422" t="s">
        <v>979</v>
      </c>
      <c r="B79" s="422" t="s">
        <v>198</v>
      </c>
      <c r="C79" s="423" t="s">
        <v>479</v>
      </c>
      <c r="D79" s="423" t="s">
        <v>478</v>
      </c>
      <c r="E79" s="423" t="s">
        <v>199</v>
      </c>
      <c r="F79" s="424" t="s">
        <v>483</v>
      </c>
      <c r="G79" s="423" t="s">
        <v>482</v>
      </c>
      <c r="H79" s="423" t="s">
        <v>200</v>
      </c>
      <c r="I79" s="420"/>
      <c r="J79" s="420"/>
      <c r="K79" s="420"/>
      <c r="L79" s="420"/>
      <c r="M79" s="420"/>
      <c r="N79" s="420"/>
      <c r="O79" s="420"/>
      <c r="P79" s="420"/>
      <c r="Q79" s="420"/>
      <c r="R79" s="420"/>
      <c r="S79" s="420"/>
      <c r="T79" s="420"/>
      <c r="U79" s="420"/>
      <c r="V79" s="420"/>
      <c r="W79" s="420"/>
      <c r="X79" s="420"/>
      <c r="Y79" s="420"/>
      <c r="Z79" s="420"/>
      <c r="AA79" s="420"/>
      <c r="AB79" s="420"/>
    </row>
    <row r="80" spans="1:28" s="421" customFormat="1" ht="24.75" customHeight="1">
      <c r="A80" s="434" t="s">
        <v>1000</v>
      </c>
      <c r="B80" s="493" t="s">
        <v>504</v>
      </c>
      <c r="C80" s="494"/>
      <c r="D80" s="494"/>
      <c r="E80" s="494"/>
      <c r="F80" s="426"/>
      <c r="G80" s="425"/>
      <c r="H80" s="427"/>
      <c r="I80" s="420"/>
      <c r="J80" s="420"/>
      <c r="K80" s="420"/>
      <c r="L80" s="420"/>
      <c r="M80" s="420"/>
      <c r="N80" s="420"/>
      <c r="O80" s="420"/>
      <c r="P80" s="420"/>
      <c r="Q80" s="420"/>
      <c r="R80" s="420"/>
      <c r="S80" s="420"/>
      <c r="T80" s="420"/>
      <c r="U80" s="420"/>
      <c r="V80" s="420"/>
      <c r="W80" s="420"/>
      <c r="X80" s="420"/>
      <c r="Y80" s="420"/>
      <c r="Z80" s="420"/>
      <c r="AA80" s="420"/>
      <c r="AB80" s="420"/>
    </row>
    <row r="81" spans="1:28" s="421" customFormat="1" ht="14.25">
      <c r="A81" s="434" t="s">
        <v>727</v>
      </c>
      <c r="B81" s="495" t="s">
        <v>453</v>
      </c>
      <c r="C81" s="494"/>
      <c r="D81" s="494"/>
      <c r="E81" s="494"/>
      <c r="F81" s="426"/>
      <c r="G81" s="425"/>
      <c r="H81" s="427"/>
      <c r="I81" s="420"/>
      <c r="J81" s="420"/>
      <c r="K81" s="420"/>
      <c r="L81" s="420"/>
      <c r="M81" s="420"/>
      <c r="N81" s="420"/>
      <c r="O81" s="420"/>
      <c r="P81" s="420"/>
      <c r="Q81" s="420"/>
      <c r="R81" s="420"/>
      <c r="S81" s="420"/>
      <c r="T81" s="420"/>
      <c r="U81" s="420"/>
      <c r="V81" s="420"/>
      <c r="W81" s="420"/>
      <c r="X81" s="420"/>
      <c r="Y81" s="420"/>
      <c r="Z81" s="420"/>
      <c r="AA81" s="420"/>
      <c r="AB81" s="420"/>
    </row>
    <row r="82" spans="1:28" s="421" customFormat="1" ht="24.6" customHeight="1">
      <c r="A82" s="1173" t="s">
        <v>733</v>
      </c>
      <c r="B82" s="1171" t="s">
        <v>834</v>
      </c>
      <c r="C82" s="1175" t="s">
        <v>835</v>
      </c>
      <c r="D82" s="1175" t="s">
        <v>836</v>
      </c>
      <c r="E82" s="1169" t="s">
        <v>722</v>
      </c>
      <c r="F82" s="426" t="e">
        <f>(LUONGNGAY!K35+LUONGNGAY!K44)/2</f>
        <v>#VALUE!</v>
      </c>
      <c r="G82" s="430">
        <f>2*2</f>
        <v>4</v>
      </c>
      <c r="H82" s="429" t="e">
        <f>G82*F82</f>
        <v>#VALUE!</v>
      </c>
      <c r="I82" s="420"/>
      <c r="J82" s="420"/>
      <c r="K82" s="420"/>
      <c r="L82" s="420"/>
      <c r="M82" s="420"/>
      <c r="N82" s="420"/>
      <c r="O82" s="420"/>
      <c r="P82" s="420"/>
      <c r="Q82" s="420"/>
      <c r="R82" s="420"/>
      <c r="S82" s="420"/>
      <c r="T82" s="420"/>
      <c r="U82" s="420"/>
      <c r="V82" s="420"/>
      <c r="W82" s="420"/>
      <c r="X82" s="420"/>
      <c r="Y82" s="420"/>
      <c r="Z82" s="420"/>
      <c r="AA82" s="420"/>
      <c r="AB82" s="420"/>
    </row>
    <row r="83" spans="1:28" s="421" customFormat="1" ht="24.6" customHeight="1">
      <c r="A83" s="1174"/>
      <c r="B83" s="1172"/>
      <c r="C83" s="1176"/>
      <c r="D83" s="1176"/>
      <c r="E83" s="1170"/>
      <c r="F83" s="426">
        <f>'He so chung'!$D$11</f>
        <v>147000</v>
      </c>
      <c r="G83" s="430">
        <v>2</v>
      </c>
      <c r="H83" s="429">
        <f t="shared" ref="H83:H146" si="1">G83*F83</f>
        <v>294000</v>
      </c>
      <c r="I83" s="420"/>
      <c r="J83" s="420"/>
      <c r="K83" s="420"/>
      <c r="L83" s="420"/>
      <c r="M83" s="420"/>
      <c r="N83" s="420"/>
      <c r="O83" s="420"/>
      <c r="P83" s="420"/>
      <c r="Q83" s="420"/>
      <c r="R83" s="420"/>
      <c r="S83" s="420"/>
      <c r="T83" s="420"/>
      <c r="U83" s="420"/>
      <c r="V83" s="420"/>
      <c r="W83" s="420"/>
      <c r="X83" s="420"/>
      <c r="Y83" s="420"/>
      <c r="Z83" s="420"/>
      <c r="AA83" s="420"/>
      <c r="AB83" s="420"/>
    </row>
    <row r="84" spans="1:28" s="421" customFormat="1" ht="27.75" customHeight="1">
      <c r="A84" s="443" t="s">
        <v>741</v>
      </c>
      <c r="B84" s="496" t="s">
        <v>505</v>
      </c>
      <c r="C84" s="497" t="s">
        <v>838</v>
      </c>
      <c r="D84" s="497" t="s">
        <v>839</v>
      </c>
      <c r="E84" s="498" t="s">
        <v>722</v>
      </c>
      <c r="F84" s="426" t="e">
        <f>(LUONGNGAY!K36+LUONGNGAY!K35+LUONGNGAY!K44)/3</f>
        <v>#VALUE!</v>
      </c>
      <c r="G84" s="430">
        <f>16*3</f>
        <v>48</v>
      </c>
      <c r="H84" s="429" t="e">
        <f t="shared" si="1"/>
        <v>#VALUE!</v>
      </c>
      <c r="I84" s="420"/>
      <c r="J84" s="420"/>
      <c r="K84" s="420"/>
      <c r="L84" s="420"/>
      <c r="M84" s="420"/>
      <c r="N84" s="420"/>
      <c r="O84" s="420"/>
      <c r="P84" s="420"/>
      <c r="Q84" s="420"/>
      <c r="R84" s="420"/>
      <c r="S84" s="420"/>
      <c r="T84" s="420"/>
      <c r="U84" s="420"/>
      <c r="V84" s="420"/>
      <c r="W84" s="420"/>
      <c r="X84" s="420"/>
      <c r="Y84" s="420"/>
      <c r="Z84" s="420"/>
      <c r="AA84" s="420"/>
      <c r="AB84" s="420"/>
    </row>
    <row r="85" spans="1:28" s="421" customFormat="1" ht="21.75" customHeight="1">
      <c r="A85" s="1173" t="s">
        <v>734</v>
      </c>
      <c r="B85" s="1190" t="s">
        <v>840</v>
      </c>
      <c r="C85" s="1175" t="s">
        <v>841</v>
      </c>
      <c r="D85" s="1175" t="s">
        <v>842</v>
      </c>
      <c r="E85" s="1169" t="s">
        <v>722</v>
      </c>
      <c r="F85" s="426" t="e">
        <f>LUONGNGAY!K36</f>
        <v>#VALUE!</v>
      </c>
      <c r="G85" s="430">
        <v>2.5</v>
      </c>
      <c r="H85" s="429" t="e">
        <f t="shared" si="1"/>
        <v>#VALUE!</v>
      </c>
      <c r="I85" s="420"/>
      <c r="J85" s="420"/>
      <c r="K85" s="420"/>
      <c r="L85" s="420"/>
      <c r="M85" s="420"/>
      <c r="N85" s="420"/>
      <c r="O85" s="420"/>
      <c r="P85" s="420"/>
      <c r="Q85" s="420"/>
      <c r="R85" s="420"/>
      <c r="S85" s="420"/>
      <c r="T85" s="420"/>
      <c r="U85" s="420"/>
      <c r="V85" s="420"/>
      <c r="W85" s="420"/>
      <c r="X85" s="420"/>
      <c r="Y85" s="420"/>
      <c r="Z85" s="420"/>
      <c r="AA85" s="420"/>
      <c r="AB85" s="420"/>
    </row>
    <row r="86" spans="1:28" s="421" customFormat="1" ht="24.6" customHeight="1">
      <c r="A86" s="1174"/>
      <c r="B86" s="1191"/>
      <c r="C86" s="1176"/>
      <c r="D86" s="1176"/>
      <c r="E86" s="1170"/>
      <c r="F86" s="426">
        <f>'He so chung'!$D$11</f>
        <v>147000</v>
      </c>
      <c r="G86" s="430">
        <v>2.5</v>
      </c>
      <c r="H86" s="429">
        <f t="shared" si="1"/>
        <v>367500</v>
      </c>
      <c r="I86" s="420"/>
      <c r="J86" s="420"/>
      <c r="K86" s="420"/>
      <c r="L86" s="420"/>
      <c r="M86" s="420"/>
      <c r="N86" s="420"/>
      <c r="O86" s="420"/>
      <c r="P86" s="420"/>
      <c r="Q86" s="420"/>
      <c r="R86" s="420"/>
      <c r="S86" s="420"/>
      <c r="T86" s="420"/>
      <c r="U86" s="420"/>
      <c r="V86" s="420"/>
      <c r="W86" s="420"/>
      <c r="X86" s="420"/>
      <c r="Y86" s="420"/>
      <c r="Z86" s="420"/>
      <c r="AA86" s="420"/>
      <c r="AB86" s="420"/>
    </row>
    <row r="87" spans="1:28" s="421" customFormat="1" ht="24.6" customHeight="1">
      <c r="A87" s="434" t="s">
        <v>843</v>
      </c>
      <c r="B87" s="495" t="s">
        <v>844</v>
      </c>
      <c r="C87" s="494"/>
      <c r="D87" s="494"/>
      <c r="E87" s="499"/>
      <c r="F87" s="426"/>
      <c r="G87" s="430"/>
      <c r="H87" s="429"/>
      <c r="I87" s="420"/>
      <c r="J87" s="420"/>
      <c r="K87" s="420"/>
      <c r="L87" s="420"/>
      <c r="M87" s="420"/>
      <c r="N87" s="420"/>
      <c r="O87" s="420"/>
      <c r="P87" s="420"/>
      <c r="Q87" s="420"/>
      <c r="R87" s="420"/>
      <c r="S87" s="420"/>
      <c r="T87" s="420"/>
      <c r="U87" s="420"/>
      <c r="V87" s="420"/>
      <c r="W87" s="420"/>
      <c r="X87" s="420"/>
      <c r="Y87" s="420"/>
      <c r="Z87" s="420"/>
      <c r="AA87" s="420"/>
      <c r="AB87" s="420"/>
    </row>
    <row r="88" spans="1:28" s="421" customFormat="1" ht="22.5" customHeight="1">
      <c r="A88" s="434" t="s">
        <v>845</v>
      </c>
      <c r="B88" s="495" t="s">
        <v>846</v>
      </c>
      <c r="C88" s="494" t="s">
        <v>261</v>
      </c>
      <c r="D88" s="494" t="s">
        <v>847</v>
      </c>
      <c r="E88" s="499" t="s">
        <v>722</v>
      </c>
      <c r="F88" s="426" t="e">
        <f>LUONGNGAY!$K$35</f>
        <v>#VALUE!</v>
      </c>
      <c r="G88" s="430">
        <v>0.15</v>
      </c>
      <c r="H88" s="429" t="e">
        <f t="shared" si="1"/>
        <v>#VALUE!</v>
      </c>
      <c r="I88" s="420"/>
      <c r="J88" s="420"/>
      <c r="K88" s="420"/>
      <c r="L88" s="420"/>
      <c r="M88" s="420"/>
      <c r="N88" s="420"/>
      <c r="O88" s="420"/>
      <c r="P88" s="420"/>
      <c r="Q88" s="420"/>
      <c r="R88" s="420"/>
      <c r="S88" s="420"/>
      <c r="T88" s="420"/>
      <c r="U88" s="420"/>
      <c r="V88" s="420"/>
      <c r="W88" s="420"/>
      <c r="X88" s="420"/>
      <c r="Y88" s="420"/>
      <c r="Z88" s="420"/>
      <c r="AA88" s="420"/>
      <c r="AB88" s="420"/>
    </row>
    <row r="89" spans="1:28" s="421" customFormat="1" ht="34.5" customHeight="1">
      <c r="A89" s="434" t="s">
        <v>848</v>
      </c>
      <c r="B89" s="495" t="s">
        <v>849</v>
      </c>
      <c r="C89" s="494" t="s">
        <v>261</v>
      </c>
      <c r="D89" s="494" t="s">
        <v>847</v>
      </c>
      <c r="E89" s="499" t="s">
        <v>722</v>
      </c>
      <c r="F89" s="426" t="e">
        <f>LUONGNGAY!$K$35</f>
        <v>#VALUE!</v>
      </c>
      <c r="G89" s="432">
        <v>0.1</v>
      </c>
      <c r="H89" s="429" t="e">
        <f t="shared" si="1"/>
        <v>#VALUE!</v>
      </c>
      <c r="I89" s="420"/>
      <c r="J89" s="420"/>
      <c r="K89" s="420"/>
      <c r="L89" s="420"/>
      <c r="M89" s="420"/>
      <c r="N89" s="420"/>
      <c r="O89" s="420"/>
      <c r="P89" s="420"/>
      <c r="Q89" s="420"/>
      <c r="R89" s="420"/>
      <c r="S89" s="420"/>
      <c r="T89" s="420"/>
      <c r="U89" s="420"/>
      <c r="V89" s="420"/>
      <c r="W89" s="420"/>
      <c r="X89" s="420"/>
      <c r="Y89" s="420"/>
      <c r="Z89" s="420"/>
      <c r="AA89" s="420"/>
      <c r="AB89" s="420"/>
    </row>
    <row r="90" spans="1:28" s="421" customFormat="1" ht="31.5" customHeight="1">
      <c r="A90" s="434" t="s">
        <v>728</v>
      </c>
      <c r="B90" s="495" t="s">
        <v>850</v>
      </c>
      <c r="C90" s="494" t="s">
        <v>261</v>
      </c>
      <c r="D90" s="494" t="s">
        <v>847</v>
      </c>
      <c r="E90" s="499" t="s">
        <v>722</v>
      </c>
      <c r="F90" s="426" t="e">
        <f>LUONGNGAY!$K$35</f>
        <v>#VALUE!</v>
      </c>
      <c r="G90" s="430">
        <v>0.2</v>
      </c>
      <c r="H90" s="429" t="e">
        <f t="shared" si="1"/>
        <v>#VALUE!</v>
      </c>
      <c r="I90" s="420"/>
      <c r="J90" s="420"/>
      <c r="K90" s="420"/>
      <c r="L90" s="420"/>
      <c r="M90" s="420"/>
      <c r="N90" s="420"/>
      <c r="O90" s="420"/>
      <c r="P90" s="420"/>
      <c r="Q90" s="420"/>
      <c r="R90" s="420"/>
      <c r="S90" s="420"/>
      <c r="T90" s="420"/>
      <c r="U90" s="420"/>
      <c r="V90" s="420"/>
      <c r="W90" s="420"/>
      <c r="X90" s="420"/>
      <c r="Y90" s="420"/>
      <c r="Z90" s="420"/>
      <c r="AA90" s="420"/>
      <c r="AB90" s="420"/>
    </row>
    <row r="91" spans="1:28" s="421" customFormat="1" ht="69" customHeight="1">
      <c r="A91" s="434" t="s">
        <v>729</v>
      </c>
      <c r="B91" s="495" t="s">
        <v>851</v>
      </c>
      <c r="C91" s="494" t="s">
        <v>481</v>
      </c>
      <c r="D91" s="494" t="s">
        <v>842</v>
      </c>
      <c r="E91" s="499" t="s">
        <v>722</v>
      </c>
      <c r="F91" s="426" t="e">
        <f>LUONGNGAY!$K$36</f>
        <v>#VALUE!</v>
      </c>
      <c r="G91" s="432">
        <v>0.107</v>
      </c>
      <c r="H91" s="429" t="e">
        <f t="shared" si="1"/>
        <v>#VALUE!</v>
      </c>
      <c r="I91" s="420"/>
      <c r="J91" s="420"/>
      <c r="K91" s="420"/>
      <c r="L91" s="420"/>
      <c r="M91" s="420"/>
      <c r="N91" s="420"/>
      <c r="O91" s="420"/>
      <c r="P91" s="420"/>
      <c r="Q91" s="420"/>
      <c r="R91" s="420"/>
      <c r="S91" s="420"/>
      <c r="T91" s="420"/>
      <c r="U91" s="420"/>
      <c r="V91" s="420"/>
      <c r="W91" s="420"/>
      <c r="X91" s="420"/>
      <c r="Y91" s="420"/>
      <c r="Z91" s="420"/>
      <c r="AA91" s="420"/>
      <c r="AB91" s="420"/>
    </row>
    <row r="92" spans="1:28" s="421" customFormat="1" ht="22.15" customHeight="1">
      <c r="A92" s="1173" t="s">
        <v>730</v>
      </c>
      <c r="B92" s="1175" t="s">
        <v>852</v>
      </c>
      <c r="C92" s="1175" t="s">
        <v>261</v>
      </c>
      <c r="D92" s="1175" t="s">
        <v>836</v>
      </c>
      <c r="E92" s="1175">
        <v>2</v>
      </c>
      <c r="F92" s="426" t="e">
        <f>(LUONGNGAY!K35+LUONGNGAY!K44)/2</f>
        <v>#VALUE!</v>
      </c>
      <c r="G92" s="430">
        <f>0.45*2</f>
        <v>0.9</v>
      </c>
      <c r="H92" s="429" t="e">
        <f t="shared" si="1"/>
        <v>#VALUE!</v>
      </c>
      <c r="I92" s="420"/>
      <c r="J92" s="420"/>
      <c r="K92" s="420"/>
      <c r="L92" s="420"/>
      <c r="M92" s="420"/>
      <c r="N92" s="420"/>
      <c r="O92" s="420"/>
      <c r="P92" s="420"/>
      <c r="Q92" s="420"/>
      <c r="R92" s="420"/>
      <c r="S92" s="420"/>
      <c r="T92" s="420"/>
      <c r="U92" s="420"/>
      <c r="V92" s="420"/>
      <c r="W92" s="420"/>
      <c r="X92" s="420"/>
      <c r="Y92" s="420"/>
      <c r="Z92" s="420"/>
      <c r="AA92" s="420"/>
      <c r="AB92" s="420"/>
    </row>
    <row r="93" spans="1:28" s="421" customFormat="1" ht="22.15" customHeight="1">
      <c r="A93" s="1192"/>
      <c r="B93" s="1202"/>
      <c r="C93" s="1202"/>
      <c r="D93" s="1202"/>
      <c r="E93" s="1176"/>
      <c r="F93" s="426">
        <f>'He so chung'!$D$11</f>
        <v>147000</v>
      </c>
      <c r="G93" s="430">
        <v>0.25</v>
      </c>
      <c r="H93" s="429">
        <f t="shared" si="1"/>
        <v>36750</v>
      </c>
      <c r="I93" s="420"/>
      <c r="J93" s="420"/>
      <c r="K93" s="420"/>
      <c r="L93" s="420"/>
      <c r="M93" s="420"/>
      <c r="N93" s="420"/>
      <c r="O93" s="420"/>
      <c r="P93" s="420"/>
      <c r="Q93" s="420"/>
      <c r="R93" s="420"/>
      <c r="S93" s="420"/>
      <c r="T93" s="420"/>
      <c r="U93" s="420"/>
      <c r="V93" s="420"/>
      <c r="W93" s="420"/>
      <c r="X93" s="420"/>
      <c r="Y93" s="420"/>
      <c r="Z93" s="420"/>
      <c r="AA93" s="420"/>
      <c r="AB93" s="420"/>
    </row>
    <row r="94" spans="1:28" s="421" customFormat="1" ht="22.15" customHeight="1">
      <c r="A94" s="1192"/>
      <c r="B94" s="1202"/>
      <c r="C94" s="1202"/>
      <c r="D94" s="1202"/>
      <c r="E94" s="1175">
        <v>3</v>
      </c>
      <c r="F94" s="426" t="e">
        <f>$F$92</f>
        <v>#VALUE!</v>
      </c>
      <c r="G94" s="430">
        <f>0.54*2</f>
        <v>1.08</v>
      </c>
      <c r="H94" s="429" t="e">
        <f t="shared" si="1"/>
        <v>#VALUE!</v>
      </c>
      <c r="I94" s="420"/>
      <c r="J94" s="420"/>
      <c r="K94" s="420"/>
      <c r="L94" s="420"/>
      <c r="M94" s="420"/>
      <c r="N94" s="420"/>
      <c r="O94" s="420"/>
      <c r="P94" s="420"/>
      <c r="Q94" s="420"/>
      <c r="R94" s="420"/>
      <c r="S94" s="420"/>
      <c r="T94" s="420"/>
      <c r="U94" s="420"/>
      <c r="V94" s="420"/>
      <c r="W94" s="420"/>
      <c r="X94" s="420"/>
      <c r="Y94" s="420"/>
      <c r="Z94" s="420"/>
      <c r="AA94" s="420"/>
      <c r="AB94" s="420"/>
    </row>
    <row r="95" spans="1:28" s="421" customFormat="1" ht="22.15" customHeight="1">
      <c r="A95" s="1192"/>
      <c r="B95" s="1202"/>
      <c r="C95" s="1202"/>
      <c r="D95" s="1202"/>
      <c r="E95" s="1176"/>
      <c r="F95" s="426">
        <f>'He so chung'!$D$11</f>
        <v>147000</v>
      </c>
      <c r="G95" s="430">
        <f>0.3</f>
        <v>0.3</v>
      </c>
      <c r="H95" s="429">
        <f t="shared" si="1"/>
        <v>44100</v>
      </c>
      <c r="I95" s="420"/>
      <c r="J95" s="420"/>
      <c r="K95" s="420"/>
      <c r="L95" s="420"/>
      <c r="M95" s="420"/>
      <c r="N95" s="420"/>
      <c r="O95" s="420"/>
      <c r="P95" s="420"/>
      <c r="Q95" s="420"/>
      <c r="R95" s="420"/>
      <c r="S95" s="420"/>
      <c r="T95" s="420"/>
      <c r="U95" s="420"/>
      <c r="V95" s="420"/>
      <c r="W95" s="420"/>
      <c r="X95" s="420"/>
      <c r="Y95" s="420"/>
      <c r="Z95" s="420"/>
      <c r="AA95" s="420"/>
      <c r="AB95" s="420"/>
    </row>
    <row r="96" spans="1:28" s="421" customFormat="1" ht="22.15" customHeight="1">
      <c r="A96" s="1192"/>
      <c r="B96" s="1202"/>
      <c r="C96" s="1202"/>
      <c r="D96" s="1202"/>
      <c r="E96" s="1175">
        <v>4</v>
      </c>
      <c r="F96" s="426" t="e">
        <f>$F$92</f>
        <v>#VALUE!</v>
      </c>
      <c r="G96" s="430">
        <f>0.648*2</f>
        <v>1.296</v>
      </c>
      <c r="H96" s="429" t="e">
        <f t="shared" si="1"/>
        <v>#VALUE!</v>
      </c>
      <c r="I96" s="420"/>
      <c r="J96" s="420"/>
      <c r="K96" s="420"/>
      <c r="L96" s="420"/>
      <c r="M96" s="420"/>
      <c r="N96" s="420"/>
      <c r="O96" s="420"/>
      <c r="P96" s="420"/>
      <c r="Q96" s="420"/>
      <c r="R96" s="420"/>
      <c r="S96" s="420"/>
      <c r="T96" s="420"/>
      <c r="U96" s="420"/>
      <c r="V96" s="420"/>
      <c r="W96" s="420"/>
      <c r="X96" s="420"/>
      <c r="Y96" s="420"/>
      <c r="Z96" s="420"/>
      <c r="AA96" s="420"/>
      <c r="AB96" s="420"/>
    </row>
    <row r="97" spans="1:28" s="421" customFormat="1" ht="22.15" customHeight="1">
      <c r="A97" s="1192"/>
      <c r="B97" s="1202"/>
      <c r="C97" s="1202"/>
      <c r="D97" s="1202"/>
      <c r="E97" s="1176"/>
      <c r="F97" s="426">
        <f>'He so chung'!$D$11</f>
        <v>147000</v>
      </c>
      <c r="G97" s="430">
        <v>0.36</v>
      </c>
      <c r="H97" s="429">
        <f t="shared" si="1"/>
        <v>52920</v>
      </c>
      <c r="I97" s="420"/>
      <c r="J97" s="420"/>
      <c r="K97" s="420"/>
      <c r="L97" s="420"/>
      <c r="M97" s="420"/>
      <c r="N97" s="420"/>
      <c r="O97" s="420"/>
      <c r="P97" s="420"/>
      <c r="Q97" s="420"/>
      <c r="R97" s="420"/>
      <c r="S97" s="420"/>
      <c r="T97" s="420"/>
      <c r="U97" s="420"/>
      <c r="V97" s="420"/>
      <c r="W97" s="420"/>
      <c r="X97" s="420"/>
      <c r="Y97" s="420"/>
      <c r="Z97" s="420"/>
      <c r="AA97" s="420"/>
      <c r="AB97" s="420"/>
    </row>
    <row r="98" spans="1:28" s="421" customFormat="1" ht="22.15" customHeight="1">
      <c r="A98" s="1192"/>
      <c r="B98" s="1202"/>
      <c r="C98" s="1202"/>
      <c r="D98" s="1202"/>
      <c r="E98" s="1175">
        <v>5</v>
      </c>
      <c r="F98" s="426" t="e">
        <f>$F$92</f>
        <v>#VALUE!</v>
      </c>
      <c r="G98" s="430">
        <f>0.778*2</f>
        <v>1.556</v>
      </c>
      <c r="H98" s="429" t="e">
        <f t="shared" si="1"/>
        <v>#VALUE!</v>
      </c>
      <c r="I98" s="420"/>
      <c r="J98" s="420"/>
      <c r="K98" s="420"/>
      <c r="L98" s="420"/>
      <c r="M98" s="420"/>
      <c r="N98" s="420"/>
      <c r="O98" s="420"/>
      <c r="P98" s="420"/>
      <c r="Q98" s="420"/>
      <c r="R98" s="420"/>
      <c r="S98" s="420"/>
      <c r="T98" s="420"/>
      <c r="U98" s="420"/>
      <c r="V98" s="420"/>
      <c r="W98" s="420"/>
      <c r="X98" s="420"/>
      <c r="Y98" s="420"/>
      <c r="Z98" s="420"/>
      <c r="AA98" s="420"/>
      <c r="AB98" s="420"/>
    </row>
    <row r="99" spans="1:28" s="421" customFormat="1" ht="22.15" customHeight="1">
      <c r="A99" s="1174"/>
      <c r="B99" s="1176"/>
      <c r="C99" s="1176"/>
      <c r="D99" s="1176"/>
      <c r="E99" s="1176"/>
      <c r="F99" s="426">
        <f>'He so chung'!$D$11</f>
        <v>147000</v>
      </c>
      <c r="G99" s="430">
        <v>0.432</v>
      </c>
      <c r="H99" s="429">
        <f t="shared" si="1"/>
        <v>63504</v>
      </c>
      <c r="I99" s="420"/>
      <c r="J99" s="420"/>
      <c r="K99" s="420"/>
      <c r="L99" s="420"/>
      <c r="M99" s="420"/>
      <c r="N99" s="420"/>
      <c r="O99" s="420"/>
      <c r="P99" s="420"/>
      <c r="Q99" s="420"/>
      <c r="R99" s="420"/>
      <c r="S99" s="420"/>
      <c r="T99" s="420"/>
      <c r="U99" s="420"/>
      <c r="V99" s="420"/>
      <c r="W99" s="420"/>
      <c r="X99" s="420"/>
      <c r="Y99" s="420"/>
      <c r="Z99" s="420"/>
      <c r="AA99" s="420"/>
      <c r="AB99" s="420"/>
    </row>
    <row r="100" spans="1:28" s="421" customFormat="1" ht="22.15" customHeight="1">
      <c r="A100" s="434" t="s">
        <v>731</v>
      </c>
      <c r="B100" s="495" t="s">
        <v>579</v>
      </c>
      <c r="C100" s="494"/>
      <c r="D100" s="494"/>
      <c r="E100" s="494"/>
      <c r="F100" s="426"/>
      <c r="G100" s="430"/>
      <c r="H100" s="429"/>
      <c r="I100" s="420"/>
      <c r="J100" s="420"/>
      <c r="K100" s="420"/>
      <c r="L100" s="420"/>
      <c r="M100" s="420"/>
      <c r="N100" s="420"/>
      <c r="O100" s="420"/>
      <c r="P100" s="420"/>
      <c r="Q100" s="420"/>
      <c r="R100" s="420"/>
      <c r="S100" s="420"/>
      <c r="T100" s="420"/>
      <c r="U100" s="420"/>
      <c r="V100" s="420"/>
      <c r="W100" s="420"/>
      <c r="X100" s="420"/>
      <c r="Y100" s="420"/>
      <c r="Z100" s="420"/>
      <c r="AA100" s="420"/>
      <c r="AB100" s="420"/>
    </row>
    <row r="101" spans="1:28" s="421" customFormat="1" ht="22.15" customHeight="1">
      <c r="A101" s="434" t="s">
        <v>461</v>
      </c>
      <c r="B101" s="495" t="s">
        <v>846</v>
      </c>
      <c r="C101" s="494" t="s">
        <v>261</v>
      </c>
      <c r="D101" s="494" t="s">
        <v>842</v>
      </c>
      <c r="E101" s="499" t="s">
        <v>722</v>
      </c>
      <c r="F101" s="426" t="e">
        <f>LUONGNGAY!$K$36</f>
        <v>#VALUE!</v>
      </c>
      <c r="G101" s="430">
        <v>0.05</v>
      </c>
      <c r="H101" s="429" t="e">
        <f t="shared" si="1"/>
        <v>#VALUE!</v>
      </c>
      <c r="I101" s="420"/>
      <c r="J101" s="420"/>
      <c r="K101" s="420"/>
      <c r="L101" s="420"/>
      <c r="M101" s="420"/>
      <c r="N101" s="420"/>
      <c r="O101" s="420"/>
      <c r="P101" s="420"/>
      <c r="Q101" s="420"/>
      <c r="R101" s="420"/>
      <c r="S101" s="420"/>
      <c r="T101" s="420"/>
      <c r="U101" s="420"/>
      <c r="V101" s="420"/>
      <c r="W101" s="420"/>
      <c r="X101" s="420"/>
      <c r="Y101" s="420"/>
      <c r="Z101" s="420"/>
      <c r="AA101" s="420"/>
      <c r="AB101" s="420"/>
    </row>
    <row r="102" spans="1:28" s="421" customFormat="1" ht="22.15" customHeight="1">
      <c r="A102" s="434" t="s">
        <v>462</v>
      </c>
      <c r="B102" s="495" t="s">
        <v>849</v>
      </c>
      <c r="C102" s="494" t="s">
        <v>261</v>
      </c>
      <c r="D102" s="494" t="s">
        <v>842</v>
      </c>
      <c r="E102" s="499" t="s">
        <v>722</v>
      </c>
      <c r="F102" s="426" t="e">
        <f>LUONGNGAY!$K$36</f>
        <v>#VALUE!</v>
      </c>
      <c r="G102" s="430">
        <v>0.04</v>
      </c>
      <c r="H102" s="429" t="e">
        <f t="shared" si="1"/>
        <v>#VALUE!</v>
      </c>
      <c r="I102" s="420"/>
      <c r="J102" s="420"/>
      <c r="K102" s="420"/>
      <c r="L102" s="420"/>
      <c r="M102" s="420"/>
      <c r="N102" s="420"/>
      <c r="O102" s="420"/>
      <c r="P102" s="420"/>
      <c r="Q102" s="420"/>
      <c r="R102" s="420"/>
      <c r="S102" s="420"/>
      <c r="T102" s="420"/>
      <c r="U102" s="420"/>
      <c r="V102" s="420"/>
      <c r="W102" s="420"/>
      <c r="X102" s="420"/>
      <c r="Y102" s="420"/>
      <c r="Z102" s="420"/>
      <c r="AA102" s="420"/>
      <c r="AB102" s="420"/>
    </row>
    <row r="103" spans="1:28" s="421" customFormat="1" ht="22.15" customHeight="1">
      <c r="A103" s="434" t="s">
        <v>188</v>
      </c>
      <c r="B103" s="495" t="s">
        <v>506</v>
      </c>
      <c r="C103" s="494" t="s">
        <v>481</v>
      </c>
      <c r="D103" s="494" t="s">
        <v>842</v>
      </c>
      <c r="E103" s="499" t="s">
        <v>722</v>
      </c>
      <c r="F103" s="426" t="e">
        <f>LUONGNGAY!$K$36</f>
        <v>#VALUE!</v>
      </c>
      <c r="G103" s="432">
        <v>3.0000000000000001E-3</v>
      </c>
      <c r="H103" s="429" t="e">
        <f t="shared" si="1"/>
        <v>#VALUE!</v>
      </c>
      <c r="I103" s="420"/>
      <c r="J103" s="420"/>
      <c r="K103" s="420"/>
      <c r="L103" s="420"/>
      <c r="M103" s="420"/>
      <c r="N103" s="420"/>
      <c r="O103" s="420"/>
      <c r="P103" s="420"/>
      <c r="Q103" s="420"/>
      <c r="R103" s="420"/>
      <c r="S103" s="420"/>
      <c r="T103" s="420"/>
      <c r="U103" s="420"/>
      <c r="V103" s="420"/>
      <c r="W103" s="420"/>
      <c r="X103" s="420"/>
      <c r="Y103" s="420"/>
      <c r="Z103" s="420"/>
      <c r="AA103" s="420"/>
      <c r="AB103" s="420"/>
    </row>
    <row r="104" spans="1:28" s="421" customFormat="1" ht="19.149999999999999" customHeight="1">
      <c r="A104" s="434" t="s">
        <v>189</v>
      </c>
      <c r="B104" s="495" t="s">
        <v>148</v>
      </c>
      <c r="C104" s="494" t="s">
        <v>261</v>
      </c>
      <c r="D104" s="494" t="s">
        <v>480</v>
      </c>
      <c r="E104" s="499" t="s">
        <v>722</v>
      </c>
      <c r="F104" s="426" t="e">
        <f>LUONGNGAY!$K$44</f>
        <v>#VALUE!</v>
      </c>
      <c r="G104" s="432">
        <v>1.4999999999999999E-2</v>
      </c>
      <c r="H104" s="429" t="e">
        <f t="shared" si="1"/>
        <v>#VALUE!</v>
      </c>
      <c r="I104" s="420"/>
      <c r="J104" s="420"/>
      <c r="K104" s="420"/>
      <c r="L104" s="420"/>
      <c r="M104" s="420"/>
      <c r="N104" s="420"/>
      <c r="O104" s="420"/>
      <c r="P104" s="420"/>
      <c r="Q104" s="420"/>
      <c r="R104" s="420"/>
      <c r="S104" s="420"/>
      <c r="T104" s="420"/>
      <c r="U104" s="420"/>
      <c r="V104" s="420"/>
      <c r="W104" s="420"/>
      <c r="X104" s="420"/>
      <c r="Y104" s="420"/>
      <c r="Z104" s="420"/>
      <c r="AA104" s="420"/>
      <c r="AB104" s="420"/>
    </row>
    <row r="105" spans="1:28" s="421" customFormat="1" ht="19.149999999999999" customHeight="1">
      <c r="A105" s="434" t="s">
        <v>190</v>
      </c>
      <c r="B105" s="495" t="s">
        <v>167</v>
      </c>
      <c r="C105" s="494"/>
      <c r="D105" s="494"/>
      <c r="E105" s="494"/>
      <c r="F105" s="426"/>
      <c r="G105" s="430"/>
      <c r="H105" s="429"/>
      <c r="I105" s="420"/>
      <c r="J105" s="420"/>
      <c r="K105" s="420"/>
      <c r="L105" s="420"/>
      <c r="M105" s="420"/>
      <c r="N105" s="420"/>
      <c r="O105" s="420"/>
      <c r="P105" s="420"/>
      <c r="Q105" s="420"/>
      <c r="R105" s="420"/>
      <c r="S105" s="420"/>
      <c r="T105" s="420"/>
      <c r="U105" s="420"/>
      <c r="V105" s="420"/>
      <c r="W105" s="420"/>
      <c r="X105" s="420"/>
      <c r="Y105" s="420"/>
      <c r="Z105" s="420"/>
      <c r="AA105" s="420"/>
      <c r="AB105" s="420"/>
    </row>
    <row r="106" spans="1:28" s="421" customFormat="1" ht="19.149999999999999" customHeight="1">
      <c r="A106" s="434" t="s">
        <v>191</v>
      </c>
      <c r="B106" s="495" t="s">
        <v>846</v>
      </c>
      <c r="C106" s="494" t="s">
        <v>261</v>
      </c>
      <c r="D106" s="494" t="s">
        <v>842</v>
      </c>
      <c r="E106" s="499" t="s">
        <v>722</v>
      </c>
      <c r="F106" s="426" t="e">
        <f>LUONGNGAY!$K$36</f>
        <v>#VALUE!</v>
      </c>
      <c r="G106" s="432">
        <v>1.4999999999999999E-2</v>
      </c>
      <c r="H106" s="429" t="e">
        <f t="shared" si="1"/>
        <v>#VALUE!</v>
      </c>
      <c r="I106" s="420"/>
      <c r="J106" s="420"/>
      <c r="K106" s="420"/>
      <c r="L106" s="420"/>
      <c r="M106" s="420"/>
      <c r="N106" s="420"/>
      <c r="O106" s="420"/>
      <c r="P106" s="420"/>
      <c r="Q106" s="420"/>
      <c r="R106" s="420"/>
      <c r="S106" s="420"/>
      <c r="T106" s="420"/>
      <c r="U106" s="420"/>
      <c r="V106" s="420"/>
      <c r="W106" s="420"/>
      <c r="X106" s="420"/>
      <c r="Y106" s="420"/>
      <c r="Z106" s="420"/>
      <c r="AA106" s="420"/>
      <c r="AB106" s="420"/>
    </row>
    <row r="107" spans="1:28" s="421" customFormat="1" ht="19.149999999999999" customHeight="1">
      <c r="A107" s="434" t="s">
        <v>192</v>
      </c>
      <c r="B107" s="495" t="s">
        <v>849</v>
      </c>
      <c r="C107" s="494" t="s">
        <v>261</v>
      </c>
      <c r="D107" s="494" t="s">
        <v>842</v>
      </c>
      <c r="E107" s="499" t="s">
        <v>722</v>
      </c>
      <c r="F107" s="426" t="e">
        <f>LUONGNGAY!$K$36</f>
        <v>#VALUE!</v>
      </c>
      <c r="G107" s="432">
        <v>0.01</v>
      </c>
      <c r="H107" s="429" t="e">
        <f t="shared" si="1"/>
        <v>#VALUE!</v>
      </c>
      <c r="I107" s="420"/>
      <c r="J107" s="420"/>
      <c r="K107" s="420"/>
      <c r="L107" s="420"/>
      <c r="M107" s="420"/>
      <c r="N107" s="420"/>
      <c r="O107" s="420"/>
      <c r="P107" s="420"/>
      <c r="Q107" s="420"/>
      <c r="R107" s="420"/>
      <c r="S107" s="420"/>
      <c r="T107" s="420"/>
      <c r="U107" s="420"/>
      <c r="V107" s="420"/>
      <c r="W107" s="420"/>
      <c r="X107" s="420"/>
      <c r="Y107" s="420"/>
      <c r="Z107" s="420"/>
      <c r="AA107" s="420"/>
      <c r="AB107" s="420"/>
    </row>
    <row r="108" spans="1:28" s="421" customFormat="1" ht="19.149999999999999" customHeight="1">
      <c r="A108" s="434" t="s">
        <v>193</v>
      </c>
      <c r="B108" s="495" t="s">
        <v>149</v>
      </c>
      <c r="C108" s="494" t="s">
        <v>261</v>
      </c>
      <c r="D108" s="494" t="s">
        <v>842</v>
      </c>
      <c r="E108" s="499" t="s">
        <v>722</v>
      </c>
      <c r="F108" s="426" t="e">
        <f>LUONGNGAY!$K$36</f>
        <v>#VALUE!</v>
      </c>
      <c r="G108" s="432">
        <v>0.2</v>
      </c>
      <c r="H108" s="429" t="e">
        <f t="shared" si="1"/>
        <v>#VALUE!</v>
      </c>
      <c r="I108" s="420"/>
      <c r="J108" s="420"/>
      <c r="K108" s="420"/>
      <c r="L108" s="420"/>
      <c r="M108" s="420"/>
      <c r="N108" s="420"/>
      <c r="O108" s="420"/>
      <c r="P108" s="420"/>
      <c r="Q108" s="420"/>
      <c r="R108" s="420"/>
      <c r="S108" s="420"/>
      <c r="T108" s="420"/>
      <c r="U108" s="420"/>
      <c r="V108" s="420"/>
      <c r="W108" s="420"/>
      <c r="X108" s="420"/>
      <c r="Y108" s="420"/>
      <c r="Z108" s="420"/>
      <c r="AA108" s="420"/>
      <c r="AB108" s="420"/>
    </row>
    <row r="109" spans="1:28" s="421" customFormat="1" ht="25.5" customHeight="1">
      <c r="A109" s="434" t="s">
        <v>194</v>
      </c>
      <c r="B109" s="495" t="s">
        <v>0</v>
      </c>
      <c r="C109" s="494" t="s">
        <v>261</v>
      </c>
      <c r="D109" s="494" t="s">
        <v>847</v>
      </c>
      <c r="E109" s="499" t="s">
        <v>722</v>
      </c>
      <c r="F109" s="426" t="e">
        <f>LUONGNGAY!$K$35</f>
        <v>#VALUE!</v>
      </c>
      <c r="G109" s="432">
        <v>0.02</v>
      </c>
      <c r="H109" s="429" t="e">
        <f t="shared" si="1"/>
        <v>#VALUE!</v>
      </c>
      <c r="I109" s="420"/>
      <c r="J109" s="420"/>
      <c r="K109" s="420"/>
      <c r="L109" s="420"/>
      <c r="M109" s="420"/>
      <c r="N109" s="420"/>
      <c r="O109" s="420"/>
      <c r="P109" s="420"/>
      <c r="Q109" s="420"/>
      <c r="R109" s="420"/>
      <c r="S109" s="420"/>
      <c r="T109" s="420"/>
      <c r="U109" s="420"/>
      <c r="V109" s="420"/>
      <c r="W109" s="420"/>
      <c r="X109" s="420"/>
      <c r="Y109" s="420"/>
      <c r="Z109" s="420"/>
      <c r="AA109" s="420"/>
      <c r="AB109" s="420"/>
    </row>
    <row r="110" spans="1:28" s="421" customFormat="1" ht="35.25" customHeight="1">
      <c r="A110" s="434" t="s">
        <v>195</v>
      </c>
      <c r="B110" s="495" t="s">
        <v>581</v>
      </c>
      <c r="C110" s="494" t="s">
        <v>261</v>
      </c>
      <c r="D110" s="494" t="s">
        <v>847</v>
      </c>
      <c r="E110" s="499" t="s">
        <v>722</v>
      </c>
      <c r="F110" s="426" t="e">
        <f>LUONGNGAY!$K$35</f>
        <v>#VALUE!</v>
      </c>
      <c r="G110" s="432">
        <v>0.02</v>
      </c>
      <c r="H110" s="429" t="e">
        <f t="shared" si="1"/>
        <v>#VALUE!</v>
      </c>
      <c r="I110" s="420"/>
      <c r="J110" s="420"/>
      <c r="K110" s="420"/>
      <c r="L110" s="420"/>
      <c r="M110" s="420"/>
      <c r="N110" s="420"/>
      <c r="O110" s="420"/>
      <c r="P110" s="420"/>
      <c r="Q110" s="420"/>
      <c r="R110" s="420"/>
      <c r="S110" s="420"/>
      <c r="T110" s="420"/>
      <c r="U110" s="420"/>
      <c r="V110" s="420"/>
      <c r="W110" s="420"/>
      <c r="X110" s="420"/>
      <c r="Y110" s="420"/>
      <c r="Z110" s="420"/>
      <c r="AA110" s="420"/>
      <c r="AB110" s="420"/>
    </row>
    <row r="111" spans="1:28" s="421" customFormat="1" ht="19.149999999999999" customHeight="1">
      <c r="A111" s="434" t="s">
        <v>1005</v>
      </c>
      <c r="B111" s="493" t="s">
        <v>582</v>
      </c>
      <c r="C111" s="494"/>
      <c r="D111" s="494"/>
      <c r="E111" s="494"/>
      <c r="F111" s="426"/>
      <c r="G111" s="432"/>
      <c r="H111" s="429"/>
      <c r="I111" s="420"/>
      <c r="J111" s="420"/>
      <c r="K111" s="420"/>
      <c r="L111" s="420"/>
      <c r="M111" s="420"/>
      <c r="N111" s="420"/>
      <c r="O111" s="420"/>
      <c r="P111" s="420"/>
      <c r="Q111" s="420"/>
      <c r="R111" s="420"/>
      <c r="S111" s="420"/>
      <c r="T111" s="420"/>
      <c r="U111" s="420"/>
      <c r="V111" s="420"/>
      <c r="W111" s="420"/>
      <c r="X111" s="420"/>
      <c r="Y111" s="420"/>
      <c r="Z111" s="420"/>
      <c r="AA111" s="420"/>
      <c r="AB111" s="420"/>
    </row>
    <row r="112" spans="1:28" s="421" customFormat="1" ht="27.75" customHeight="1">
      <c r="A112" s="434" t="s">
        <v>727</v>
      </c>
      <c r="B112" s="495" t="s">
        <v>1</v>
      </c>
      <c r="C112" s="494"/>
      <c r="D112" s="494"/>
      <c r="E112" s="494"/>
      <c r="F112" s="426"/>
      <c r="G112" s="432"/>
      <c r="H112" s="429"/>
      <c r="I112" s="420"/>
      <c r="J112" s="420"/>
      <c r="K112" s="420"/>
      <c r="L112" s="420"/>
      <c r="M112" s="420"/>
      <c r="N112" s="420"/>
      <c r="O112" s="420"/>
      <c r="P112" s="420"/>
      <c r="Q112" s="420"/>
      <c r="R112" s="420"/>
      <c r="S112" s="420"/>
      <c r="T112" s="420"/>
      <c r="U112" s="420"/>
      <c r="V112" s="420"/>
      <c r="W112" s="420"/>
      <c r="X112" s="420"/>
      <c r="Y112" s="420"/>
      <c r="Z112" s="420"/>
      <c r="AA112" s="420"/>
      <c r="AB112" s="420"/>
    </row>
    <row r="113" spans="1:28" s="421" customFormat="1" ht="21.6" customHeight="1">
      <c r="A113" s="434" t="s">
        <v>733</v>
      </c>
      <c r="B113" s="495" t="s">
        <v>846</v>
      </c>
      <c r="C113" s="494" t="s">
        <v>261</v>
      </c>
      <c r="D113" s="494" t="s">
        <v>847</v>
      </c>
      <c r="E113" s="499" t="s">
        <v>722</v>
      </c>
      <c r="F113" s="426" t="e">
        <f>LUONGNGAY!$K$35</f>
        <v>#VALUE!</v>
      </c>
      <c r="G113" s="432">
        <v>0.04</v>
      </c>
      <c r="H113" s="429" t="e">
        <f t="shared" si="1"/>
        <v>#VALUE!</v>
      </c>
      <c r="I113" s="420"/>
      <c r="J113" s="420"/>
      <c r="K113" s="420"/>
      <c r="L113" s="420"/>
      <c r="M113" s="420"/>
      <c r="N113" s="420"/>
      <c r="O113" s="420"/>
      <c r="P113" s="420"/>
      <c r="Q113" s="420"/>
      <c r="R113" s="420"/>
      <c r="S113" s="420"/>
      <c r="T113" s="420"/>
      <c r="U113" s="420"/>
      <c r="V113" s="420"/>
      <c r="W113" s="420"/>
      <c r="X113" s="420"/>
      <c r="Y113" s="420"/>
      <c r="Z113" s="420"/>
      <c r="AA113" s="420"/>
      <c r="AB113" s="420"/>
    </row>
    <row r="114" spans="1:28" s="421" customFormat="1" ht="33.75" customHeight="1">
      <c r="A114" s="434" t="s">
        <v>741</v>
      </c>
      <c r="B114" s="495" t="s">
        <v>849</v>
      </c>
      <c r="C114" s="494" t="s">
        <v>261</v>
      </c>
      <c r="D114" s="494" t="s">
        <v>847</v>
      </c>
      <c r="E114" s="499" t="s">
        <v>722</v>
      </c>
      <c r="F114" s="426" t="e">
        <f>LUONGNGAY!$K$35</f>
        <v>#VALUE!</v>
      </c>
      <c r="G114" s="432">
        <v>2.5000000000000001E-2</v>
      </c>
      <c r="H114" s="429" t="e">
        <f t="shared" si="1"/>
        <v>#VALUE!</v>
      </c>
      <c r="I114" s="420"/>
      <c r="J114" s="420"/>
      <c r="K114" s="420"/>
      <c r="L114" s="420"/>
      <c r="M114" s="420"/>
      <c r="N114" s="420"/>
      <c r="O114" s="420"/>
      <c r="P114" s="420"/>
      <c r="Q114" s="420"/>
      <c r="R114" s="420"/>
      <c r="S114" s="420"/>
      <c r="T114" s="420"/>
      <c r="U114" s="420"/>
      <c r="V114" s="420"/>
      <c r="W114" s="420"/>
      <c r="X114" s="420"/>
      <c r="Y114" s="420"/>
      <c r="Z114" s="420"/>
      <c r="AA114" s="420"/>
      <c r="AB114" s="420"/>
    </row>
    <row r="115" spans="1:28" s="421" customFormat="1" ht="39.6" customHeight="1">
      <c r="A115" s="434" t="s">
        <v>728</v>
      </c>
      <c r="B115" s="495" t="s">
        <v>584</v>
      </c>
      <c r="C115" s="494" t="s">
        <v>261</v>
      </c>
      <c r="D115" s="494" t="s">
        <v>847</v>
      </c>
      <c r="E115" s="499" t="s">
        <v>722</v>
      </c>
      <c r="F115" s="426" t="e">
        <f>LUONGNGAY!$K$35</f>
        <v>#VALUE!</v>
      </c>
      <c r="G115" s="432">
        <v>0.02</v>
      </c>
      <c r="H115" s="429" t="e">
        <f t="shared" si="1"/>
        <v>#VALUE!</v>
      </c>
      <c r="I115" s="420"/>
      <c r="J115" s="420"/>
      <c r="K115" s="420"/>
      <c r="L115" s="420"/>
      <c r="M115" s="420"/>
      <c r="N115" s="420"/>
      <c r="O115" s="420"/>
      <c r="P115" s="420"/>
      <c r="Q115" s="420"/>
      <c r="R115" s="420"/>
      <c r="S115" s="420"/>
      <c r="T115" s="420"/>
      <c r="U115" s="420"/>
      <c r="V115" s="420"/>
      <c r="W115" s="420"/>
      <c r="X115" s="420"/>
      <c r="Y115" s="420"/>
      <c r="Z115" s="420"/>
      <c r="AA115" s="420"/>
      <c r="AB115" s="420"/>
    </row>
    <row r="116" spans="1:28" s="421" customFormat="1" ht="54" customHeight="1">
      <c r="A116" s="434" t="s">
        <v>729</v>
      </c>
      <c r="B116" s="495" t="s">
        <v>585</v>
      </c>
      <c r="C116" s="494" t="s">
        <v>261</v>
      </c>
      <c r="D116" s="494" t="s">
        <v>842</v>
      </c>
      <c r="E116" s="499" t="s">
        <v>722</v>
      </c>
      <c r="F116" s="426" t="e">
        <f>LUONGNGAY!$K$36</f>
        <v>#VALUE!</v>
      </c>
      <c r="G116" s="432">
        <v>0.2</v>
      </c>
      <c r="H116" s="429" t="e">
        <f t="shared" si="1"/>
        <v>#VALUE!</v>
      </c>
      <c r="I116" s="420"/>
      <c r="J116" s="420"/>
      <c r="K116" s="420"/>
      <c r="L116" s="420"/>
      <c r="M116" s="420"/>
      <c r="N116" s="420"/>
      <c r="O116" s="420"/>
      <c r="P116" s="420"/>
      <c r="Q116" s="420"/>
      <c r="R116" s="420"/>
      <c r="S116" s="420"/>
      <c r="T116" s="420"/>
      <c r="U116" s="420"/>
      <c r="V116" s="420"/>
      <c r="W116" s="420"/>
      <c r="X116" s="420"/>
      <c r="Y116" s="420"/>
      <c r="Z116" s="420"/>
      <c r="AA116" s="420"/>
      <c r="AB116" s="420"/>
    </row>
    <row r="117" spans="1:28" s="421" customFormat="1" ht="21.75" customHeight="1">
      <c r="A117" s="434" t="s">
        <v>730</v>
      </c>
      <c r="B117" s="495" t="s">
        <v>2</v>
      </c>
      <c r="C117" s="494" t="s">
        <v>481</v>
      </c>
      <c r="D117" s="494" t="s">
        <v>842</v>
      </c>
      <c r="E117" s="499" t="s">
        <v>722</v>
      </c>
      <c r="F117" s="426" t="e">
        <f>LUONGNGAY!$K$36</f>
        <v>#VALUE!</v>
      </c>
      <c r="G117" s="432">
        <v>6.0000000000000001E-3</v>
      </c>
      <c r="H117" s="429" t="e">
        <f t="shared" si="1"/>
        <v>#VALUE!</v>
      </c>
      <c r="I117" s="420"/>
      <c r="J117" s="420"/>
      <c r="K117" s="420"/>
      <c r="L117" s="420"/>
      <c r="M117" s="420"/>
      <c r="N117" s="420"/>
      <c r="O117" s="420"/>
      <c r="P117" s="420"/>
      <c r="Q117" s="420"/>
      <c r="R117" s="420"/>
      <c r="S117" s="420"/>
      <c r="T117" s="420"/>
      <c r="U117" s="420"/>
      <c r="V117" s="420"/>
      <c r="W117" s="420"/>
      <c r="X117" s="420"/>
      <c r="Y117" s="420"/>
      <c r="Z117" s="420"/>
      <c r="AA117" s="420"/>
      <c r="AB117" s="420"/>
    </row>
    <row r="118" spans="1:28" s="421" customFormat="1" ht="23.25" customHeight="1">
      <c r="A118" s="434" t="s">
        <v>731</v>
      </c>
      <c r="B118" s="495" t="s">
        <v>23</v>
      </c>
      <c r="C118" s="494"/>
      <c r="D118" s="494"/>
      <c r="E118" s="494"/>
      <c r="F118" s="426"/>
      <c r="G118" s="432"/>
      <c r="H118" s="429">
        <f t="shared" si="1"/>
        <v>0</v>
      </c>
      <c r="I118" s="420"/>
      <c r="J118" s="420"/>
      <c r="K118" s="420"/>
      <c r="L118" s="420"/>
      <c r="M118" s="420"/>
      <c r="N118" s="420"/>
      <c r="O118" s="420"/>
      <c r="P118" s="420"/>
      <c r="Q118" s="420"/>
      <c r="R118" s="420"/>
      <c r="S118" s="420"/>
      <c r="T118" s="420"/>
      <c r="U118" s="420"/>
      <c r="V118" s="420"/>
      <c r="W118" s="420"/>
      <c r="X118" s="420"/>
      <c r="Y118" s="420"/>
      <c r="Z118" s="420"/>
      <c r="AA118" s="420"/>
      <c r="AB118" s="420"/>
    </row>
    <row r="119" spans="1:28" s="421" customFormat="1" ht="49.5" customHeight="1">
      <c r="A119" s="434" t="s">
        <v>461</v>
      </c>
      <c r="B119" s="495" t="s">
        <v>587</v>
      </c>
      <c r="C119" s="494" t="s">
        <v>261</v>
      </c>
      <c r="D119" s="494" t="s">
        <v>847</v>
      </c>
      <c r="E119" s="499" t="s">
        <v>722</v>
      </c>
      <c r="F119" s="426" t="e">
        <f>LUONGNGAY!$K$35</f>
        <v>#VALUE!</v>
      </c>
      <c r="G119" s="432">
        <v>0.04</v>
      </c>
      <c r="H119" s="429" t="e">
        <f t="shared" si="1"/>
        <v>#VALUE!</v>
      </c>
      <c r="I119" s="420"/>
      <c r="J119" s="420"/>
      <c r="K119" s="420"/>
      <c r="L119" s="420"/>
      <c r="M119" s="420"/>
      <c r="N119" s="420"/>
      <c r="O119" s="420"/>
      <c r="P119" s="420"/>
      <c r="Q119" s="420"/>
      <c r="R119" s="420"/>
      <c r="S119" s="420"/>
      <c r="T119" s="420"/>
      <c r="U119" s="420"/>
      <c r="V119" s="420"/>
      <c r="W119" s="420"/>
      <c r="X119" s="420"/>
      <c r="Y119" s="420"/>
      <c r="Z119" s="420"/>
      <c r="AA119" s="420"/>
      <c r="AB119" s="420"/>
    </row>
    <row r="120" spans="1:28" s="421" customFormat="1" ht="33" customHeight="1">
      <c r="A120" s="434" t="s">
        <v>462</v>
      </c>
      <c r="B120" s="495" t="s">
        <v>588</v>
      </c>
      <c r="C120" s="494" t="s">
        <v>261</v>
      </c>
      <c r="D120" s="494" t="s">
        <v>847</v>
      </c>
      <c r="E120" s="499" t="s">
        <v>722</v>
      </c>
      <c r="F120" s="426" t="e">
        <f>LUONGNGAY!$K$35</f>
        <v>#VALUE!</v>
      </c>
      <c r="G120" s="432">
        <v>0.08</v>
      </c>
      <c r="H120" s="429" t="e">
        <f t="shared" si="1"/>
        <v>#VALUE!</v>
      </c>
      <c r="I120" s="420"/>
      <c r="J120" s="420"/>
      <c r="K120" s="420"/>
      <c r="L120" s="420"/>
      <c r="M120" s="420"/>
      <c r="N120" s="420"/>
      <c r="O120" s="420"/>
      <c r="P120" s="420"/>
      <c r="Q120" s="420"/>
      <c r="R120" s="420"/>
      <c r="S120" s="420"/>
      <c r="T120" s="420"/>
      <c r="U120" s="420"/>
      <c r="V120" s="420"/>
      <c r="W120" s="420"/>
      <c r="X120" s="420"/>
      <c r="Y120" s="420"/>
      <c r="Z120" s="420"/>
      <c r="AA120" s="420"/>
      <c r="AB120" s="420"/>
    </row>
    <row r="121" spans="1:28" s="421" customFormat="1" ht="18.75" customHeight="1">
      <c r="A121" s="434" t="s">
        <v>188</v>
      </c>
      <c r="B121" s="495" t="s">
        <v>589</v>
      </c>
      <c r="C121" s="494"/>
      <c r="D121" s="494"/>
      <c r="E121" s="494"/>
      <c r="F121" s="426"/>
      <c r="G121" s="432"/>
      <c r="H121" s="429"/>
      <c r="I121" s="420"/>
      <c r="J121" s="420"/>
      <c r="K121" s="420"/>
      <c r="L121" s="420"/>
      <c r="M121" s="420"/>
      <c r="N121" s="420"/>
      <c r="O121" s="420"/>
      <c r="P121" s="420"/>
      <c r="Q121" s="420"/>
      <c r="R121" s="420"/>
      <c r="S121" s="420"/>
      <c r="T121" s="420"/>
      <c r="U121" s="420"/>
      <c r="V121" s="420"/>
      <c r="W121" s="420"/>
      <c r="X121" s="420"/>
      <c r="Y121" s="420"/>
      <c r="Z121" s="420"/>
      <c r="AA121" s="420"/>
      <c r="AB121" s="420"/>
    </row>
    <row r="122" spans="1:28" s="421" customFormat="1" ht="18.75" customHeight="1">
      <c r="A122" s="434" t="s">
        <v>661</v>
      </c>
      <c r="B122" s="495" t="s">
        <v>590</v>
      </c>
      <c r="C122" s="494" t="s">
        <v>261</v>
      </c>
      <c r="D122" s="494" t="s">
        <v>842</v>
      </c>
      <c r="E122" s="499" t="s">
        <v>722</v>
      </c>
      <c r="F122" s="426" t="e">
        <f>LUONGNGAY!$K$36</f>
        <v>#VALUE!</v>
      </c>
      <c r="G122" s="432">
        <v>0.05</v>
      </c>
      <c r="H122" s="429" t="e">
        <f t="shared" si="1"/>
        <v>#VALUE!</v>
      </c>
      <c r="I122" s="420"/>
      <c r="J122" s="420"/>
      <c r="K122" s="420"/>
      <c r="L122" s="420"/>
      <c r="M122" s="420"/>
      <c r="N122" s="420"/>
      <c r="O122" s="420"/>
      <c r="P122" s="420"/>
      <c r="Q122" s="420"/>
      <c r="R122" s="420"/>
      <c r="S122" s="420"/>
      <c r="T122" s="420"/>
      <c r="U122" s="420"/>
      <c r="V122" s="420"/>
      <c r="W122" s="420"/>
      <c r="X122" s="420"/>
      <c r="Y122" s="420"/>
      <c r="Z122" s="420"/>
      <c r="AA122" s="420"/>
      <c r="AB122" s="420"/>
    </row>
    <row r="123" spans="1:28" s="421" customFormat="1" ht="18.75" customHeight="1">
      <c r="A123" s="434" t="s">
        <v>662</v>
      </c>
      <c r="B123" s="495" t="s">
        <v>591</v>
      </c>
      <c r="C123" s="494" t="s">
        <v>261</v>
      </c>
      <c r="D123" s="494" t="s">
        <v>842</v>
      </c>
      <c r="E123" s="499" t="s">
        <v>722</v>
      </c>
      <c r="F123" s="426" t="e">
        <f>LUONGNGAY!$K$36</f>
        <v>#VALUE!</v>
      </c>
      <c r="G123" s="432">
        <v>0.06</v>
      </c>
      <c r="H123" s="429" t="e">
        <f t="shared" si="1"/>
        <v>#VALUE!</v>
      </c>
      <c r="I123" s="420"/>
      <c r="J123" s="420"/>
      <c r="K123" s="420"/>
      <c r="L123" s="420"/>
      <c r="M123" s="420"/>
      <c r="N123" s="420"/>
      <c r="O123" s="420"/>
      <c r="P123" s="420"/>
      <c r="Q123" s="420"/>
      <c r="R123" s="420"/>
      <c r="S123" s="420"/>
      <c r="T123" s="420"/>
      <c r="U123" s="420"/>
      <c r="V123" s="420"/>
      <c r="W123" s="420"/>
      <c r="X123" s="420"/>
      <c r="Y123" s="420"/>
      <c r="Z123" s="420"/>
      <c r="AA123" s="420"/>
      <c r="AB123" s="420"/>
    </row>
    <row r="124" spans="1:28" s="421" customFormat="1" ht="18" customHeight="1">
      <c r="A124" s="434" t="s">
        <v>189</v>
      </c>
      <c r="B124" s="495" t="s">
        <v>592</v>
      </c>
      <c r="C124" s="494"/>
      <c r="D124" s="494"/>
      <c r="E124" s="494"/>
      <c r="F124" s="426"/>
      <c r="G124" s="432"/>
      <c r="H124" s="429"/>
      <c r="I124" s="420"/>
      <c r="J124" s="420"/>
      <c r="K124" s="420"/>
      <c r="L124" s="420"/>
      <c r="M124" s="420"/>
      <c r="N124" s="420"/>
      <c r="O124" s="420"/>
      <c r="P124" s="420"/>
      <c r="Q124" s="420"/>
      <c r="R124" s="420"/>
      <c r="S124" s="420"/>
      <c r="T124" s="420"/>
      <c r="U124" s="420"/>
      <c r="V124" s="420"/>
      <c r="W124" s="420"/>
      <c r="X124" s="420"/>
      <c r="Y124" s="420"/>
      <c r="Z124" s="420"/>
      <c r="AA124" s="420"/>
      <c r="AB124" s="420"/>
    </row>
    <row r="125" spans="1:28" s="421" customFormat="1" ht="21" customHeight="1">
      <c r="A125" s="434" t="s">
        <v>714</v>
      </c>
      <c r="B125" s="495" t="s">
        <v>3</v>
      </c>
      <c r="C125" s="494" t="s">
        <v>261</v>
      </c>
      <c r="D125" s="494" t="s">
        <v>847</v>
      </c>
      <c r="E125" s="499" t="s">
        <v>722</v>
      </c>
      <c r="F125" s="426" t="e">
        <f>LUONGNGAY!$K$35</f>
        <v>#VALUE!</v>
      </c>
      <c r="G125" s="432">
        <v>0.06</v>
      </c>
      <c r="H125" s="429" t="e">
        <f t="shared" si="1"/>
        <v>#VALUE!</v>
      </c>
      <c r="I125" s="420"/>
      <c r="J125" s="420"/>
      <c r="K125" s="420"/>
      <c r="L125" s="420"/>
      <c r="M125" s="420"/>
      <c r="N125" s="420"/>
      <c r="O125" s="420"/>
      <c r="P125" s="420"/>
      <c r="Q125" s="420"/>
      <c r="R125" s="420"/>
      <c r="S125" s="420"/>
      <c r="T125" s="420"/>
      <c r="U125" s="420"/>
      <c r="V125" s="420"/>
      <c r="W125" s="420"/>
      <c r="X125" s="420"/>
      <c r="Y125" s="420"/>
      <c r="Z125" s="420"/>
      <c r="AA125" s="420"/>
      <c r="AB125" s="420"/>
    </row>
    <row r="126" spans="1:28" s="421" customFormat="1" ht="52.9" customHeight="1">
      <c r="A126" s="434" t="s">
        <v>715</v>
      </c>
      <c r="B126" s="495" t="s">
        <v>594</v>
      </c>
      <c r="C126" s="494" t="s">
        <v>261</v>
      </c>
      <c r="D126" s="494" t="s">
        <v>847</v>
      </c>
      <c r="E126" s="499" t="s">
        <v>722</v>
      </c>
      <c r="F126" s="426" t="e">
        <f>LUONGNGAY!$K$35</f>
        <v>#VALUE!</v>
      </c>
      <c r="G126" s="432">
        <v>0.05</v>
      </c>
      <c r="H126" s="429" t="e">
        <f t="shared" si="1"/>
        <v>#VALUE!</v>
      </c>
      <c r="I126" s="420"/>
      <c r="J126" s="420"/>
      <c r="K126" s="420"/>
      <c r="L126" s="420"/>
      <c r="M126" s="420"/>
      <c r="N126" s="420"/>
      <c r="O126" s="420"/>
      <c r="P126" s="420"/>
      <c r="Q126" s="420"/>
      <c r="R126" s="420"/>
      <c r="S126" s="420"/>
      <c r="T126" s="420"/>
      <c r="U126" s="420"/>
      <c r="V126" s="420"/>
      <c r="W126" s="420"/>
      <c r="X126" s="420"/>
      <c r="Y126" s="420"/>
      <c r="Z126" s="420"/>
      <c r="AA126" s="420"/>
      <c r="AB126" s="420"/>
    </row>
    <row r="127" spans="1:28" s="421" customFormat="1" ht="49.5" customHeight="1">
      <c r="A127" s="434" t="s">
        <v>190</v>
      </c>
      <c r="B127" s="495" t="s">
        <v>78</v>
      </c>
      <c r="C127" s="494" t="s">
        <v>481</v>
      </c>
      <c r="D127" s="494" t="s">
        <v>842</v>
      </c>
      <c r="E127" s="499" t="s">
        <v>722</v>
      </c>
      <c r="F127" s="426" t="e">
        <f>LUONGNGAY!$K$36</f>
        <v>#VALUE!</v>
      </c>
      <c r="G127" s="432">
        <v>0.03</v>
      </c>
      <c r="H127" s="429" t="e">
        <f t="shared" si="1"/>
        <v>#VALUE!</v>
      </c>
      <c r="I127" s="420"/>
      <c r="J127" s="420"/>
      <c r="K127" s="420"/>
      <c r="L127" s="420"/>
      <c r="M127" s="420"/>
      <c r="N127" s="420"/>
      <c r="O127" s="420"/>
      <c r="P127" s="420"/>
      <c r="Q127" s="420"/>
      <c r="R127" s="420"/>
      <c r="S127" s="420"/>
      <c r="T127" s="420"/>
      <c r="U127" s="420"/>
      <c r="V127" s="420"/>
      <c r="W127" s="420"/>
      <c r="X127" s="420"/>
      <c r="Y127" s="420"/>
      <c r="Z127" s="420"/>
      <c r="AA127" s="420"/>
      <c r="AB127" s="420"/>
    </row>
    <row r="128" spans="1:28" s="421" customFormat="1" ht="26.45" customHeight="1">
      <c r="A128" s="434" t="s">
        <v>193</v>
      </c>
      <c r="B128" s="495" t="s">
        <v>260</v>
      </c>
      <c r="C128" s="494" t="s">
        <v>79</v>
      </c>
      <c r="D128" s="494" t="s">
        <v>842</v>
      </c>
      <c r="E128" s="499" t="s">
        <v>722</v>
      </c>
      <c r="F128" s="426" t="e">
        <f>LUONGNGAY!$K$36</f>
        <v>#VALUE!</v>
      </c>
      <c r="G128" s="432">
        <v>0.2</v>
      </c>
      <c r="H128" s="429" t="e">
        <f t="shared" si="1"/>
        <v>#VALUE!</v>
      </c>
      <c r="I128" s="420"/>
      <c r="J128" s="420"/>
      <c r="K128" s="420"/>
      <c r="L128" s="420"/>
      <c r="M128" s="420"/>
      <c r="N128" s="420"/>
      <c r="O128" s="420"/>
      <c r="P128" s="420"/>
      <c r="Q128" s="420"/>
      <c r="R128" s="420"/>
      <c r="S128" s="420"/>
      <c r="T128" s="420"/>
      <c r="U128" s="420"/>
      <c r="V128" s="420"/>
      <c r="W128" s="420"/>
      <c r="X128" s="420"/>
      <c r="Y128" s="420"/>
      <c r="Z128" s="420"/>
      <c r="AA128" s="420"/>
      <c r="AB128" s="420"/>
    </row>
    <row r="129" spans="1:28" s="421" customFormat="1" ht="32.25" customHeight="1">
      <c r="A129" s="434" t="s">
        <v>194</v>
      </c>
      <c r="B129" s="495" t="s">
        <v>80</v>
      </c>
      <c r="C129" s="494"/>
      <c r="D129" s="494"/>
      <c r="E129" s="494"/>
      <c r="F129" s="426"/>
      <c r="G129" s="432"/>
      <c r="H129" s="429"/>
      <c r="I129" s="420"/>
      <c r="J129" s="420"/>
      <c r="K129" s="420"/>
      <c r="L129" s="420"/>
      <c r="M129" s="420"/>
      <c r="N129" s="420"/>
      <c r="O129" s="420"/>
      <c r="P129" s="420"/>
      <c r="Q129" s="420"/>
      <c r="R129" s="420"/>
      <c r="S129" s="420"/>
      <c r="T129" s="420"/>
      <c r="U129" s="420"/>
      <c r="V129" s="420"/>
      <c r="W129" s="420"/>
      <c r="X129" s="420"/>
      <c r="Y129" s="420"/>
      <c r="Z129" s="420"/>
      <c r="AA129" s="420"/>
      <c r="AB129" s="420"/>
    </row>
    <row r="130" spans="1:28" s="421" customFormat="1" ht="30.75" customHeight="1">
      <c r="A130" s="434" t="s">
        <v>455</v>
      </c>
      <c r="B130" s="495" t="s">
        <v>82</v>
      </c>
      <c r="C130" s="494" t="s">
        <v>559</v>
      </c>
      <c r="D130" s="494" t="s">
        <v>847</v>
      </c>
      <c r="E130" s="499" t="s">
        <v>722</v>
      </c>
      <c r="F130" s="426" t="e">
        <f>LUONGNGAY!$K$35</f>
        <v>#VALUE!</v>
      </c>
      <c r="G130" s="432">
        <v>0.05</v>
      </c>
      <c r="H130" s="429" t="e">
        <f t="shared" si="1"/>
        <v>#VALUE!</v>
      </c>
      <c r="I130" s="420"/>
      <c r="J130" s="420"/>
      <c r="K130" s="420"/>
      <c r="L130" s="420"/>
      <c r="M130" s="420"/>
      <c r="N130" s="420"/>
      <c r="O130" s="420"/>
      <c r="P130" s="420"/>
      <c r="Q130" s="420"/>
      <c r="R130" s="420"/>
      <c r="S130" s="420"/>
      <c r="T130" s="420"/>
      <c r="U130" s="420"/>
      <c r="V130" s="420"/>
      <c r="W130" s="420"/>
      <c r="X130" s="420"/>
      <c r="Y130" s="420"/>
      <c r="Z130" s="420"/>
      <c r="AA130" s="420"/>
      <c r="AB130" s="420"/>
    </row>
    <row r="131" spans="1:28" s="421" customFormat="1" ht="28.9" customHeight="1">
      <c r="A131" s="434" t="s">
        <v>456</v>
      </c>
      <c r="B131" s="495" t="s">
        <v>84</v>
      </c>
      <c r="C131" s="494" t="s">
        <v>559</v>
      </c>
      <c r="D131" s="494" t="s">
        <v>847</v>
      </c>
      <c r="E131" s="499" t="s">
        <v>722</v>
      </c>
      <c r="F131" s="426" t="e">
        <f>LUONGNGAY!$K$35</f>
        <v>#VALUE!</v>
      </c>
      <c r="G131" s="432">
        <v>0.1</v>
      </c>
      <c r="H131" s="429" t="e">
        <f t="shared" si="1"/>
        <v>#VALUE!</v>
      </c>
      <c r="I131" s="420"/>
      <c r="J131" s="420"/>
      <c r="K131" s="420"/>
      <c r="L131" s="420"/>
      <c r="M131" s="420"/>
      <c r="N131" s="420"/>
      <c r="O131" s="420"/>
      <c r="P131" s="420"/>
      <c r="Q131" s="420"/>
      <c r="R131" s="420"/>
      <c r="S131" s="420"/>
      <c r="T131" s="420"/>
      <c r="U131" s="420"/>
      <c r="V131" s="420"/>
      <c r="W131" s="420"/>
      <c r="X131" s="420"/>
      <c r="Y131" s="420"/>
      <c r="Z131" s="420"/>
      <c r="AA131" s="420"/>
      <c r="AB131" s="420"/>
    </row>
    <row r="132" spans="1:28" s="421" customFormat="1" ht="30.6" customHeight="1">
      <c r="A132" s="434" t="s">
        <v>195</v>
      </c>
      <c r="B132" s="495" t="s">
        <v>85</v>
      </c>
      <c r="C132" s="494" t="s">
        <v>261</v>
      </c>
      <c r="D132" s="494" t="s">
        <v>847</v>
      </c>
      <c r="E132" s="499" t="s">
        <v>722</v>
      </c>
      <c r="F132" s="426" t="e">
        <f>LUONGNGAY!$K$35</f>
        <v>#VALUE!</v>
      </c>
      <c r="G132" s="432">
        <v>0.04</v>
      </c>
      <c r="H132" s="429" t="e">
        <f t="shared" si="1"/>
        <v>#VALUE!</v>
      </c>
      <c r="I132" s="420"/>
      <c r="J132" s="420"/>
      <c r="K132" s="420"/>
      <c r="L132" s="420"/>
      <c r="M132" s="420"/>
      <c r="N132" s="420"/>
      <c r="O132" s="420"/>
      <c r="P132" s="420"/>
      <c r="Q132" s="420"/>
      <c r="R132" s="420"/>
      <c r="S132" s="420"/>
      <c r="T132" s="420"/>
      <c r="U132" s="420"/>
      <c r="V132" s="420"/>
      <c r="W132" s="420"/>
      <c r="X132" s="420"/>
      <c r="Y132" s="420"/>
      <c r="Z132" s="420"/>
      <c r="AA132" s="420"/>
      <c r="AB132" s="420"/>
    </row>
    <row r="133" spans="1:28" s="421" customFormat="1" ht="34.5" customHeight="1">
      <c r="A133" s="434" t="s">
        <v>196</v>
      </c>
      <c r="B133" s="495" t="s">
        <v>86</v>
      </c>
      <c r="C133" s="494" t="s">
        <v>261</v>
      </c>
      <c r="D133" s="494" t="s">
        <v>847</v>
      </c>
      <c r="E133" s="499" t="s">
        <v>722</v>
      </c>
      <c r="F133" s="426" t="e">
        <f>LUONGNGAY!$K$35</f>
        <v>#VALUE!</v>
      </c>
      <c r="G133" s="432">
        <v>0.02</v>
      </c>
      <c r="H133" s="429" t="e">
        <f t="shared" si="1"/>
        <v>#VALUE!</v>
      </c>
      <c r="I133" s="420"/>
      <c r="J133" s="420"/>
      <c r="K133" s="420"/>
      <c r="L133" s="420"/>
      <c r="M133" s="420"/>
      <c r="N133" s="420"/>
      <c r="O133" s="420"/>
      <c r="P133" s="420"/>
      <c r="Q133" s="420"/>
      <c r="R133" s="420"/>
      <c r="S133" s="420"/>
      <c r="T133" s="420"/>
      <c r="U133" s="420"/>
      <c r="V133" s="420"/>
      <c r="W133" s="420"/>
      <c r="X133" s="420"/>
      <c r="Y133" s="420"/>
      <c r="Z133" s="420"/>
      <c r="AA133" s="420"/>
      <c r="AB133" s="420"/>
    </row>
    <row r="134" spans="1:28" s="421" customFormat="1" ht="36" customHeight="1">
      <c r="A134" s="434" t="s">
        <v>197</v>
      </c>
      <c r="B134" s="495" t="s">
        <v>87</v>
      </c>
      <c r="C134" s="494" t="s">
        <v>481</v>
      </c>
      <c r="D134" s="494" t="s">
        <v>842</v>
      </c>
      <c r="E134" s="499" t="s">
        <v>722</v>
      </c>
      <c r="F134" s="426" t="e">
        <f>LUONGNGAY!$K$36</f>
        <v>#VALUE!</v>
      </c>
      <c r="G134" s="432">
        <v>3.3000000000000002E-2</v>
      </c>
      <c r="H134" s="429" t="e">
        <f t="shared" si="1"/>
        <v>#VALUE!</v>
      </c>
      <c r="I134" s="420"/>
      <c r="J134" s="420"/>
      <c r="K134" s="420"/>
      <c r="L134" s="420"/>
      <c r="M134" s="420"/>
      <c r="N134" s="420"/>
      <c r="O134" s="420"/>
      <c r="P134" s="420"/>
      <c r="Q134" s="420"/>
      <c r="R134" s="420"/>
      <c r="S134" s="420"/>
      <c r="T134" s="420"/>
      <c r="U134" s="420"/>
      <c r="V134" s="420"/>
      <c r="W134" s="420"/>
      <c r="X134" s="420"/>
      <c r="Y134" s="420"/>
      <c r="Z134" s="420"/>
      <c r="AA134" s="420"/>
      <c r="AB134" s="420"/>
    </row>
    <row r="135" spans="1:28" s="421" customFormat="1" ht="29.25" customHeight="1">
      <c r="A135" s="434" t="s">
        <v>457</v>
      </c>
      <c r="B135" s="495" t="s">
        <v>4</v>
      </c>
      <c r="C135" s="494"/>
      <c r="D135" s="494"/>
      <c r="E135" s="494"/>
      <c r="F135" s="426"/>
      <c r="G135" s="432"/>
      <c r="H135" s="429"/>
      <c r="I135" s="420"/>
      <c r="J135" s="420"/>
      <c r="K135" s="420"/>
      <c r="L135" s="420"/>
      <c r="M135" s="420"/>
      <c r="N135" s="420"/>
      <c r="O135" s="420"/>
      <c r="P135" s="420"/>
      <c r="Q135" s="420"/>
      <c r="R135" s="420"/>
      <c r="S135" s="420"/>
      <c r="T135" s="420"/>
      <c r="U135" s="420"/>
      <c r="V135" s="420"/>
      <c r="W135" s="420"/>
      <c r="X135" s="420"/>
      <c r="Y135" s="420"/>
      <c r="Z135" s="420"/>
      <c r="AA135" s="420"/>
      <c r="AB135" s="420"/>
    </row>
    <row r="136" spans="1:28" ht="24.75">
      <c r="A136" s="434" t="s">
        <v>860</v>
      </c>
      <c r="B136" s="495" t="s">
        <v>775</v>
      </c>
      <c r="C136" s="494"/>
      <c r="D136" s="494"/>
      <c r="E136" s="494"/>
      <c r="F136" s="444"/>
      <c r="G136" s="432"/>
      <c r="H136" s="429"/>
    </row>
    <row r="137" spans="1:28">
      <c r="A137" s="434" t="s">
        <v>776</v>
      </c>
      <c r="B137" s="495" t="s">
        <v>777</v>
      </c>
      <c r="C137" s="494" t="s">
        <v>778</v>
      </c>
      <c r="D137" s="494" t="s">
        <v>779</v>
      </c>
      <c r="E137" s="499" t="s">
        <v>722</v>
      </c>
      <c r="F137" s="426" t="e">
        <f>LUONGNGAY!$K$34</f>
        <v>#VALUE!</v>
      </c>
      <c r="G137" s="432">
        <v>1.6E-2</v>
      </c>
      <c r="H137" s="429" t="e">
        <f t="shared" si="1"/>
        <v>#VALUE!</v>
      </c>
    </row>
    <row r="138" spans="1:28">
      <c r="A138" s="434" t="s">
        <v>780</v>
      </c>
      <c r="B138" s="495" t="s">
        <v>781</v>
      </c>
      <c r="C138" s="494" t="s">
        <v>778</v>
      </c>
      <c r="D138" s="494" t="s">
        <v>779</v>
      </c>
      <c r="E138" s="499" t="s">
        <v>722</v>
      </c>
      <c r="F138" s="426" t="e">
        <f>LUONGNGAY!$K$34</f>
        <v>#VALUE!</v>
      </c>
      <c r="G138" s="432">
        <v>8.0000000000000002E-3</v>
      </c>
      <c r="H138" s="429" t="e">
        <f t="shared" si="1"/>
        <v>#VALUE!</v>
      </c>
    </row>
    <row r="139" spans="1:28" ht="24.75">
      <c r="A139" s="434" t="s">
        <v>782</v>
      </c>
      <c r="B139" s="495" t="s">
        <v>861</v>
      </c>
      <c r="C139" s="494" t="s">
        <v>778</v>
      </c>
      <c r="D139" s="494" t="s">
        <v>779</v>
      </c>
      <c r="E139" s="499" t="s">
        <v>722</v>
      </c>
      <c r="F139" s="426" t="e">
        <f>LUONGNGAY!$K$34</f>
        <v>#VALUE!</v>
      </c>
      <c r="G139" s="432">
        <v>4.0000000000000001E-3</v>
      </c>
      <c r="H139" s="429" t="e">
        <f t="shared" si="1"/>
        <v>#VALUE!</v>
      </c>
    </row>
    <row r="140" spans="1:28">
      <c r="A140" s="434" t="s">
        <v>862</v>
      </c>
      <c r="B140" s="495" t="s">
        <v>863</v>
      </c>
      <c r="C140" s="494" t="s">
        <v>481</v>
      </c>
      <c r="D140" s="494" t="s">
        <v>779</v>
      </c>
      <c r="E140" s="499" t="s">
        <v>722</v>
      </c>
      <c r="F140" s="426" t="e">
        <f>LUONGNGAY!$K$34</f>
        <v>#VALUE!</v>
      </c>
      <c r="G140" s="432">
        <v>0.01</v>
      </c>
      <c r="H140" s="429" t="e">
        <f t="shared" si="1"/>
        <v>#VALUE!</v>
      </c>
    </row>
    <row r="141" spans="1:28" ht="24.75">
      <c r="A141" s="434" t="s">
        <v>458</v>
      </c>
      <c r="B141" s="495" t="s">
        <v>524</v>
      </c>
      <c r="C141" s="494" t="s">
        <v>261</v>
      </c>
      <c r="D141" s="494" t="s">
        <v>847</v>
      </c>
      <c r="E141" s="499" t="s">
        <v>722</v>
      </c>
      <c r="F141" s="426" t="e">
        <f>LUONGNGAY!$K$35</f>
        <v>#VALUE!</v>
      </c>
      <c r="G141" s="432">
        <v>0.05</v>
      </c>
      <c r="H141" s="429" t="e">
        <f t="shared" si="1"/>
        <v>#VALUE!</v>
      </c>
    </row>
    <row r="142" spans="1:28">
      <c r="A142" s="434" t="s">
        <v>459</v>
      </c>
      <c r="B142" s="495" t="s">
        <v>525</v>
      </c>
      <c r="C142" s="494" t="s">
        <v>526</v>
      </c>
      <c r="D142" s="494" t="s">
        <v>847</v>
      </c>
      <c r="E142" s="499" t="s">
        <v>722</v>
      </c>
      <c r="F142" s="426" t="e">
        <f>LUONGNGAY!$K$35</f>
        <v>#VALUE!</v>
      </c>
      <c r="G142" s="432">
        <v>8</v>
      </c>
      <c r="H142" s="429" t="e">
        <f t="shared" si="1"/>
        <v>#VALUE!</v>
      </c>
    </row>
    <row r="143" spans="1:28">
      <c r="A143" s="434" t="s">
        <v>755</v>
      </c>
      <c r="B143" s="493" t="s">
        <v>339</v>
      </c>
      <c r="C143" s="494"/>
      <c r="D143" s="494"/>
      <c r="E143" s="494"/>
      <c r="F143" s="444"/>
      <c r="G143" s="432"/>
      <c r="H143" s="429"/>
    </row>
    <row r="144" spans="1:28">
      <c r="A144" s="434" t="s">
        <v>727</v>
      </c>
      <c r="B144" s="495" t="s">
        <v>530</v>
      </c>
      <c r="C144" s="494"/>
      <c r="D144" s="494"/>
      <c r="E144" s="494"/>
      <c r="F144" s="444"/>
      <c r="G144" s="432"/>
      <c r="H144" s="429"/>
    </row>
    <row r="145" spans="1:9">
      <c r="A145" s="434" t="s">
        <v>733</v>
      </c>
      <c r="B145" s="495" t="s">
        <v>340</v>
      </c>
      <c r="C145" s="494" t="s">
        <v>527</v>
      </c>
      <c r="D145" s="494" t="s">
        <v>342</v>
      </c>
      <c r="E145" s="499" t="s">
        <v>722</v>
      </c>
      <c r="F145" s="426" t="e">
        <f>LUONGNGAY!$K$37</f>
        <v>#VALUE!</v>
      </c>
      <c r="G145" s="432">
        <v>300</v>
      </c>
      <c r="H145" s="429" t="e">
        <f>G145*F145</f>
        <v>#VALUE!</v>
      </c>
    </row>
    <row r="146" spans="1:9">
      <c r="A146" s="434" t="s">
        <v>741</v>
      </c>
      <c r="B146" s="495" t="s">
        <v>343</v>
      </c>
      <c r="C146" s="494" t="s">
        <v>481</v>
      </c>
      <c r="D146" s="494" t="s">
        <v>342</v>
      </c>
      <c r="E146" s="499" t="s">
        <v>722</v>
      </c>
      <c r="F146" s="426" t="e">
        <f>LUONGNGAY!$K$37</f>
        <v>#VALUE!</v>
      </c>
      <c r="G146" s="432">
        <v>0.01</v>
      </c>
      <c r="H146" s="429" t="e">
        <f t="shared" si="1"/>
        <v>#VALUE!</v>
      </c>
    </row>
    <row r="147" spans="1:9">
      <c r="A147" s="434" t="s">
        <v>728</v>
      </c>
      <c r="B147" s="495" t="s">
        <v>528</v>
      </c>
      <c r="C147" s="494"/>
      <c r="D147" s="494"/>
      <c r="E147" s="494"/>
      <c r="F147" s="444"/>
      <c r="G147" s="432"/>
      <c r="H147" s="429"/>
    </row>
    <row r="148" spans="1:9">
      <c r="A148" s="434" t="s">
        <v>742</v>
      </c>
      <c r="B148" s="495" t="s">
        <v>345</v>
      </c>
      <c r="C148" s="494" t="s">
        <v>57</v>
      </c>
      <c r="D148" s="494" t="s">
        <v>342</v>
      </c>
      <c r="E148" s="499" t="s">
        <v>722</v>
      </c>
      <c r="F148" s="426" t="e">
        <f>LUONGNGAY!$K$37</f>
        <v>#VALUE!</v>
      </c>
      <c r="G148" s="432">
        <v>2.5000000000000001E-2</v>
      </c>
      <c r="H148" s="429" t="e">
        <f>G148*F148</f>
        <v>#VALUE!</v>
      </c>
    </row>
    <row r="149" spans="1:9">
      <c r="A149" s="434" t="s">
        <v>743</v>
      </c>
      <c r="B149" s="495" t="s">
        <v>346</v>
      </c>
      <c r="C149" s="494" t="s">
        <v>527</v>
      </c>
      <c r="D149" s="494" t="s">
        <v>342</v>
      </c>
      <c r="E149" s="499" t="s">
        <v>722</v>
      </c>
      <c r="F149" s="426" t="e">
        <f>LUONGNGAY!$K$37</f>
        <v>#VALUE!</v>
      </c>
      <c r="G149" s="432">
        <v>2</v>
      </c>
      <c r="H149" s="429" t="e">
        <f>G149*F149</f>
        <v>#VALUE!</v>
      </c>
    </row>
    <row r="150" spans="1:9">
      <c r="A150" s="434" t="s">
        <v>729</v>
      </c>
      <c r="B150" s="495" t="s">
        <v>529</v>
      </c>
      <c r="C150" s="494" t="s">
        <v>526</v>
      </c>
      <c r="D150" s="494" t="s">
        <v>342</v>
      </c>
      <c r="E150" s="499" t="s">
        <v>722</v>
      </c>
      <c r="F150" s="426" t="e">
        <f>LUONGNGAY!$K$37</f>
        <v>#VALUE!</v>
      </c>
      <c r="G150" s="432">
        <v>8</v>
      </c>
      <c r="H150" s="429" t="e">
        <f>G150*F150</f>
        <v>#VALUE!</v>
      </c>
    </row>
    <row r="151" spans="1:9">
      <c r="A151" s="437"/>
      <c r="B151" s="445"/>
      <c r="C151" s="439"/>
      <c r="D151" s="439"/>
      <c r="E151" s="441"/>
      <c r="F151" s="446"/>
      <c r="G151" s="447"/>
      <c r="H151" s="448"/>
    </row>
    <row r="152" spans="1:9" ht="21.75" customHeight="1">
      <c r="A152" s="437"/>
      <c r="B152" s="438"/>
      <c r="C152" s="439"/>
      <c r="D152" s="439"/>
      <c r="E152" s="437"/>
      <c r="F152" s="440"/>
      <c r="G152" s="441"/>
      <c r="H152" s="442"/>
    </row>
    <row r="153" spans="1:9">
      <c r="A153" s="1151" t="s">
        <v>667</v>
      </c>
      <c r="B153" s="1151"/>
      <c r="C153" s="1151"/>
      <c r="D153" s="1151"/>
      <c r="E153" s="1151"/>
      <c r="F153" s="1151"/>
      <c r="G153" s="1151"/>
      <c r="H153" s="1151"/>
    </row>
    <row r="154" spans="1:9">
      <c r="A154" s="414"/>
      <c r="B154" s="415"/>
      <c r="E154" s="417"/>
      <c r="F154" s="418"/>
      <c r="G154" s="417"/>
      <c r="H154" s="419"/>
    </row>
    <row r="155" spans="1:9" ht="25.5">
      <c r="A155" s="422" t="s">
        <v>979</v>
      </c>
      <c r="B155" s="422" t="s">
        <v>198</v>
      </c>
      <c r="C155" s="423" t="s">
        <v>479</v>
      </c>
      <c r="D155" s="423" t="s">
        <v>478</v>
      </c>
      <c r="E155" s="423" t="s">
        <v>199</v>
      </c>
      <c r="F155" s="424" t="s">
        <v>483</v>
      </c>
      <c r="G155" s="423" t="s">
        <v>482</v>
      </c>
      <c r="H155" s="423" t="s">
        <v>200</v>
      </c>
      <c r="I155" s="449"/>
    </row>
    <row r="156" spans="1:9">
      <c r="A156" s="500" t="s">
        <v>1000</v>
      </c>
      <c r="B156" s="493" t="s">
        <v>460</v>
      </c>
      <c r="C156" s="494"/>
      <c r="D156" s="494"/>
      <c r="E156" s="494"/>
      <c r="F156" s="501"/>
      <c r="G156" s="500"/>
      <c r="H156" s="500"/>
      <c r="I156" s="502"/>
    </row>
    <row r="157" spans="1:9">
      <c r="A157" s="494">
        <v>1</v>
      </c>
      <c r="B157" s="495" t="s">
        <v>844</v>
      </c>
      <c r="C157" s="494"/>
      <c r="D157" s="494"/>
      <c r="E157" s="494"/>
      <c r="F157" s="501"/>
      <c r="G157" s="500"/>
      <c r="H157" s="500"/>
      <c r="I157" s="449"/>
    </row>
    <row r="158" spans="1:9">
      <c r="A158" s="494" t="s">
        <v>733</v>
      </c>
      <c r="B158" s="495" t="s">
        <v>846</v>
      </c>
      <c r="C158" s="494" t="s">
        <v>261</v>
      </c>
      <c r="D158" s="494" t="s">
        <v>847</v>
      </c>
      <c r="E158" s="499" t="s">
        <v>723</v>
      </c>
      <c r="F158" s="450" t="e">
        <f>LUONGNGAY!$K$35</f>
        <v>#VALUE!</v>
      </c>
      <c r="G158" s="494">
        <v>0.2</v>
      </c>
      <c r="H158" s="429" t="e">
        <f>F158*G158</f>
        <v>#VALUE!</v>
      </c>
      <c r="I158" s="503"/>
    </row>
    <row r="159" spans="1:9">
      <c r="A159" s="494" t="s">
        <v>741</v>
      </c>
      <c r="B159" s="495" t="s">
        <v>849</v>
      </c>
      <c r="C159" s="494" t="s">
        <v>261</v>
      </c>
      <c r="D159" s="494" t="s">
        <v>847</v>
      </c>
      <c r="E159" s="499" t="s">
        <v>723</v>
      </c>
      <c r="F159" s="450" t="e">
        <f>LUONGNGAY!$K$35</f>
        <v>#VALUE!</v>
      </c>
      <c r="G159" s="494">
        <v>0.15</v>
      </c>
      <c r="H159" s="429" t="e">
        <f t="shared" ref="H159:H222" si="2">F159*G159</f>
        <v>#VALUE!</v>
      </c>
      <c r="I159" s="503"/>
    </row>
    <row r="160" spans="1:9" ht="24.75">
      <c r="A160" s="494">
        <v>2</v>
      </c>
      <c r="B160" s="495" t="s">
        <v>850</v>
      </c>
      <c r="C160" s="494" t="s">
        <v>261</v>
      </c>
      <c r="D160" s="494" t="s">
        <v>847</v>
      </c>
      <c r="E160" s="499" t="s">
        <v>723</v>
      </c>
      <c r="F160" s="450" t="e">
        <f>LUONGNGAY!$K$35</f>
        <v>#VALUE!</v>
      </c>
      <c r="G160" s="494">
        <v>0.1</v>
      </c>
      <c r="H160" s="429" t="e">
        <f t="shared" si="2"/>
        <v>#VALUE!</v>
      </c>
      <c r="I160" s="503"/>
    </row>
    <row r="161" spans="1:9" ht="24.75">
      <c r="A161" s="494">
        <v>3</v>
      </c>
      <c r="B161" s="495" t="s">
        <v>851</v>
      </c>
      <c r="C161" s="494" t="s">
        <v>481</v>
      </c>
      <c r="D161" s="494" t="s">
        <v>842</v>
      </c>
      <c r="E161" s="499" t="s">
        <v>723</v>
      </c>
      <c r="F161" s="426" t="e">
        <f>LUONGNGAY!$K$36</f>
        <v>#VALUE!</v>
      </c>
      <c r="G161" s="494">
        <v>0.107</v>
      </c>
      <c r="H161" s="429" t="e">
        <f t="shared" si="2"/>
        <v>#VALUE!</v>
      </c>
      <c r="I161" s="503"/>
    </row>
    <row r="162" spans="1:9">
      <c r="A162" s="1159">
        <v>4</v>
      </c>
      <c r="B162" s="1160" t="s">
        <v>852</v>
      </c>
      <c r="C162" s="1159" t="s">
        <v>261</v>
      </c>
      <c r="D162" s="1159" t="s">
        <v>880</v>
      </c>
      <c r="E162" s="1158">
        <v>1</v>
      </c>
      <c r="F162" s="426" t="e">
        <f>(LUONGNGAY!$K$35+LUONGNGAY!$K$44)/2</f>
        <v>#VALUE!</v>
      </c>
      <c r="G162" s="504">
        <f>0.9*2</f>
        <v>1.8</v>
      </c>
      <c r="H162" s="429" t="e">
        <f t="shared" si="2"/>
        <v>#VALUE!</v>
      </c>
      <c r="I162" s="505"/>
    </row>
    <row r="163" spans="1:9" ht="15.75" customHeight="1">
      <c r="A163" s="1159"/>
      <c r="B163" s="1160"/>
      <c r="C163" s="1159"/>
      <c r="D163" s="1159"/>
      <c r="E163" s="1158"/>
      <c r="F163" s="426">
        <f>'He so chung'!$D$11</f>
        <v>147000</v>
      </c>
      <c r="G163" s="494">
        <v>0.7</v>
      </c>
      <c r="H163" s="429">
        <f t="shared" si="2"/>
        <v>102900</v>
      </c>
      <c r="I163" s="503"/>
    </row>
    <row r="164" spans="1:9">
      <c r="A164" s="1159"/>
      <c r="B164" s="1160"/>
      <c r="C164" s="1159"/>
      <c r="D164" s="1159"/>
      <c r="E164" s="1158">
        <v>2</v>
      </c>
      <c r="F164" s="426" t="e">
        <f>(LUONGNGAY!$K$37+LUONGNGAY!$K$46)/2</f>
        <v>#VALUE!</v>
      </c>
      <c r="G164" s="504">
        <f>0.99*2</f>
        <v>1.98</v>
      </c>
      <c r="H164" s="429" t="e">
        <f t="shared" si="2"/>
        <v>#VALUE!</v>
      </c>
      <c r="I164" s="505"/>
    </row>
    <row r="165" spans="1:9">
      <c r="A165" s="1159"/>
      <c r="B165" s="1160"/>
      <c r="C165" s="1159"/>
      <c r="D165" s="1159"/>
      <c r="E165" s="1158"/>
      <c r="F165" s="426">
        <f>'He so chung'!$D$11</f>
        <v>147000</v>
      </c>
      <c r="G165" s="494">
        <v>0.77</v>
      </c>
      <c r="H165" s="429">
        <f t="shared" si="2"/>
        <v>113190</v>
      </c>
      <c r="I165" s="503"/>
    </row>
    <row r="166" spans="1:9">
      <c r="A166" s="1159"/>
      <c r="B166" s="1160"/>
      <c r="C166" s="1159"/>
      <c r="D166" s="1159"/>
      <c r="E166" s="1158">
        <v>3</v>
      </c>
      <c r="F166" s="426" t="e">
        <f>(LUONGNGAY!$K$39+LUONGNGAY!$K$48)/2</f>
        <v>#VALUE!</v>
      </c>
      <c r="G166" s="504">
        <f>1.089*2</f>
        <v>2.1779999999999999</v>
      </c>
      <c r="H166" s="429" t="e">
        <f t="shared" si="2"/>
        <v>#VALUE!</v>
      </c>
      <c r="I166" s="505"/>
    </row>
    <row r="167" spans="1:9">
      <c r="A167" s="1159"/>
      <c r="B167" s="1160"/>
      <c r="C167" s="1159"/>
      <c r="D167" s="1159"/>
      <c r="E167" s="1158"/>
      <c r="F167" s="426">
        <f>'He so chung'!$D$11</f>
        <v>147000</v>
      </c>
      <c r="G167" s="494">
        <v>0.84699999999999998</v>
      </c>
      <c r="H167" s="429">
        <f t="shared" si="2"/>
        <v>124509</v>
      </c>
      <c r="I167" s="503"/>
    </row>
    <row r="168" spans="1:9">
      <c r="A168" s="1159"/>
      <c r="B168" s="1160"/>
      <c r="C168" s="1159"/>
      <c r="D168" s="1159"/>
      <c r="E168" s="1158">
        <v>4</v>
      </c>
      <c r="F168" s="426" t="e">
        <f>(LUONGNGAY!$K$41+LUONGNGAY!$K$50)/2</f>
        <v>#VALUE!</v>
      </c>
      <c r="G168" s="504">
        <f>1.198*2</f>
        <v>2.3959999999999999</v>
      </c>
      <c r="H168" s="429" t="e">
        <f t="shared" si="2"/>
        <v>#VALUE!</v>
      </c>
      <c r="I168" s="505"/>
    </row>
    <row r="169" spans="1:9">
      <c r="A169" s="1159"/>
      <c r="B169" s="1160"/>
      <c r="C169" s="1159"/>
      <c r="D169" s="1159"/>
      <c r="E169" s="1158"/>
      <c r="F169" s="426">
        <f>'He so chung'!$D$11</f>
        <v>147000</v>
      </c>
      <c r="G169" s="494">
        <v>0.93200000000000005</v>
      </c>
      <c r="H169" s="429">
        <f>F169*G169</f>
        <v>137004</v>
      </c>
      <c r="I169" s="503"/>
    </row>
    <row r="170" spans="1:9">
      <c r="A170" s="1159"/>
      <c r="B170" s="1160"/>
      <c r="C170" s="1159"/>
      <c r="D170" s="1159"/>
      <c r="E170" s="1158">
        <v>5</v>
      </c>
      <c r="F170" s="426" t="e">
        <f>(LUONGNGAY!$K$43+LUONGNGAY!$K$52)/2</f>
        <v>#VALUE!</v>
      </c>
      <c r="G170" s="504">
        <f>1.312*2</f>
        <v>2.6240000000000001</v>
      </c>
      <c r="H170" s="429" t="e">
        <f t="shared" si="2"/>
        <v>#VALUE!</v>
      </c>
      <c r="I170" s="505"/>
    </row>
    <row r="171" spans="1:9">
      <c r="A171" s="1159"/>
      <c r="B171" s="1160"/>
      <c r="C171" s="1159"/>
      <c r="D171" s="1159"/>
      <c r="E171" s="1158"/>
      <c r="F171" s="426">
        <f>'He so chung'!$D$11</f>
        <v>147000</v>
      </c>
      <c r="G171" s="494">
        <v>1.0249999999999999</v>
      </c>
      <c r="H171" s="429">
        <f t="shared" si="2"/>
        <v>150675</v>
      </c>
      <c r="I171" s="503"/>
    </row>
    <row r="172" spans="1:9">
      <c r="A172" s="494">
        <v>5</v>
      </c>
      <c r="B172" s="495" t="s">
        <v>579</v>
      </c>
      <c r="C172" s="494"/>
      <c r="D172" s="494"/>
      <c r="E172" s="494"/>
      <c r="F172" s="501"/>
      <c r="G172" s="494"/>
      <c r="H172" s="429">
        <f t="shared" si="2"/>
        <v>0</v>
      </c>
      <c r="I172" s="503"/>
    </row>
    <row r="173" spans="1:9">
      <c r="A173" s="494" t="s">
        <v>461</v>
      </c>
      <c r="B173" s="495" t="s">
        <v>846</v>
      </c>
      <c r="C173" s="494" t="s">
        <v>261</v>
      </c>
      <c r="D173" s="494" t="s">
        <v>842</v>
      </c>
      <c r="E173" s="499" t="s">
        <v>723</v>
      </c>
      <c r="F173" s="426" t="e">
        <f>LUONGNGAY!$K$36</f>
        <v>#VALUE!</v>
      </c>
      <c r="G173" s="494">
        <v>0.05</v>
      </c>
      <c r="H173" s="429" t="e">
        <f t="shared" si="2"/>
        <v>#VALUE!</v>
      </c>
      <c r="I173" s="503"/>
    </row>
    <row r="174" spans="1:9">
      <c r="A174" s="494" t="s">
        <v>462</v>
      </c>
      <c r="B174" s="495" t="s">
        <v>849</v>
      </c>
      <c r="C174" s="494" t="s">
        <v>261</v>
      </c>
      <c r="D174" s="494" t="s">
        <v>842</v>
      </c>
      <c r="E174" s="499" t="s">
        <v>723</v>
      </c>
      <c r="F174" s="426" t="e">
        <f>LUONGNGAY!$K$36</f>
        <v>#VALUE!</v>
      </c>
      <c r="G174" s="494">
        <v>2.5000000000000001E-2</v>
      </c>
      <c r="H174" s="429" t="e">
        <f t="shared" si="2"/>
        <v>#VALUE!</v>
      </c>
      <c r="I174" s="503"/>
    </row>
    <row r="175" spans="1:9">
      <c r="A175" s="494">
        <v>6</v>
      </c>
      <c r="B175" s="495" t="s">
        <v>793</v>
      </c>
      <c r="C175" s="494" t="s">
        <v>481</v>
      </c>
      <c r="D175" s="494" t="s">
        <v>842</v>
      </c>
      <c r="E175" s="499" t="s">
        <v>723</v>
      </c>
      <c r="F175" s="426" t="e">
        <f>LUONGNGAY!$K$36</f>
        <v>#VALUE!</v>
      </c>
      <c r="G175" s="494">
        <v>3.0000000000000001E-3</v>
      </c>
      <c r="H175" s="429" t="e">
        <f t="shared" si="2"/>
        <v>#VALUE!</v>
      </c>
      <c r="I175" s="503"/>
    </row>
    <row r="176" spans="1:9">
      <c r="A176" s="494">
        <v>7</v>
      </c>
      <c r="B176" s="495" t="s">
        <v>148</v>
      </c>
      <c r="C176" s="494" t="s">
        <v>261</v>
      </c>
      <c r="D176" s="494" t="s">
        <v>480</v>
      </c>
      <c r="E176" s="499" t="s">
        <v>723</v>
      </c>
      <c r="F176" s="426" t="e">
        <f>LUONGNGAY!$K$44</f>
        <v>#VALUE!</v>
      </c>
      <c r="G176" s="494">
        <v>0.06</v>
      </c>
      <c r="H176" s="429" t="e">
        <f t="shared" si="2"/>
        <v>#VALUE!</v>
      </c>
      <c r="I176" s="503"/>
    </row>
    <row r="177" spans="1:9">
      <c r="A177" s="494">
        <v>8</v>
      </c>
      <c r="B177" s="495" t="s">
        <v>167</v>
      </c>
      <c r="C177" s="494"/>
      <c r="D177" s="494"/>
      <c r="E177" s="494"/>
      <c r="F177" s="501"/>
      <c r="G177" s="494"/>
      <c r="H177" s="429">
        <f>F177*G177</f>
        <v>0</v>
      </c>
      <c r="I177" s="503"/>
    </row>
    <row r="178" spans="1:9">
      <c r="A178" s="494" t="s">
        <v>191</v>
      </c>
      <c r="B178" s="495" t="s">
        <v>846</v>
      </c>
      <c r="C178" s="494" t="s">
        <v>261</v>
      </c>
      <c r="D178" s="494" t="s">
        <v>842</v>
      </c>
      <c r="E178" s="499" t="s">
        <v>723</v>
      </c>
      <c r="F178" s="426" t="e">
        <f>LUONGNGAY!$K$36</f>
        <v>#VALUE!</v>
      </c>
      <c r="G178" s="494">
        <v>0.2</v>
      </c>
      <c r="H178" s="429" t="e">
        <f t="shared" si="2"/>
        <v>#VALUE!</v>
      </c>
      <c r="I178" s="503"/>
    </row>
    <row r="179" spans="1:9">
      <c r="A179" s="494" t="s">
        <v>192</v>
      </c>
      <c r="B179" s="495" t="s">
        <v>849</v>
      </c>
      <c r="C179" s="494" t="s">
        <v>261</v>
      </c>
      <c r="D179" s="494" t="s">
        <v>842</v>
      </c>
      <c r="E179" s="499" t="s">
        <v>723</v>
      </c>
      <c r="F179" s="426" t="e">
        <f>LUONGNGAY!$K$36</f>
        <v>#VALUE!</v>
      </c>
      <c r="G179" s="494">
        <v>0.15</v>
      </c>
      <c r="H179" s="429" t="e">
        <f t="shared" si="2"/>
        <v>#VALUE!</v>
      </c>
      <c r="I179" s="503"/>
    </row>
    <row r="180" spans="1:9">
      <c r="A180" s="494">
        <v>9</v>
      </c>
      <c r="B180" s="495" t="s">
        <v>149</v>
      </c>
      <c r="C180" s="494" t="s">
        <v>261</v>
      </c>
      <c r="D180" s="494" t="s">
        <v>842</v>
      </c>
      <c r="E180" s="499" t="s">
        <v>723</v>
      </c>
      <c r="F180" s="426" t="e">
        <f>LUONGNGAY!$K$36</f>
        <v>#VALUE!</v>
      </c>
      <c r="G180" s="494">
        <v>0.5</v>
      </c>
      <c r="H180" s="429" t="e">
        <f t="shared" si="2"/>
        <v>#VALUE!</v>
      </c>
      <c r="I180" s="503"/>
    </row>
    <row r="181" spans="1:9" ht="36.75">
      <c r="A181" s="494">
        <v>10</v>
      </c>
      <c r="B181" s="495" t="s">
        <v>794</v>
      </c>
      <c r="C181" s="494" t="s">
        <v>261</v>
      </c>
      <c r="D181" s="494" t="s">
        <v>847</v>
      </c>
      <c r="E181" s="499" t="s">
        <v>723</v>
      </c>
      <c r="F181" s="450" t="e">
        <f>LUONGNGAY!$K$35</f>
        <v>#VALUE!</v>
      </c>
      <c r="G181" s="494">
        <v>0.2</v>
      </c>
      <c r="H181" s="429" t="e">
        <f t="shared" si="2"/>
        <v>#VALUE!</v>
      </c>
      <c r="I181" s="503"/>
    </row>
    <row r="182" spans="1:9" ht="24.75">
      <c r="A182" s="494">
        <v>11</v>
      </c>
      <c r="B182" s="495" t="s">
        <v>795</v>
      </c>
      <c r="C182" s="494" t="s">
        <v>261</v>
      </c>
      <c r="D182" s="494" t="s">
        <v>847</v>
      </c>
      <c r="E182" s="499" t="s">
        <v>723</v>
      </c>
      <c r="F182" s="450" t="e">
        <f>LUONGNGAY!$K$35</f>
        <v>#VALUE!</v>
      </c>
      <c r="G182" s="494">
        <v>0.2</v>
      </c>
      <c r="H182" s="429" t="e">
        <f t="shared" si="2"/>
        <v>#VALUE!</v>
      </c>
      <c r="I182" s="503"/>
    </row>
    <row r="183" spans="1:9">
      <c r="A183" s="500" t="s">
        <v>1005</v>
      </c>
      <c r="B183" s="493" t="s">
        <v>582</v>
      </c>
      <c r="C183" s="494"/>
      <c r="D183" s="494"/>
      <c r="E183" s="494"/>
      <c r="F183" s="501"/>
      <c r="G183" s="494"/>
      <c r="H183" s="429">
        <f t="shared" si="2"/>
        <v>0</v>
      </c>
      <c r="I183" s="503"/>
    </row>
    <row r="184" spans="1:9">
      <c r="A184" s="494">
        <v>1</v>
      </c>
      <c r="B184" s="495" t="s">
        <v>796</v>
      </c>
      <c r="C184" s="494"/>
      <c r="D184" s="494"/>
      <c r="E184" s="494"/>
      <c r="F184" s="501"/>
      <c r="G184" s="494"/>
      <c r="H184" s="429">
        <f t="shared" si="2"/>
        <v>0</v>
      </c>
      <c r="I184" s="503"/>
    </row>
    <row r="185" spans="1:9" ht="24.75">
      <c r="A185" s="494" t="s">
        <v>733</v>
      </c>
      <c r="B185" s="495" t="s">
        <v>797</v>
      </c>
      <c r="C185" s="494" t="s">
        <v>261</v>
      </c>
      <c r="D185" s="494" t="s">
        <v>847</v>
      </c>
      <c r="E185" s="499" t="s">
        <v>723</v>
      </c>
      <c r="F185" s="450" t="e">
        <f>LUONGNGAY!$K$35</f>
        <v>#VALUE!</v>
      </c>
      <c r="G185" s="494">
        <v>0.1</v>
      </c>
      <c r="H185" s="429" t="e">
        <f t="shared" si="2"/>
        <v>#VALUE!</v>
      </c>
      <c r="I185" s="503"/>
    </row>
    <row r="186" spans="1:9" ht="24.75">
      <c r="A186" s="494" t="s">
        <v>741</v>
      </c>
      <c r="B186" s="495" t="s">
        <v>798</v>
      </c>
      <c r="C186" s="494"/>
      <c r="D186" s="494"/>
      <c r="E186" s="494"/>
      <c r="F186" s="501"/>
      <c r="G186" s="494"/>
      <c r="H186" s="429">
        <f>F186*G186</f>
        <v>0</v>
      </c>
      <c r="I186" s="503"/>
    </row>
    <row r="187" spans="1:9">
      <c r="A187" s="494" t="s">
        <v>799</v>
      </c>
      <c r="B187" s="495" t="s">
        <v>846</v>
      </c>
      <c r="C187" s="494" t="s">
        <v>261</v>
      </c>
      <c r="D187" s="494" t="s">
        <v>847</v>
      </c>
      <c r="E187" s="499" t="s">
        <v>723</v>
      </c>
      <c r="F187" s="450" t="e">
        <f>LUONGNGAY!$K$35</f>
        <v>#VALUE!</v>
      </c>
      <c r="G187" s="494">
        <v>0.5</v>
      </c>
      <c r="H187" s="429" t="e">
        <f t="shared" si="2"/>
        <v>#VALUE!</v>
      </c>
      <c r="I187" s="503"/>
    </row>
    <row r="188" spans="1:9">
      <c r="A188" s="494" t="s">
        <v>800</v>
      </c>
      <c r="B188" s="495" t="s">
        <v>849</v>
      </c>
      <c r="C188" s="494" t="s">
        <v>261</v>
      </c>
      <c r="D188" s="494" t="s">
        <v>847</v>
      </c>
      <c r="E188" s="499" t="s">
        <v>723</v>
      </c>
      <c r="F188" s="450" t="e">
        <f>LUONGNGAY!$K$35</f>
        <v>#VALUE!</v>
      </c>
      <c r="G188" s="494">
        <v>0.25</v>
      </c>
      <c r="H188" s="429" t="e">
        <f t="shared" si="2"/>
        <v>#VALUE!</v>
      </c>
      <c r="I188" s="503"/>
    </row>
    <row r="189" spans="1:9" ht="24.75">
      <c r="A189" s="494">
        <v>2</v>
      </c>
      <c r="B189" s="495" t="s">
        <v>801</v>
      </c>
      <c r="C189" s="494"/>
      <c r="D189" s="494"/>
      <c r="E189" s="494"/>
      <c r="F189" s="501"/>
      <c r="G189" s="494"/>
      <c r="H189" s="429">
        <f t="shared" si="2"/>
        <v>0</v>
      </c>
      <c r="I189" s="503"/>
    </row>
    <row r="190" spans="1:9" ht="19.5" customHeight="1">
      <c r="A190" s="494" t="s">
        <v>742</v>
      </c>
      <c r="B190" s="495" t="s">
        <v>846</v>
      </c>
      <c r="C190" s="494" t="s">
        <v>261</v>
      </c>
      <c r="D190" s="494" t="s">
        <v>847</v>
      </c>
      <c r="E190" s="499" t="s">
        <v>723</v>
      </c>
      <c r="F190" s="450" t="e">
        <f>LUONGNGAY!$K$35</f>
        <v>#VALUE!</v>
      </c>
      <c r="G190" s="494">
        <v>0.05</v>
      </c>
      <c r="H190" s="429" t="e">
        <f t="shared" si="2"/>
        <v>#VALUE!</v>
      </c>
      <c r="I190" s="503"/>
    </row>
    <row r="191" spans="1:9">
      <c r="A191" s="494" t="s">
        <v>743</v>
      </c>
      <c r="B191" s="495" t="s">
        <v>849</v>
      </c>
      <c r="C191" s="494" t="s">
        <v>261</v>
      </c>
      <c r="D191" s="494" t="s">
        <v>847</v>
      </c>
      <c r="E191" s="499" t="s">
        <v>723</v>
      </c>
      <c r="F191" s="450" t="e">
        <f>LUONGNGAY!$K$35</f>
        <v>#VALUE!</v>
      </c>
      <c r="G191" s="494">
        <v>0.05</v>
      </c>
      <c r="H191" s="429" t="e">
        <f t="shared" si="2"/>
        <v>#VALUE!</v>
      </c>
      <c r="I191" s="503"/>
    </row>
    <row r="192" spans="1:9">
      <c r="A192" s="494">
        <v>3</v>
      </c>
      <c r="B192" s="495" t="s">
        <v>584</v>
      </c>
      <c r="C192" s="494" t="s">
        <v>261</v>
      </c>
      <c r="D192" s="494" t="s">
        <v>842</v>
      </c>
      <c r="E192" s="499" t="s">
        <v>723</v>
      </c>
      <c r="F192" s="426" t="e">
        <f>LUONGNGAY!$K$36</f>
        <v>#VALUE!</v>
      </c>
      <c r="G192" s="494">
        <v>0</v>
      </c>
      <c r="H192" s="429" t="e">
        <f t="shared" si="2"/>
        <v>#VALUE!</v>
      </c>
      <c r="I192" s="503"/>
    </row>
    <row r="193" spans="1:9" ht="24.75">
      <c r="A193" s="494">
        <v>4</v>
      </c>
      <c r="B193" s="495" t="s">
        <v>585</v>
      </c>
      <c r="C193" s="494" t="s">
        <v>261</v>
      </c>
      <c r="D193" s="494" t="s">
        <v>842</v>
      </c>
      <c r="E193" s="499" t="s">
        <v>723</v>
      </c>
      <c r="F193" s="426" t="e">
        <f>LUONGNGAY!$K$36</f>
        <v>#VALUE!</v>
      </c>
      <c r="G193" s="494">
        <v>0.5</v>
      </c>
      <c r="H193" s="429" t="e">
        <f t="shared" si="2"/>
        <v>#VALUE!</v>
      </c>
      <c r="I193" s="503"/>
    </row>
    <row r="194" spans="1:9">
      <c r="A194" s="494">
        <v>5</v>
      </c>
      <c r="B194" s="495" t="s">
        <v>2</v>
      </c>
      <c r="C194" s="494" t="s">
        <v>481</v>
      </c>
      <c r="D194" s="494" t="s">
        <v>842</v>
      </c>
      <c r="E194" s="499" t="s">
        <v>723</v>
      </c>
      <c r="F194" s="426" t="e">
        <f>LUONGNGAY!$K$36</f>
        <v>#VALUE!</v>
      </c>
      <c r="G194" s="494">
        <v>6.0000000000000001E-3</v>
      </c>
      <c r="H194" s="429" t="e">
        <f t="shared" si="2"/>
        <v>#VALUE!</v>
      </c>
      <c r="I194" s="503"/>
    </row>
    <row r="195" spans="1:9" ht="36.75">
      <c r="A195" s="494">
        <v>6</v>
      </c>
      <c r="B195" s="495" t="s">
        <v>802</v>
      </c>
      <c r="C195" s="494"/>
      <c r="D195" s="494"/>
      <c r="E195" s="494"/>
      <c r="F195" s="501"/>
      <c r="G195" s="494"/>
      <c r="H195" s="429">
        <f t="shared" si="2"/>
        <v>0</v>
      </c>
      <c r="I195" s="503"/>
    </row>
    <row r="196" spans="1:9">
      <c r="A196" s="494" t="s">
        <v>661</v>
      </c>
      <c r="B196" s="495" t="s">
        <v>587</v>
      </c>
      <c r="C196" s="494" t="s">
        <v>481</v>
      </c>
      <c r="D196" s="494" t="s">
        <v>847</v>
      </c>
      <c r="E196" s="499" t="s">
        <v>723</v>
      </c>
      <c r="F196" s="450" t="e">
        <f>LUONGNGAY!$K$35</f>
        <v>#VALUE!</v>
      </c>
      <c r="G196" s="494">
        <v>0.05</v>
      </c>
      <c r="H196" s="429" t="e">
        <f t="shared" si="2"/>
        <v>#VALUE!</v>
      </c>
      <c r="I196" s="503"/>
    </row>
    <row r="197" spans="1:9">
      <c r="A197" s="494" t="s">
        <v>662</v>
      </c>
      <c r="B197" s="495" t="s">
        <v>588</v>
      </c>
      <c r="C197" s="494" t="s">
        <v>481</v>
      </c>
      <c r="D197" s="494" t="s">
        <v>847</v>
      </c>
      <c r="E197" s="499" t="s">
        <v>723</v>
      </c>
      <c r="F197" s="450" t="e">
        <f>LUONGNGAY!$K$35</f>
        <v>#VALUE!</v>
      </c>
      <c r="G197" s="494">
        <v>0.1</v>
      </c>
      <c r="H197" s="429" t="e">
        <f t="shared" si="2"/>
        <v>#VALUE!</v>
      </c>
      <c r="I197" s="503"/>
    </row>
    <row r="198" spans="1:9" ht="24.75">
      <c r="A198" s="494">
        <v>7</v>
      </c>
      <c r="B198" s="495" t="s">
        <v>589</v>
      </c>
      <c r="C198" s="494"/>
      <c r="D198" s="494"/>
      <c r="E198" s="494"/>
      <c r="F198" s="501"/>
      <c r="G198" s="494"/>
      <c r="H198" s="429">
        <f t="shared" si="2"/>
        <v>0</v>
      </c>
      <c r="I198" s="503"/>
    </row>
    <row r="199" spans="1:9">
      <c r="A199" s="494" t="s">
        <v>714</v>
      </c>
      <c r="B199" s="495" t="s">
        <v>590</v>
      </c>
      <c r="C199" s="494" t="s">
        <v>261</v>
      </c>
      <c r="D199" s="494" t="s">
        <v>842</v>
      </c>
      <c r="E199" s="499" t="s">
        <v>723</v>
      </c>
      <c r="F199" s="426" t="e">
        <f>LUONGNGAY!$K$36</f>
        <v>#VALUE!</v>
      </c>
      <c r="G199" s="494">
        <v>0.1</v>
      </c>
      <c r="H199" s="429" t="e">
        <f t="shared" si="2"/>
        <v>#VALUE!</v>
      </c>
      <c r="I199" s="503"/>
    </row>
    <row r="200" spans="1:9">
      <c r="A200" s="494" t="s">
        <v>715</v>
      </c>
      <c r="B200" s="495" t="s">
        <v>591</v>
      </c>
      <c r="C200" s="494" t="s">
        <v>261</v>
      </c>
      <c r="D200" s="494" t="s">
        <v>842</v>
      </c>
      <c r="E200" s="499" t="s">
        <v>723</v>
      </c>
      <c r="F200" s="426" t="e">
        <f>LUONGNGAY!$K$36</f>
        <v>#VALUE!</v>
      </c>
      <c r="G200" s="494">
        <v>0.2</v>
      </c>
      <c r="H200" s="429" t="e">
        <f t="shared" si="2"/>
        <v>#VALUE!</v>
      </c>
      <c r="I200" s="503"/>
    </row>
    <row r="201" spans="1:9">
      <c r="A201" s="494">
        <v>8</v>
      </c>
      <c r="B201" s="495" t="s">
        <v>803</v>
      </c>
      <c r="C201" s="494"/>
      <c r="D201" s="494"/>
      <c r="E201" s="494"/>
      <c r="F201" s="501"/>
      <c r="G201" s="494"/>
      <c r="H201" s="429">
        <f t="shared" si="2"/>
        <v>0</v>
      </c>
      <c r="I201" s="503"/>
    </row>
    <row r="202" spans="1:9" ht="36.75">
      <c r="A202" s="494" t="s">
        <v>191</v>
      </c>
      <c r="B202" s="495" t="s">
        <v>804</v>
      </c>
      <c r="C202" s="494"/>
      <c r="D202" s="494"/>
      <c r="E202" s="494"/>
      <c r="F202" s="501"/>
      <c r="G202" s="494"/>
      <c r="H202" s="429">
        <f t="shared" si="2"/>
        <v>0</v>
      </c>
      <c r="I202" s="503"/>
    </row>
    <row r="203" spans="1:9">
      <c r="A203" s="494" t="s">
        <v>805</v>
      </c>
      <c r="B203" s="495" t="s">
        <v>846</v>
      </c>
      <c r="C203" s="494" t="s">
        <v>261</v>
      </c>
      <c r="D203" s="494" t="s">
        <v>847</v>
      </c>
      <c r="E203" s="499" t="s">
        <v>723</v>
      </c>
      <c r="F203" s="450" t="e">
        <f>LUONGNGAY!$K$35</f>
        <v>#VALUE!</v>
      </c>
      <c r="G203" s="494">
        <v>0.2</v>
      </c>
      <c r="H203" s="429" t="e">
        <f t="shared" si="2"/>
        <v>#VALUE!</v>
      </c>
      <c r="I203" s="503"/>
    </row>
    <row r="204" spans="1:9">
      <c r="A204" s="494" t="s">
        <v>806</v>
      </c>
      <c r="B204" s="495" t="s">
        <v>849</v>
      </c>
      <c r="C204" s="494" t="s">
        <v>261</v>
      </c>
      <c r="D204" s="494" t="s">
        <v>847</v>
      </c>
      <c r="E204" s="499" t="s">
        <v>723</v>
      </c>
      <c r="F204" s="450" t="e">
        <f>LUONGNGAY!$K$35</f>
        <v>#VALUE!</v>
      </c>
      <c r="G204" s="494">
        <v>0.1</v>
      </c>
      <c r="H204" s="429" t="e">
        <f t="shared" si="2"/>
        <v>#VALUE!</v>
      </c>
      <c r="I204" s="503"/>
    </row>
    <row r="205" spans="1:9" ht="36.75">
      <c r="A205" s="494" t="s">
        <v>192</v>
      </c>
      <c r="B205" s="495" t="s">
        <v>867</v>
      </c>
      <c r="C205" s="494"/>
      <c r="D205" s="494"/>
      <c r="E205" s="494"/>
      <c r="F205" s="501"/>
      <c r="G205" s="494"/>
      <c r="H205" s="429">
        <f t="shared" si="2"/>
        <v>0</v>
      </c>
      <c r="I205" s="503"/>
    </row>
    <row r="206" spans="1:9">
      <c r="A206" s="494" t="s">
        <v>659</v>
      </c>
      <c r="B206" s="495" t="s">
        <v>846</v>
      </c>
      <c r="C206" s="494" t="s">
        <v>261</v>
      </c>
      <c r="D206" s="494" t="s">
        <v>847</v>
      </c>
      <c r="E206" s="499" t="s">
        <v>723</v>
      </c>
      <c r="F206" s="450" t="e">
        <f>LUONGNGAY!$K$35</f>
        <v>#VALUE!</v>
      </c>
      <c r="G206" s="494">
        <v>0.2</v>
      </c>
      <c r="H206" s="429" t="e">
        <f t="shared" si="2"/>
        <v>#VALUE!</v>
      </c>
      <c r="I206" s="503"/>
    </row>
    <row r="207" spans="1:9">
      <c r="A207" s="494" t="s">
        <v>660</v>
      </c>
      <c r="B207" s="495" t="s">
        <v>849</v>
      </c>
      <c r="C207" s="494" t="s">
        <v>261</v>
      </c>
      <c r="D207" s="494" t="s">
        <v>847</v>
      </c>
      <c r="E207" s="499" t="s">
        <v>723</v>
      </c>
      <c r="F207" s="450" t="e">
        <f>LUONGNGAY!$K$35</f>
        <v>#VALUE!</v>
      </c>
      <c r="G207" s="494">
        <v>0.1</v>
      </c>
      <c r="H207" s="429" t="e">
        <f t="shared" si="2"/>
        <v>#VALUE!</v>
      </c>
      <c r="I207" s="503"/>
    </row>
    <row r="208" spans="1:9">
      <c r="A208" s="494">
        <v>9</v>
      </c>
      <c r="B208" s="495" t="s">
        <v>78</v>
      </c>
      <c r="C208" s="494" t="s">
        <v>481</v>
      </c>
      <c r="D208" s="494" t="s">
        <v>842</v>
      </c>
      <c r="E208" s="499" t="s">
        <v>723</v>
      </c>
      <c r="F208" s="426" t="e">
        <f>LUONGNGAY!$K$36</f>
        <v>#VALUE!</v>
      </c>
      <c r="G208" s="494">
        <v>0.03</v>
      </c>
      <c r="H208" s="429" t="e">
        <f t="shared" si="2"/>
        <v>#VALUE!</v>
      </c>
      <c r="I208" s="503"/>
    </row>
    <row r="209" spans="1:9">
      <c r="A209" s="494">
        <v>10</v>
      </c>
      <c r="B209" s="495" t="s">
        <v>260</v>
      </c>
      <c r="C209" s="494" t="s">
        <v>79</v>
      </c>
      <c r="D209" s="494" t="s">
        <v>842</v>
      </c>
      <c r="E209" s="499" t="s">
        <v>723</v>
      </c>
      <c r="F209" s="426" t="e">
        <f>LUONGNGAY!$K$36</f>
        <v>#VALUE!</v>
      </c>
      <c r="G209" s="494">
        <v>0.2</v>
      </c>
      <c r="H209" s="429" t="e">
        <f t="shared" si="2"/>
        <v>#VALUE!</v>
      </c>
      <c r="I209" s="503"/>
    </row>
    <row r="210" spans="1:9">
      <c r="A210" s="494">
        <v>11</v>
      </c>
      <c r="B210" s="495" t="s">
        <v>80</v>
      </c>
      <c r="C210" s="494"/>
      <c r="D210" s="494"/>
      <c r="E210" s="494"/>
      <c r="F210" s="501"/>
      <c r="G210" s="494"/>
      <c r="H210" s="429">
        <f t="shared" si="2"/>
        <v>0</v>
      </c>
      <c r="I210" s="503"/>
    </row>
    <row r="211" spans="1:9">
      <c r="A211" s="494" t="s">
        <v>719</v>
      </c>
      <c r="B211" s="495" t="s">
        <v>82</v>
      </c>
      <c r="C211" s="494" t="s">
        <v>559</v>
      </c>
      <c r="D211" s="494" t="s">
        <v>847</v>
      </c>
      <c r="E211" s="499" t="s">
        <v>723</v>
      </c>
      <c r="F211" s="450" t="e">
        <f>LUONGNGAY!$K$35</f>
        <v>#VALUE!</v>
      </c>
      <c r="G211" s="494">
        <v>0.1</v>
      </c>
      <c r="H211" s="429" t="e">
        <f t="shared" si="2"/>
        <v>#VALUE!</v>
      </c>
      <c r="I211" s="503"/>
    </row>
    <row r="212" spans="1:9">
      <c r="A212" s="494" t="s">
        <v>720</v>
      </c>
      <c r="B212" s="495" t="s">
        <v>84</v>
      </c>
      <c r="C212" s="494" t="s">
        <v>559</v>
      </c>
      <c r="D212" s="494" t="s">
        <v>847</v>
      </c>
      <c r="E212" s="499" t="s">
        <v>723</v>
      </c>
      <c r="F212" s="450" t="e">
        <f>LUONGNGAY!$K$35</f>
        <v>#VALUE!</v>
      </c>
      <c r="G212" s="494">
        <v>0.15</v>
      </c>
      <c r="H212" s="429" t="e">
        <f t="shared" si="2"/>
        <v>#VALUE!</v>
      </c>
      <c r="I212" s="503"/>
    </row>
    <row r="213" spans="1:9">
      <c r="A213" s="494">
        <v>12</v>
      </c>
      <c r="B213" s="495" t="s">
        <v>85</v>
      </c>
      <c r="C213" s="494" t="s">
        <v>261</v>
      </c>
      <c r="D213" s="494" t="s">
        <v>847</v>
      </c>
      <c r="E213" s="499" t="s">
        <v>723</v>
      </c>
      <c r="F213" s="450" t="e">
        <f>LUONGNGAY!$K$35</f>
        <v>#VALUE!</v>
      </c>
      <c r="G213" s="494">
        <v>0.3</v>
      </c>
      <c r="H213" s="429" t="e">
        <f t="shared" si="2"/>
        <v>#VALUE!</v>
      </c>
      <c r="I213" s="503"/>
    </row>
    <row r="214" spans="1:9" ht="24.75">
      <c r="A214" s="494">
        <v>13</v>
      </c>
      <c r="B214" s="495" t="s">
        <v>868</v>
      </c>
      <c r="C214" s="494" t="s">
        <v>261</v>
      </c>
      <c r="D214" s="494" t="s">
        <v>847</v>
      </c>
      <c r="E214" s="499" t="s">
        <v>723</v>
      </c>
      <c r="F214" s="450" t="e">
        <f>LUONGNGAY!$K$35</f>
        <v>#VALUE!</v>
      </c>
      <c r="G214" s="494">
        <v>0.17</v>
      </c>
      <c r="H214" s="429" t="e">
        <f t="shared" si="2"/>
        <v>#VALUE!</v>
      </c>
      <c r="I214" s="503"/>
    </row>
    <row r="215" spans="1:9">
      <c r="A215" s="494">
        <v>14</v>
      </c>
      <c r="B215" s="495" t="s">
        <v>87</v>
      </c>
      <c r="C215" s="494" t="s">
        <v>481</v>
      </c>
      <c r="D215" s="494" t="s">
        <v>842</v>
      </c>
      <c r="E215" s="499" t="s">
        <v>723</v>
      </c>
      <c r="F215" s="426" t="e">
        <f>LUONGNGAY!$K$36</f>
        <v>#VALUE!</v>
      </c>
      <c r="G215" s="494">
        <v>3.3000000000000002E-2</v>
      </c>
      <c r="H215" s="429" t="e">
        <f t="shared" si="2"/>
        <v>#VALUE!</v>
      </c>
      <c r="I215" s="503"/>
    </row>
    <row r="216" spans="1:9">
      <c r="A216" s="494">
        <v>15</v>
      </c>
      <c r="B216" s="495" t="s">
        <v>88</v>
      </c>
      <c r="C216" s="494"/>
      <c r="D216" s="494"/>
      <c r="E216" s="494"/>
      <c r="F216" s="501"/>
      <c r="G216" s="494"/>
      <c r="H216" s="429">
        <f t="shared" si="2"/>
        <v>0</v>
      </c>
      <c r="I216" s="503"/>
    </row>
    <row r="217" spans="1:9" ht="24.75">
      <c r="A217" s="494" t="s">
        <v>869</v>
      </c>
      <c r="B217" s="495" t="s">
        <v>775</v>
      </c>
      <c r="C217" s="494"/>
      <c r="D217" s="494"/>
      <c r="E217" s="494"/>
      <c r="F217" s="501"/>
      <c r="G217" s="494"/>
      <c r="H217" s="429">
        <f t="shared" si="2"/>
        <v>0</v>
      </c>
      <c r="I217" s="503"/>
    </row>
    <row r="218" spans="1:9">
      <c r="A218" s="494" t="s">
        <v>870</v>
      </c>
      <c r="B218" s="495" t="s">
        <v>777</v>
      </c>
      <c r="C218" s="494" t="s">
        <v>778</v>
      </c>
      <c r="D218" s="494" t="s">
        <v>779</v>
      </c>
      <c r="E218" s="499" t="s">
        <v>723</v>
      </c>
      <c r="F218" s="426" t="e">
        <f>LUONGNGAY!$K$34</f>
        <v>#VALUE!</v>
      </c>
      <c r="G218" s="494">
        <v>1.6E-2</v>
      </c>
      <c r="H218" s="429" t="e">
        <f t="shared" si="2"/>
        <v>#VALUE!</v>
      </c>
      <c r="I218" s="503"/>
    </row>
    <row r="219" spans="1:9">
      <c r="A219" s="494" t="s">
        <v>871</v>
      </c>
      <c r="B219" s="495" t="s">
        <v>781</v>
      </c>
      <c r="C219" s="494" t="s">
        <v>778</v>
      </c>
      <c r="D219" s="494" t="s">
        <v>779</v>
      </c>
      <c r="E219" s="499" t="s">
        <v>723</v>
      </c>
      <c r="F219" s="426" t="e">
        <f>LUONGNGAY!$K$34</f>
        <v>#VALUE!</v>
      </c>
      <c r="G219" s="494">
        <v>8.0000000000000002E-3</v>
      </c>
      <c r="H219" s="429" t="e">
        <f t="shared" si="2"/>
        <v>#VALUE!</v>
      </c>
      <c r="I219" s="503"/>
    </row>
    <row r="220" spans="1:9" ht="24.75">
      <c r="A220" s="494" t="s">
        <v>872</v>
      </c>
      <c r="B220" s="495" t="s">
        <v>861</v>
      </c>
      <c r="C220" s="494" t="s">
        <v>778</v>
      </c>
      <c r="D220" s="494" t="s">
        <v>779</v>
      </c>
      <c r="E220" s="499" t="s">
        <v>723</v>
      </c>
      <c r="F220" s="426" t="e">
        <f>LUONGNGAY!$K$34</f>
        <v>#VALUE!</v>
      </c>
      <c r="G220" s="494">
        <v>4.0000000000000001E-3</v>
      </c>
      <c r="H220" s="429" t="e">
        <f t="shared" si="2"/>
        <v>#VALUE!</v>
      </c>
      <c r="I220" s="503"/>
    </row>
    <row r="221" spans="1:9">
      <c r="A221" s="494" t="s">
        <v>873</v>
      </c>
      <c r="B221" s="495" t="s">
        <v>863</v>
      </c>
      <c r="C221" s="494" t="s">
        <v>481</v>
      </c>
      <c r="D221" s="494" t="s">
        <v>779</v>
      </c>
      <c r="E221" s="499" t="s">
        <v>723</v>
      </c>
      <c r="F221" s="426" t="e">
        <f>LUONGNGAY!$K$34</f>
        <v>#VALUE!</v>
      </c>
      <c r="G221" s="494">
        <v>0.01</v>
      </c>
      <c r="H221" s="429" t="e">
        <f t="shared" si="2"/>
        <v>#VALUE!</v>
      </c>
      <c r="I221" s="503"/>
    </row>
    <row r="222" spans="1:9" ht="24.75">
      <c r="A222" s="494">
        <v>16</v>
      </c>
      <c r="B222" s="495" t="s">
        <v>874</v>
      </c>
      <c r="C222" s="494" t="s">
        <v>261</v>
      </c>
      <c r="D222" s="494" t="s">
        <v>847</v>
      </c>
      <c r="E222" s="499" t="s">
        <v>723</v>
      </c>
      <c r="F222" s="450" t="e">
        <f>LUONGNGAY!$K$35</f>
        <v>#VALUE!</v>
      </c>
      <c r="G222" s="494">
        <v>0.2</v>
      </c>
      <c r="H222" s="429" t="e">
        <f t="shared" si="2"/>
        <v>#VALUE!</v>
      </c>
      <c r="I222" s="503"/>
    </row>
    <row r="223" spans="1:9">
      <c r="A223" s="494">
        <v>17</v>
      </c>
      <c r="B223" s="495" t="s">
        <v>875</v>
      </c>
      <c r="C223" s="494"/>
      <c r="D223" s="494"/>
      <c r="E223" s="494"/>
      <c r="F223" s="501"/>
      <c r="G223" s="494"/>
      <c r="H223" s="429">
        <f>F223*G223</f>
        <v>0</v>
      </c>
      <c r="I223" s="503"/>
    </row>
    <row r="224" spans="1:9">
      <c r="A224" s="494" t="s">
        <v>876</v>
      </c>
      <c r="B224" s="495" t="s">
        <v>875</v>
      </c>
      <c r="C224" s="494" t="s">
        <v>261</v>
      </c>
      <c r="D224" s="494" t="s">
        <v>847</v>
      </c>
      <c r="E224" s="499" t="s">
        <v>723</v>
      </c>
      <c r="F224" s="450" t="e">
        <f>LUONGNGAY!$K$35</f>
        <v>#VALUE!</v>
      </c>
      <c r="G224" s="494">
        <v>0.1</v>
      </c>
      <c r="H224" s="429" t="e">
        <f>F224*G224</f>
        <v>#VALUE!</v>
      </c>
      <c r="I224" s="503"/>
    </row>
    <row r="225" spans="1:9" ht="24.75">
      <c r="A225" s="494" t="s">
        <v>877</v>
      </c>
      <c r="B225" s="495" t="s">
        <v>878</v>
      </c>
      <c r="C225" s="494" t="s">
        <v>261</v>
      </c>
      <c r="D225" s="494" t="s">
        <v>847</v>
      </c>
      <c r="E225" s="499" t="s">
        <v>723</v>
      </c>
      <c r="F225" s="450" t="e">
        <f>LUONGNGAY!$K$35</f>
        <v>#VALUE!</v>
      </c>
      <c r="G225" s="494">
        <v>0.1</v>
      </c>
      <c r="H225" s="429" t="e">
        <f>F225*G225</f>
        <v>#VALUE!</v>
      </c>
      <c r="I225" s="503"/>
    </row>
    <row r="226" spans="1:9">
      <c r="A226" s="500" t="s">
        <v>755</v>
      </c>
      <c r="B226" s="493" t="s">
        <v>339</v>
      </c>
      <c r="C226" s="494"/>
      <c r="D226" s="494"/>
      <c r="E226" s="494"/>
      <c r="F226" s="501"/>
      <c r="G226" s="494"/>
      <c r="H226" s="429">
        <f>F226*G226</f>
        <v>0</v>
      </c>
      <c r="I226" s="503"/>
    </row>
    <row r="227" spans="1:9" ht="24.75">
      <c r="A227" s="494">
        <v>1</v>
      </c>
      <c r="B227" s="495" t="s">
        <v>879</v>
      </c>
      <c r="C227" s="494" t="s">
        <v>261</v>
      </c>
      <c r="D227" s="494" t="s">
        <v>842</v>
      </c>
      <c r="E227" s="499" t="s">
        <v>723</v>
      </c>
      <c r="F227" s="506" t="e">
        <f>F215</f>
        <v>#VALUE!</v>
      </c>
      <c r="G227" s="494">
        <v>0.2</v>
      </c>
      <c r="H227" s="429" t="e">
        <f>F227*G227</f>
        <v>#VALUE!</v>
      </c>
      <c r="I227" s="503"/>
    </row>
    <row r="228" spans="1:9">
      <c r="A228" s="437"/>
      <c r="B228" s="445"/>
      <c r="C228" s="439"/>
      <c r="D228" s="439"/>
      <c r="E228" s="441"/>
      <c r="F228" s="446"/>
      <c r="G228" s="451"/>
      <c r="H228" s="448"/>
    </row>
    <row r="229" spans="1:9" ht="16.5" customHeight="1">
      <c r="A229" s="1151" t="s">
        <v>712</v>
      </c>
      <c r="B229" s="1151"/>
      <c r="C229" s="1151"/>
      <c r="D229" s="1151"/>
      <c r="E229" s="1151"/>
      <c r="F229" s="1151"/>
      <c r="G229" s="1151"/>
      <c r="H229" s="1151"/>
    </row>
    <row r="230" spans="1:9">
      <c r="A230" s="414"/>
      <c r="B230" s="415"/>
      <c r="E230" s="417"/>
      <c r="F230" s="418"/>
      <c r="G230" s="417"/>
      <c r="H230" s="419"/>
    </row>
    <row r="231" spans="1:9" ht="25.5">
      <c r="A231" s="422" t="s">
        <v>979</v>
      </c>
      <c r="B231" s="422" t="s">
        <v>198</v>
      </c>
      <c r="C231" s="423" t="s">
        <v>479</v>
      </c>
      <c r="D231" s="423" t="s">
        <v>478</v>
      </c>
      <c r="E231" s="423" t="s">
        <v>199</v>
      </c>
      <c r="F231" s="424" t="s">
        <v>483</v>
      </c>
      <c r="G231" s="423" t="s">
        <v>482</v>
      </c>
      <c r="H231" s="423" t="s">
        <v>200</v>
      </c>
      <c r="I231" s="449"/>
    </row>
    <row r="232" spans="1:9">
      <c r="A232" s="500" t="s">
        <v>1000</v>
      </c>
      <c r="B232" s="493" t="s">
        <v>460</v>
      </c>
      <c r="C232" s="494"/>
      <c r="D232" s="494"/>
      <c r="E232" s="494"/>
      <c r="F232" s="501"/>
      <c r="G232" s="494"/>
      <c r="H232" s="500"/>
      <c r="I232" s="502"/>
    </row>
    <row r="233" spans="1:9">
      <c r="A233" s="494">
        <v>1</v>
      </c>
      <c r="B233" s="495" t="s">
        <v>844</v>
      </c>
      <c r="C233" s="494"/>
      <c r="D233" s="494"/>
      <c r="E233" s="494"/>
      <c r="F233" s="501"/>
      <c r="G233" s="494"/>
      <c r="H233" s="452"/>
      <c r="I233" s="449"/>
    </row>
    <row r="234" spans="1:9">
      <c r="A234" s="494" t="s">
        <v>733</v>
      </c>
      <c r="B234" s="495" t="s">
        <v>846</v>
      </c>
      <c r="C234" s="494" t="s">
        <v>261</v>
      </c>
      <c r="D234" s="494" t="s">
        <v>847</v>
      </c>
      <c r="E234" s="499" t="s">
        <v>723</v>
      </c>
      <c r="F234" s="450" t="e">
        <f>LUONGNGAY!$K$35</f>
        <v>#VALUE!</v>
      </c>
      <c r="G234" s="494">
        <v>0.2</v>
      </c>
      <c r="H234" s="429" t="e">
        <f>F234*G234</f>
        <v>#VALUE!</v>
      </c>
      <c r="I234" s="503"/>
    </row>
    <row r="235" spans="1:9">
      <c r="A235" s="494" t="s">
        <v>741</v>
      </c>
      <c r="B235" s="495" t="s">
        <v>849</v>
      </c>
      <c r="C235" s="494" t="s">
        <v>261</v>
      </c>
      <c r="D235" s="494" t="s">
        <v>847</v>
      </c>
      <c r="E235" s="499" t="s">
        <v>723</v>
      </c>
      <c r="F235" s="450" t="e">
        <f>LUONGNGAY!$K$35</f>
        <v>#VALUE!</v>
      </c>
      <c r="G235" s="494">
        <v>0.15</v>
      </c>
      <c r="H235" s="429" t="e">
        <f t="shared" ref="H235:H298" si="3">F235*G235</f>
        <v>#VALUE!</v>
      </c>
      <c r="I235" s="503"/>
    </row>
    <row r="236" spans="1:9" ht="24.75">
      <c r="A236" s="494">
        <v>2</v>
      </c>
      <c r="B236" s="495" t="s">
        <v>850</v>
      </c>
      <c r="C236" s="494" t="s">
        <v>261</v>
      </c>
      <c r="D236" s="494" t="s">
        <v>847</v>
      </c>
      <c r="E236" s="499" t="s">
        <v>723</v>
      </c>
      <c r="F236" s="450" t="e">
        <f>LUONGNGAY!$K$35</f>
        <v>#VALUE!</v>
      </c>
      <c r="G236" s="494">
        <v>0.1</v>
      </c>
      <c r="H236" s="429" t="e">
        <f t="shared" si="3"/>
        <v>#VALUE!</v>
      </c>
      <c r="I236" s="503"/>
    </row>
    <row r="237" spans="1:9" ht="24.75">
      <c r="A237" s="494">
        <v>3</v>
      </c>
      <c r="B237" s="495" t="s">
        <v>851</v>
      </c>
      <c r="C237" s="494" t="s">
        <v>481</v>
      </c>
      <c r="D237" s="494" t="s">
        <v>842</v>
      </c>
      <c r="E237" s="499" t="s">
        <v>723</v>
      </c>
      <c r="F237" s="426" t="e">
        <f>LUONGNGAY!$K$36</f>
        <v>#VALUE!</v>
      </c>
      <c r="G237" s="494">
        <v>3.3000000000000002E-2</v>
      </c>
      <c r="H237" s="429" t="e">
        <f t="shared" si="3"/>
        <v>#VALUE!</v>
      </c>
      <c r="I237" s="503"/>
    </row>
    <row r="238" spans="1:9" ht="16.5" customHeight="1">
      <c r="A238" s="1159">
        <v>4</v>
      </c>
      <c r="B238" s="1160" t="s">
        <v>852</v>
      </c>
      <c r="C238" s="1159" t="s">
        <v>261</v>
      </c>
      <c r="D238" s="1159" t="s">
        <v>880</v>
      </c>
      <c r="E238" s="1158">
        <v>1</v>
      </c>
      <c r="F238" s="426" t="e">
        <f>(LUONGNGAY!$K$35+LUONGNGAY!$K$44)/2</f>
        <v>#VALUE!</v>
      </c>
      <c r="G238" s="504">
        <f>0.9*2</f>
        <v>1.8</v>
      </c>
      <c r="H238" s="429" t="e">
        <f t="shared" si="3"/>
        <v>#VALUE!</v>
      </c>
      <c r="I238" s="505"/>
    </row>
    <row r="239" spans="1:9">
      <c r="A239" s="1159"/>
      <c r="B239" s="1160"/>
      <c r="C239" s="1159"/>
      <c r="D239" s="1159"/>
      <c r="E239" s="1158"/>
      <c r="F239" s="426">
        <f>'He so chung'!$D$11</f>
        <v>147000</v>
      </c>
      <c r="G239" s="494">
        <v>0.7</v>
      </c>
      <c r="H239" s="429">
        <f t="shared" si="3"/>
        <v>102900</v>
      </c>
      <c r="I239" s="503"/>
    </row>
    <row r="240" spans="1:9">
      <c r="A240" s="1159"/>
      <c r="B240" s="1160"/>
      <c r="C240" s="1159"/>
      <c r="D240" s="1159"/>
      <c r="E240" s="1158">
        <v>2</v>
      </c>
      <c r="F240" s="426" t="e">
        <f>(LUONGNGAY!$K$37+LUONGNGAY!$K$46)/2</f>
        <v>#VALUE!</v>
      </c>
      <c r="G240" s="504">
        <f>0.99*2</f>
        <v>1.98</v>
      </c>
      <c r="H240" s="429" t="e">
        <f t="shared" si="3"/>
        <v>#VALUE!</v>
      </c>
      <c r="I240" s="505"/>
    </row>
    <row r="241" spans="1:9">
      <c r="A241" s="1159"/>
      <c r="B241" s="1160"/>
      <c r="C241" s="1159"/>
      <c r="D241" s="1159"/>
      <c r="E241" s="1158"/>
      <c r="F241" s="426">
        <f>'He so chung'!$D$11</f>
        <v>147000</v>
      </c>
      <c r="G241" s="494">
        <v>0.77</v>
      </c>
      <c r="H241" s="429">
        <f t="shared" si="3"/>
        <v>113190</v>
      </c>
      <c r="I241" s="503"/>
    </row>
    <row r="242" spans="1:9">
      <c r="A242" s="1159"/>
      <c r="B242" s="1160"/>
      <c r="C242" s="1159"/>
      <c r="D242" s="1159"/>
      <c r="E242" s="1158">
        <v>3</v>
      </c>
      <c r="F242" s="426" t="e">
        <f>(LUONGNGAY!$K$39+LUONGNGAY!$K$48)/2</f>
        <v>#VALUE!</v>
      </c>
      <c r="G242" s="504">
        <f>1.089*2</f>
        <v>2.1779999999999999</v>
      </c>
      <c r="H242" s="429" t="e">
        <f t="shared" si="3"/>
        <v>#VALUE!</v>
      </c>
      <c r="I242" s="505"/>
    </row>
    <row r="243" spans="1:9">
      <c r="A243" s="1159"/>
      <c r="B243" s="1160"/>
      <c r="C243" s="1159"/>
      <c r="D243" s="1159"/>
      <c r="E243" s="1158"/>
      <c r="F243" s="426">
        <f>'He so chung'!$D$11</f>
        <v>147000</v>
      </c>
      <c r="G243" s="494">
        <v>0.84699999999999998</v>
      </c>
      <c r="H243" s="429">
        <f t="shared" si="3"/>
        <v>124509</v>
      </c>
      <c r="I243" s="503"/>
    </row>
    <row r="244" spans="1:9">
      <c r="A244" s="1159"/>
      <c r="B244" s="1160"/>
      <c r="C244" s="1159"/>
      <c r="D244" s="1159"/>
      <c r="E244" s="1158">
        <v>4</v>
      </c>
      <c r="F244" s="426" t="e">
        <f>(LUONGNGAY!$K$41+LUONGNGAY!$K$50)/2</f>
        <v>#VALUE!</v>
      </c>
      <c r="G244" s="504">
        <f>1.198*2</f>
        <v>2.3959999999999999</v>
      </c>
      <c r="H244" s="429" t="e">
        <f t="shared" si="3"/>
        <v>#VALUE!</v>
      </c>
      <c r="I244" s="505"/>
    </row>
    <row r="245" spans="1:9">
      <c r="A245" s="1159"/>
      <c r="B245" s="1160"/>
      <c r="C245" s="1159"/>
      <c r="D245" s="1159"/>
      <c r="E245" s="1158"/>
      <c r="F245" s="426">
        <f>'He so chung'!$D$11</f>
        <v>147000</v>
      </c>
      <c r="G245" s="494">
        <v>0.93200000000000005</v>
      </c>
      <c r="H245" s="429">
        <f t="shared" si="3"/>
        <v>137004</v>
      </c>
      <c r="I245" s="503"/>
    </row>
    <row r="246" spans="1:9">
      <c r="A246" s="1159"/>
      <c r="B246" s="1160"/>
      <c r="C246" s="1159"/>
      <c r="D246" s="1159"/>
      <c r="E246" s="1158">
        <v>5</v>
      </c>
      <c r="F246" s="426" t="e">
        <f>(LUONGNGAY!$K$43+LUONGNGAY!$K$52)/2</f>
        <v>#VALUE!</v>
      </c>
      <c r="G246" s="504">
        <f>1.312*2</f>
        <v>2.6240000000000001</v>
      </c>
      <c r="H246" s="429" t="e">
        <f t="shared" si="3"/>
        <v>#VALUE!</v>
      </c>
      <c r="I246" s="505"/>
    </row>
    <row r="247" spans="1:9">
      <c r="A247" s="1159"/>
      <c r="B247" s="1160"/>
      <c r="C247" s="1159"/>
      <c r="D247" s="1159"/>
      <c r="E247" s="1158"/>
      <c r="F247" s="426">
        <f>'He so chung'!$D$11</f>
        <v>147000</v>
      </c>
      <c r="G247" s="494">
        <v>1.0249999999999999</v>
      </c>
      <c r="H247" s="429">
        <f t="shared" si="3"/>
        <v>150675</v>
      </c>
      <c r="I247" s="503"/>
    </row>
    <row r="248" spans="1:9">
      <c r="A248" s="494">
        <v>5</v>
      </c>
      <c r="B248" s="495" t="s">
        <v>579</v>
      </c>
      <c r="C248" s="494"/>
      <c r="D248" s="494"/>
      <c r="E248" s="494"/>
      <c r="F248" s="501"/>
      <c r="G248" s="494"/>
      <c r="H248" s="429">
        <f t="shared" si="3"/>
        <v>0</v>
      </c>
      <c r="I248" s="503"/>
    </row>
    <row r="249" spans="1:9">
      <c r="A249" s="494" t="s">
        <v>461</v>
      </c>
      <c r="B249" s="495" t="s">
        <v>846</v>
      </c>
      <c r="C249" s="494" t="s">
        <v>261</v>
      </c>
      <c r="D249" s="494" t="s">
        <v>842</v>
      </c>
      <c r="E249" s="499" t="s">
        <v>723</v>
      </c>
      <c r="F249" s="426" t="e">
        <f>LUONGNGAY!$K$36</f>
        <v>#VALUE!</v>
      </c>
      <c r="G249" s="494">
        <v>0.05</v>
      </c>
      <c r="H249" s="429" t="e">
        <f t="shared" si="3"/>
        <v>#VALUE!</v>
      </c>
      <c r="I249" s="503"/>
    </row>
    <row r="250" spans="1:9">
      <c r="A250" s="494" t="s">
        <v>462</v>
      </c>
      <c r="B250" s="495" t="s">
        <v>849</v>
      </c>
      <c r="C250" s="494" t="s">
        <v>261</v>
      </c>
      <c r="D250" s="494" t="s">
        <v>842</v>
      </c>
      <c r="E250" s="499" t="s">
        <v>723</v>
      </c>
      <c r="F250" s="426" t="e">
        <f>LUONGNGAY!$K$36</f>
        <v>#VALUE!</v>
      </c>
      <c r="G250" s="494">
        <v>2.5000000000000001E-2</v>
      </c>
      <c r="H250" s="429" t="e">
        <f t="shared" si="3"/>
        <v>#VALUE!</v>
      </c>
      <c r="I250" s="503"/>
    </row>
    <row r="251" spans="1:9">
      <c r="A251" s="494">
        <v>6</v>
      </c>
      <c r="B251" s="495" t="s">
        <v>793</v>
      </c>
      <c r="C251" s="494" t="s">
        <v>481</v>
      </c>
      <c r="D251" s="494" t="s">
        <v>842</v>
      </c>
      <c r="E251" s="499" t="s">
        <v>723</v>
      </c>
      <c r="F251" s="426" t="e">
        <f>LUONGNGAY!$K$36</f>
        <v>#VALUE!</v>
      </c>
      <c r="G251" s="494">
        <v>3.0000000000000001E-3</v>
      </c>
      <c r="H251" s="429" t="e">
        <f t="shared" si="3"/>
        <v>#VALUE!</v>
      </c>
      <c r="I251" s="503"/>
    </row>
    <row r="252" spans="1:9">
      <c r="A252" s="494">
        <v>7</v>
      </c>
      <c r="B252" s="495" t="s">
        <v>148</v>
      </c>
      <c r="C252" s="494" t="s">
        <v>261</v>
      </c>
      <c r="D252" s="494" t="s">
        <v>480</v>
      </c>
      <c r="E252" s="499" t="s">
        <v>723</v>
      </c>
      <c r="F252" s="426" t="e">
        <f>LUONGNGAY!$K$44</f>
        <v>#VALUE!</v>
      </c>
      <c r="G252" s="494">
        <v>0.06</v>
      </c>
      <c r="H252" s="429" t="e">
        <f t="shared" si="3"/>
        <v>#VALUE!</v>
      </c>
      <c r="I252" s="503"/>
    </row>
    <row r="253" spans="1:9">
      <c r="A253" s="494">
        <v>8</v>
      </c>
      <c r="B253" s="495" t="s">
        <v>167</v>
      </c>
      <c r="C253" s="494"/>
      <c r="D253" s="494"/>
      <c r="E253" s="494"/>
      <c r="F253" s="501"/>
      <c r="G253" s="494"/>
      <c r="H253" s="429">
        <f t="shared" si="3"/>
        <v>0</v>
      </c>
      <c r="I253" s="503"/>
    </row>
    <row r="254" spans="1:9">
      <c r="A254" s="494" t="s">
        <v>191</v>
      </c>
      <c r="B254" s="495" t="s">
        <v>846</v>
      </c>
      <c r="C254" s="494" t="s">
        <v>261</v>
      </c>
      <c r="D254" s="494" t="s">
        <v>842</v>
      </c>
      <c r="E254" s="499" t="s">
        <v>723</v>
      </c>
      <c r="F254" s="426" t="e">
        <f>LUONGNGAY!$K$36</f>
        <v>#VALUE!</v>
      </c>
      <c r="G254" s="494">
        <v>0.2</v>
      </c>
      <c r="H254" s="429" t="e">
        <f t="shared" si="3"/>
        <v>#VALUE!</v>
      </c>
      <c r="I254" s="503"/>
    </row>
    <row r="255" spans="1:9">
      <c r="A255" s="494" t="s">
        <v>192</v>
      </c>
      <c r="B255" s="495" t="s">
        <v>849</v>
      </c>
      <c r="C255" s="494" t="s">
        <v>261</v>
      </c>
      <c r="D255" s="494" t="s">
        <v>842</v>
      </c>
      <c r="E255" s="499" t="s">
        <v>723</v>
      </c>
      <c r="F255" s="426" t="e">
        <f>LUONGNGAY!$K$36</f>
        <v>#VALUE!</v>
      </c>
      <c r="G255" s="494">
        <v>0.15</v>
      </c>
      <c r="H255" s="429" t="e">
        <f t="shared" si="3"/>
        <v>#VALUE!</v>
      </c>
      <c r="I255" s="503"/>
    </row>
    <row r="256" spans="1:9">
      <c r="A256" s="494">
        <v>9</v>
      </c>
      <c r="B256" s="495" t="s">
        <v>149</v>
      </c>
      <c r="C256" s="494" t="s">
        <v>261</v>
      </c>
      <c r="D256" s="494" t="s">
        <v>842</v>
      </c>
      <c r="E256" s="499" t="s">
        <v>723</v>
      </c>
      <c r="F256" s="426" t="e">
        <f>LUONGNGAY!$K$36</f>
        <v>#VALUE!</v>
      </c>
      <c r="G256" s="494">
        <v>0.5</v>
      </c>
      <c r="H256" s="429" t="e">
        <f t="shared" si="3"/>
        <v>#VALUE!</v>
      </c>
      <c r="I256" s="503"/>
    </row>
    <row r="257" spans="1:9" ht="36.75">
      <c r="A257" s="494">
        <v>10</v>
      </c>
      <c r="B257" s="495" t="s">
        <v>794</v>
      </c>
      <c r="C257" s="494" t="s">
        <v>261</v>
      </c>
      <c r="D257" s="494" t="s">
        <v>847</v>
      </c>
      <c r="E257" s="499" t="s">
        <v>723</v>
      </c>
      <c r="F257" s="450" t="e">
        <f>LUONGNGAY!$K$35</f>
        <v>#VALUE!</v>
      </c>
      <c r="G257" s="494">
        <v>0.2</v>
      </c>
      <c r="H257" s="429" t="e">
        <f t="shared" si="3"/>
        <v>#VALUE!</v>
      </c>
      <c r="I257" s="503"/>
    </row>
    <row r="258" spans="1:9" ht="24.75">
      <c r="A258" s="494">
        <v>11</v>
      </c>
      <c r="B258" s="495" t="s">
        <v>795</v>
      </c>
      <c r="C258" s="494" t="s">
        <v>261</v>
      </c>
      <c r="D258" s="494" t="s">
        <v>847</v>
      </c>
      <c r="E258" s="499" t="s">
        <v>723</v>
      </c>
      <c r="F258" s="450" t="e">
        <f>LUONGNGAY!$K$35</f>
        <v>#VALUE!</v>
      </c>
      <c r="G258" s="494">
        <v>0.2</v>
      </c>
      <c r="H258" s="429" t="e">
        <f t="shared" si="3"/>
        <v>#VALUE!</v>
      </c>
      <c r="I258" s="503"/>
    </row>
    <row r="259" spans="1:9">
      <c r="A259" s="500" t="s">
        <v>1005</v>
      </c>
      <c r="B259" s="493" t="s">
        <v>582</v>
      </c>
      <c r="C259" s="494"/>
      <c r="D259" s="494"/>
      <c r="E259" s="494"/>
      <c r="F259" s="501"/>
      <c r="G259" s="494"/>
      <c r="H259" s="429">
        <f t="shared" si="3"/>
        <v>0</v>
      </c>
      <c r="I259" s="503"/>
    </row>
    <row r="260" spans="1:9">
      <c r="A260" s="494">
        <v>1</v>
      </c>
      <c r="B260" s="495" t="s">
        <v>796</v>
      </c>
      <c r="C260" s="494"/>
      <c r="D260" s="494"/>
      <c r="E260" s="494"/>
      <c r="F260" s="501"/>
      <c r="G260" s="494"/>
      <c r="H260" s="429">
        <f t="shared" si="3"/>
        <v>0</v>
      </c>
      <c r="I260" s="503"/>
    </row>
    <row r="261" spans="1:9" ht="24.75">
      <c r="A261" s="494" t="s">
        <v>733</v>
      </c>
      <c r="B261" s="495" t="s">
        <v>797</v>
      </c>
      <c r="C261" s="494" t="s">
        <v>261</v>
      </c>
      <c r="D261" s="494" t="s">
        <v>847</v>
      </c>
      <c r="E261" s="499" t="s">
        <v>723</v>
      </c>
      <c r="F261" s="450" t="e">
        <f>LUONGNGAY!$K$35</f>
        <v>#VALUE!</v>
      </c>
      <c r="G261" s="494">
        <v>0.1</v>
      </c>
      <c r="H261" s="429" t="e">
        <f t="shared" si="3"/>
        <v>#VALUE!</v>
      </c>
      <c r="I261" s="503"/>
    </row>
    <row r="262" spans="1:9" ht="24.75">
      <c r="A262" s="494" t="s">
        <v>741</v>
      </c>
      <c r="B262" s="495" t="s">
        <v>798</v>
      </c>
      <c r="C262" s="494"/>
      <c r="D262" s="494"/>
      <c r="E262" s="494"/>
      <c r="F262" s="501"/>
      <c r="G262" s="494"/>
      <c r="H262" s="429">
        <f t="shared" si="3"/>
        <v>0</v>
      </c>
      <c r="I262" s="503"/>
    </row>
    <row r="263" spans="1:9">
      <c r="A263" s="494" t="s">
        <v>799</v>
      </c>
      <c r="B263" s="495" t="s">
        <v>846</v>
      </c>
      <c r="C263" s="494" t="s">
        <v>261</v>
      </c>
      <c r="D263" s="494" t="s">
        <v>847</v>
      </c>
      <c r="E263" s="499" t="s">
        <v>723</v>
      </c>
      <c r="F263" s="450" t="e">
        <f>LUONGNGAY!$K$35</f>
        <v>#VALUE!</v>
      </c>
      <c r="G263" s="494">
        <v>0.5</v>
      </c>
      <c r="H263" s="429" t="e">
        <f t="shared" si="3"/>
        <v>#VALUE!</v>
      </c>
      <c r="I263" s="503"/>
    </row>
    <row r="264" spans="1:9">
      <c r="A264" s="494" t="s">
        <v>800</v>
      </c>
      <c r="B264" s="495" t="s">
        <v>849</v>
      </c>
      <c r="C264" s="494" t="s">
        <v>261</v>
      </c>
      <c r="D264" s="494" t="s">
        <v>847</v>
      </c>
      <c r="E264" s="499" t="s">
        <v>723</v>
      </c>
      <c r="F264" s="506" t="e">
        <f>F263</f>
        <v>#VALUE!</v>
      </c>
      <c r="G264" s="494">
        <v>0.25</v>
      </c>
      <c r="H264" s="429" t="e">
        <f t="shared" si="3"/>
        <v>#VALUE!</v>
      </c>
      <c r="I264" s="503"/>
    </row>
    <row r="265" spans="1:9" ht="24.75">
      <c r="A265" s="494">
        <v>2</v>
      </c>
      <c r="B265" s="495" t="s">
        <v>801</v>
      </c>
      <c r="C265" s="494"/>
      <c r="D265" s="494"/>
      <c r="E265" s="494"/>
      <c r="F265" s="501"/>
      <c r="G265" s="494"/>
      <c r="H265" s="429">
        <f t="shared" si="3"/>
        <v>0</v>
      </c>
      <c r="I265" s="503"/>
    </row>
    <row r="266" spans="1:9">
      <c r="A266" s="494" t="s">
        <v>742</v>
      </c>
      <c r="B266" s="495" t="s">
        <v>846</v>
      </c>
      <c r="C266" s="494" t="s">
        <v>261</v>
      </c>
      <c r="D266" s="494" t="s">
        <v>847</v>
      </c>
      <c r="E266" s="499" t="s">
        <v>723</v>
      </c>
      <c r="F266" s="450" t="e">
        <f>LUONGNGAY!$K$35</f>
        <v>#VALUE!</v>
      </c>
      <c r="G266" s="494">
        <v>0.05</v>
      </c>
      <c r="H266" s="429" t="e">
        <f t="shared" si="3"/>
        <v>#VALUE!</v>
      </c>
      <c r="I266" s="503"/>
    </row>
    <row r="267" spans="1:9">
      <c r="A267" s="494" t="s">
        <v>743</v>
      </c>
      <c r="B267" s="495" t="s">
        <v>849</v>
      </c>
      <c r="C267" s="494" t="s">
        <v>261</v>
      </c>
      <c r="D267" s="494" t="s">
        <v>847</v>
      </c>
      <c r="E267" s="499" t="s">
        <v>723</v>
      </c>
      <c r="F267" s="450" t="e">
        <f>LUONGNGAY!$K$35</f>
        <v>#VALUE!</v>
      </c>
      <c r="G267" s="494">
        <v>0.05</v>
      </c>
      <c r="H267" s="429" t="e">
        <f t="shared" si="3"/>
        <v>#VALUE!</v>
      </c>
      <c r="I267" s="503"/>
    </row>
    <row r="268" spans="1:9">
      <c r="A268" s="494">
        <v>3</v>
      </c>
      <c r="B268" s="495" t="s">
        <v>584</v>
      </c>
      <c r="C268" s="494" t="s">
        <v>261</v>
      </c>
      <c r="D268" s="494" t="s">
        <v>842</v>
      </c>
      <c r="E268" s="499" t="s">
        <v>723</v>
      </c>
      <c r="F268" s="426" t="e">
        <f>LUONGNGAY!$K$36</f>
        <v>#VALUE!</v>
      </c>
      <c r="G268" s="494">
        <v>0.4</v>
      </c>
      <c r="H268" s="429" t="e">
        <f t="shared" si="3"/>
        <v>#VALUE!</v>
      </c>
      <c r="I268" s="503"/>
    </row>
    <row r="269" spans="1:9" ht="24.75">
      <c r="A269" s="494">
        <v>4</v>
      </c>
      <c r="B269" s="495" t="s">
        <v>585</v>
      </c>
      <c r="C269" s="494" t="s">
        <v>261</v>
      </c>
      <c r="D269" s="494" t="s">
        <v>842</v>
      </c>
      <c r="E269" s="499" t="s">
        <v>723</v>
      </c>
      <c r="F269" s="426" t="e">
        <f>LUONGNGAY!$K$36</f>
        <v>#VALUE!</v>
      </c>
      <c r="G269" s="494">
        <v>0.5</v>
      </c>
      <c r="H269" s="429" t="e">
        <f t="shared" si="3"/>
        <v>#VALUE!</v>
      </c>
      <c r="I269" s="503"/>
    </row>
    <row r="270" spans="1:9">
      <c r="A270" s="494">
        <v>5</v>
      </c>
      <c r="B270" s="495" t="s">
        <v>2</v>
      </c>
      <c r="C270" s="494" t="s">
        <v>481</v>
      </c>
      <c r="D270" s="494" t="s">
        <v>842</v>
      </c>
      <c r="E270" s="499" t="s">
        <v>723</v>
      </c>
      <c r="F270" s="426" t="e">
        <f>LUONGNGAY!$K$36</f>
        <v>#VALUE!</v>
      </c>
      <c r="G270" s="494">
        <v>6.0000000000000001E-3</v>
      </c>
      <c r="H270" s="429" t="e">
        <f t="shared" si="3"/>
        <v>#VALUE!</v>
      </c>
      <c r="I270" s="503"/>
    </row>
    <row r="271" spans="1:9" ht="36.75">
      <c r="A271" s="494">
        <v>6</v>
      </c>
      <c r="B271" s="495" t="s">
        <v>802</v>
      </c>
      <c r="C271" s="494"/>
      <c r="D271" s="494"/>
      <c r="E271" s="494"/>
      <c r="F271" s="501"/>
      <c r="G271" s="494"/>
      <c r="H271" s="429">
        <f t="shared" si="3"/>
        <v>0</v>
      </c>
      <c r="I271" s="503"/>
    </row>
    <row r="272" spans="1:9">
      <c r="A272" s="494" t="s">
        <v>661</v>
      </c>
      <c r="B272" s="495" t="s">
        <v>587</v>
      </c>
      <c r="C272" s="494" t="s">
        <v>481</v>
      </c>
      <c r="D272" s="494" t="s">
        <v>847</v>
      </c>
      <c r="E272" s="499" t="s">
        <v>723</v>
      </c>
      <c r="F272" s="450" t="e">
        <f>LUONGNGAY!$K$35</f>
        <v>#VALUE!</v>
      </c>
      <c r="G272" s="494">
        <v>0</v>
      </c>
      <c r="H272" s="429" t="e">
        <f t="shared" si="3"/>
        <v>#VALUE!</v>
      </c>
      <c r="I272" s="503"/>
    </row>
    <row r="273" spans="1:9">
      <c r="A273" s="494" t="s">
        <v>662</v>
      </c>
      <c r="B273" s="495" t="s">
        <v>588</v>
      </c>
      <c r="C273" s="494" t="s">
        <v>481</v>
      </c>
      <c r="D273" s="494" t="s">
        <v>847</v>
      </c>
      <c r="E273" s="499" t="s">
        <v>723</v>
      </c>
      <c r="F273" s="450" t="e">
        <f>LUONGNGAY!$K$35</f>
        <v>#VALUE!</v>
      </c>
      <c r="G273" s="494">
        <v>0</v>
      </c>
      <c r="H273" s="429" t="e">
        <f t="shared" si="3"/>
        <v>#VALUE!</v>
      </c>
      <c r="I273" s="503"/>
    </row>
    <row r="274" spans="1:9" ht="24.75">
      <c r="A274" s="494">
        <v>7</v>
      </c>
      <c r="B274" s="495" t="s">
        <v>589</v>
      </c>
      <c r="C274" s="494"/>
      <c r="D274" s="494"/>
      <c r="E274" s="494"/>
      <c r="F274" s="501"/>
      <c r="G274" s="494"/>
      <c r="H274" s="429">
        <f t="shared" si="3"/>
        <v>0</v>
      </c>
      <c r="I274" s="503"/>
    </row>
    <row r="275" spans="1:9">
      <c r="A275" s="494" t="s">
        <v>714</v>
      </c>
      <c r="B275" s="495" t="s">
        <v>590</v>
      </c>
      <c r="C275" s="494" t="s">
        <v>261</v>
      </c>
      <c r="D275" s="494" t="s">
        <v>842</v>
      </c>
      <c r="E275" s="499" t="s">
        <v>723</v>
      </c>
      <c r="F275" s="426" t="e">
        <f>LUONGNGAY!$K$36</f>
        <v>#VALUE!</v>
      </c>
      <c r="G275" s="494">
        <v>0.1</v>
      </c>
      <c r="H275" s="429" t="e">
        <f t="shared" si="3"/>
        <v>#VALUE!</v>
      </c>
      <c r="I275" s="503"/>
    </row>
    <row r="276" spans="1:9">
      <c r="A276" s="494" t="s">
        <v>715</v>
      </c>
      <c r="B276" s="495" t="s">
        <v>591</v>
      </c>
      <c r="C276" s="494" t="s">
        <v>261</v>
      </c>
      <c r="D276" s="494" t="s">
        <v>842</v>
      </c>
      <c r="E276" s="499" t="s">
        <v>723</v>
      </c>
      <c r="F276" s="426" t="e">
        <f>LUONGNGAY!$K$36</f>
        <v>#VALUE!</v>
      </c>
      <c r="G276" s="494">
        <v>0.2</v>
      </c>
      <c r="H276" s="429" t="e">
        <f t="shared" si="3"/>
        <v>#VALUE!</v>
      </c>
      <c r="I276" s="503"/>
    </row>
    <row r="277" spans="1:9">
      <c r="A277" s="494">
        <v>8</v>
      </c>
      <c r="B277" s="495" t="s">
        <v>803</v>
      </c>
      <c r="C277" s="494"/>
      <c r="D277" s="494"/>
      <c r="E277" s="494"/>
      <c r="F277" s="501"/>
      <c r="G277" s="494"/>
      <c r="H277" s="429">
        <f t="shared" si="3"/>
        <v>0</v>
      </c>
      <c r="I277" s="503"/>
    </row>
    <row r="278" spans="1:9" ht="36.75">
      <c r="A278" s="494" t="s">
        <v>191</v>
      </c>
      <c r="B278" s="495" t="s">
        <v>804</v>
      </c>
      <c r="C278" s="494"/>
      <c r="D278" s="494"/>
      <c r="E278" s="494"/>
      <c r="F278" s="501"/>
      <c r="G278" s="494"/>
      <c r="H278" s="429">
        <f t="shared" si="3"/>
        <v>0</v>
      </c>
      <c r="I278" s="503"/>
    </row>
    <row r="279" spans="1:9" ht="17.25" customHeight="1">
      <c r="A279" s="494" t="s">
        <v>805</v>
      </c>
      <c r="B279" s="495" t="s">
        <v>846</v>
      </c>
      <c r="C279" s="494" t="s">
        <v>261</v>
      </c>
      <c r="D279" s="494" t="s">
        <v>847</v>
      </c>
      <c r="E279" s="499" t="s">
        <v>723</v>
      </c>
      <c r="F279" s="450" t="e">
        <f>LUONGNGAY!$K$35</f>
        <v>#VALUE!</v>
      </c>
      <c r="G279" s="494">
        <v>0.2</v>
      </c>
      <c r="H279" s="429" t="e">
        <f t="shared" si="3"/>
        <v>#VALUE!</v>
      </c>
      <c r="I279" s="503"/>
    </row>
    <row r="280" spans="1:9">
      <c r="A280" s="494" t="s">
        <v>806</v>
      </c>
      <c r="B280" s="495" t="s">
        <v>849</v>
      </c>
      <c r="C280" s="494" t="s">
        <v>261</v>
      </c>
      <c r="D280" s="494" t="s">
        <v>847</v>
      </c>
      <c r="E280" s="499" t="s">
        <v>723</v>
      </c>
      <c r="F280" s="450" t="e">
        <f>LUONGNGAY!$K$35</f>
        <v>#VALUE!</v>
      </c>
      <c r="G280" s="494">
        <v>0.1</v>
      </c>
      <c r="H280" s="429" t="e">
        <f t="shared" si="3"/>
        <v>#VALUE!</v>
      </c>
      <c r="I280" s="503"/>
    </row>
    <row r="281" spans="1:9" ht="36.75">
      <c r="A281" s="494" t="s">
        <v>192</v>
      </c>
      <c r="B281" s="495" t="s">
        <v>867</v>
      </c>
      <c r="C281" s="494"/>
      <c r="D281" s="494"/>
      <c r="E281" s="494"/>
      <c r="F281" s="501"/>
      <c r="G281" s="494"/>
      <c r="H281" s="429">
        <f t="shared" si="3"/>
        <v>0</v>
      </c>
      <c r="I281" s="503"/>
    </row>
    <row r="282" spans="1:9">
      <c r="A282" s="494" t="s">
        <v>659</v>
      </c>
      <c r="B282" s="495" t="s">
        <v>846</v>
      </c>
      <c r="C282" s="494" t="s">
        <v>261</v>
      </c>
      <c r="D282" s="494" t="s">
        <v>847</v>
      </c>
      <c r="E282" s="499" t="s">
        <v>723</v>
      </c>
      <c r="F282" s="450" t="e">
        <f>LUONGNGAY!$K$35</f>
        <v>#VALUE!</v>
      </c>
      <c r="G282" s="494">
        <v>0.2</v>
      </c>
      <c r="H282" s="429" t="e">
        <f t="shared" si="3"/>
        <v>#VALUE!</v>
      </c>
      <c r="I282" s="503"/>
    </row>
    <row r="283" spans="1:9">
      <c r="A283" s="494" t="s">
        <v>660</v>
      </c>
      <c r="B283" s="495" t="s">
        <v>849</v>
      </c>
      <c r="C283" s="494" t="s">
        <v>261</v>
      </c>
      <c r="D283" s="494" t="s">
        <v>847</v>
      </c>
      <c r="E283" s="499" t="s">
        <v>723</v>
      </c>
      <c r="F283" s="450" t="e">
        <f>LUONGNGAY!$K$35</f>
        <v>#VALUE!</v>
      </c>
      <c r="G283" s="494">
        <v>0.1</v>
      </c>
      <c r="H283" s="429" t="e">
        <f t="shared" si="3"/>
        <v>#VALUE!</v>
      </c>
      <c r="I283" s="503"/>
    </row>
    <row r="284" spans="1:9">
      <c r="A284" s="494">
        <v>9</v>
      </c>
      <c r="B284" s="495" t="s">
        <v>78</v>
      </c>
      <c r="C284" s="494" t="s">
        <v>481</v>
      </c>
      <c r="D284" s="494" t="s">
        <v>842</v>
      </c>
      <c r="E284" s="499" t="s">
        <v>723</v>
      </c>
      <c r="F284" s="426" t="e">
        <f>LUONGNGAY!$K$36</f>
        <v>#VALUE!</v>
      </c>
      <c r="G284" s="494">
        <v>0.03</v>
      </c>
      <c r="H284" s="429" t="e">
        <f t="shared" si="3"/>
        <v>#VALUE!</v>
      </c>
      <c r="I284" s="503"/>
    </row>
    <row r="285" spans="1:9">
      <c r="A285" s="494">
        <v>10</v>
      </c>
      <c r="B285" s="495" t="s">
        <v>260</v>
      </c>
      <c r="C285" s="494" t="s">
        <v>79</v>
      </c>
      <c r="D285" s="494" t="s">
        <v>842</v>
      </c>
      <c r="E285" s="499" t="s">
        <v>723</v>
      </c>
      <c r="F285" s="426" t="e">
        <f>LUONGNGAY!$K$36</f>
        <v>#VALUE!</v>
      </c>
      <c r="G285" s="494">
        <v>0</v>
      </c>
      <c r="H285" s="429" t="e">
        <f t="shared" si="3"/>
        <v>#VALUE!</v>
      </c>
      <c r="I285" s="503"/>
    </row>
    <row r="286" spans="1:9">
      <c r="A286" s="494">
        <v>11</v>
      </c>
      <c r="B286" s="495" t="s">
        <v>80</v>
      </c>
      <c r="C286" s="494"/>
      <c r="D286" s="494"/>
      <c r="E286" s="494"/>
      <c r="F286" s="501"/>
      <c r="G286" s="494"/>
      <c r="H286" s="429">
        <f t="shared" si="3"/>
        <v>0</v>
      </c>
      <c r="I286" s="503"/>
    </row>
    <row r="287" spans="1:9">
      <c r="A287" s="494" t="s">
        <v>719</v>
      </c>
      <c r="B287" s="495" t="s">
        <v>82</v>
      </c>
      <c r="C287" s="494" t="s">
        <v>559</v>
      </c>
      <c r="D287" s="494" t="s">
        <v>847</v>
      </c>
      <c r="E287" s="499" t="s">
        <v>723</v>
      </c>
      <c r="F287" s="450" t="e">
        <f>LUONGNGAY!$K$35</f>
        <v>#VALUE!</v>
      </c>
      <c r="G287" s="494">
        <v>0.1</v>
      </c>
      <c r="H287" s="429" t="e">
        <f t="shared" si="3"/>
        <v>#VALUE!</v>
      </c>
      <c r="I287" s="503"/>
    </row>
    <row r="288" spans="1:9">
      <c r="A288" s="494" t="s">
        <v>720</v>
      </c>
      <c r="B288" s="495" t="s">
        <v>84</v>
      </c>
      <c r="C288" s="494" t="s">
        <v>559</v>
      </c>
      <c r="D288" s="494" t="s">
        <v>847</v>
      </c>
      <c r="E288" s="499" t="s">
        <v>723</v>
      </c>
      <c r="F288" s="450" t="e">
        <f>LUONGNGAY!$K$35</f>
        <v>#VALUE!</v>
      </c>
      <c r="G288" s="494">
        <v>0.2</v>
      </c>
      <c r="H288" s="429" t="e">
        <f t="shared" si="3"/>
        <v>#VALUE!</v>
      </c>
      <c r="I288" s="503"/>
    </row>
    <row r="289" spans="1:9">
      <c r="A289" s="494">
        <v>12</v>
      </c>
      <c r="B289" s="495" t="s">
        <v>85</v>
      </c>
      <c r="C289" s="494" t="s">
        <v>261</v>
      </c>
      <c r="D289" s="494" t="s">
        <v>847</v>
      </c>
      <c r="E289" s="499" t="s">
        <v>723</v>
      </c>
      <c r="F289" s="450" t="e">
        <f>LUONGNGAY!$K$35</f>
        <v>#VALUE!</v>
      </c>
      <c r="G289" s="494">
        <v>0.3</v>
      </c>
      <c r="H289" s="429" t="e">
        <f t="shared" si="3"/>
        <v>#VALUE!</v>
      </c>
      <c r="I289" s="503"/>
    </row>
    <row r="290" spans="1:9" ht="24.75">
      <c r="A290" s="494">
        <v>13</v>
      </c>
      <c r="B290" s="495" t="s">
        <v>868</v>
      </c>
      <c r="C290" s="494" t="s">
        <v>261</v>
      </c>
      <c r="D290" s="494" t="s">
        <v>847</v>
      </c>
      <c r="E290" s="499" t="s">
        <v>723</v>
      </c>
      <c r="F290" s="450" t="e">
        <f>LUONGNGAY!$K$35</f>
        <v>#VALUE!</v>
      </c>
      <c r="G290" s="494">
        <v>0.17</v>
      </c>
      <c r="H290" s="429" t="e">
        <f t="shared" si="3"/>
        <v>#VALUE!</v>
      </c>
      <c r="I290" s="503"/>
    </row>
    <row r="291" spans="1:9">
      <c r="A291" s="494">
        <v>14</v>
      </c>
      <c r="B291" s="495" t="s">
        <v>87</v>
      </c>
      <c r="C291" s="494" t="s">
        <v>481</v>
      </c>
      <c r="D291" s="494" t="s">
        <v>842</v>
      </c>
      <c r="E291" s="499" t="s">
        <v>723</v>
      </c>
      <c r="F291" s="426" t="e">
        <f>LUONGNGAY!$K$36</f>
        <v>#VALUE!</v>
      </c>
      <c r="G291" s="494">
        <v>3.3000000000000002E-2</v>
      </c>
      <c r="H291" s="429" t="e">
        <f t="shared" si="3"/>
        <v>#VALUE!</v>
      </c>
      <c r="I291" s="503"/>
    </row>
    <row r="292" spans="1:9">
      <c r="A292" s="494">
        <v>15</v>
      </c>
      <c r="B292" s="495" t="s">
        <v>88</v>
      </c>
      <c r="C292" s="494"/>
      <c r="D292" s="494"/>
      <c r="E292" s="494"/>
      <c r="F292" s="501"/>
      <c r="G292" s="494"/>
      <c r="H292" s="429">
        <f t="shared" si="3"/>
        <v>0</v>
      </c>
      <c r="I292" s="503"/>
    </row>
    <row r="293" spans="1:9" ht="24.75">
      <c r="A293" s="494" t="s">
        <v>869</v>
      </c>
      <c r="B293" s="495" t="s">
        <v>775</v>
      </c>
      <c r="C293" s="494"/>
      <c r="D293" s="494"/>
      <c r="E293" s="494"/>
      <c r="F293" s="501"/>
      <c r="G293" s="494"/>
      <c r="H293" s="429">
        <f t="shared" si="3"/>
        <v>0</v>
      </c>
      <c r="I293" s="503"/>
    </row>
    <row r="294" spans="1:9">
      <c r="A294" s="494" t="s">
        <v>870</v>
      </c>
      <c r="B294" s="495" t="s">
        <v>777</v>
      </c>
      <c r="C294" s="494" t="s">
        <v>778</v>
      </c>
      <c r="D294" s="494" t="s">
        <v>779</v>
      </c>
      <c r="E294" s="499" t="s">
        <v>723</v>
      </c>
      <c r="F294" s="426" t="e">
        <f>LUONGNGAY!$K$34</f>
        <v>#VALUE!</v>
      </c>
      <c r="G294" s="494">
        <v>1.6E-2</v>
      </c>
      <c r="H294" s="429" t="e">
        <f t="shared" si="3"/>
        <v>#VALUE!</v>
      </c>
      <c r="I294" s="503"/>
    </row>
    <row r="295" spans="1:9">
      <c r="A295" s="494" t="s">
        <v>871</v>
      </c>
      <c r="B295" s="495" t="s">
        <v>781</v>
      </c>
      <c r="C295" s="494" t="s">
        <v>778</v>
      </c>
      <c r="D295" s="494" t="s">
        <v>779</v>
      </c>
      <c r="E295" s="499" t="s">
        <v>723</v>
      </c>
      <c r="F295" s="426" t="e">
        <f>LUONGNGAY!$K$34</f>
        <v>#VALUE!</v>
      </c>
      <c r="G295" s="494">
        <v>8.0000000000000002E-3</v>
      </c>
      <c r="H295" s="429" t="e">
        <f t="shared" si="3"/>
        <v>#VALUE!</v>
      </c>
      <c r="I295" s="503"/>
    </row>
    <row r="296" spans="1:9" ht="24.75">
      <c r="A296" s="494" t="s">
        <v>872</v>
      </c>
      <c r="B296" s="495" t="s">
        <v>861</v>
      </c>
      <c r="C296" s="494" t="s">
        <v>778</v>
      </c>
      <c r="D296" s="494" t="s">
        <v>779</v>
      </c>
      <c r="E296" s="499" t="s">
        <v>723</v>
      </c>
      <c r="F296" s="426" t="e">
        <f>LUONGNGAY!$K$34</f>
        <v>#VALUE!</v>
      </c>
      <c r="G296" s="494">
        <v>4.0000000000000001E-3</v>
      </c>
      <c r="H296" s="429" t="e">
        <f t="shared" si="3"/>
        <v>#VALUE!</v>
      </c>
      <c r="I296" s="503"/>
    </row>
    <row r="297" spans="1:9">
      <c r="A297" s="494" t="s">
        <v>873</v>
      </c>
      <c r="B297" s="495" t="s">
        <v>863</v>
      </c>
      <c r="C297" s="494" t="s">
        <v>481</v>
      </c>
      <c r="D297" s="494" t="s">
        <v>779</v>
      </c>
      <c r="E297" s="499" t="s">
        <v>723</v>
      </c>
      <c r="F297" s="426" t="e">
        <f>LUONGNGAY!$K$34</f>
        <v>#VALUE!</v>
      </c>
      <c r="G297" s="494">
        <v>0.01</v>
      </c>
      <c r="H297" s="429" t="e">
        <f t="shared" si="3"/>
        <v>#VALUE!</v>
      </c>
      <c r="I297" s="503"/>
    </row>
    <row r="298" spans="1:9" ht="24.75">
      <c r="A298" s="494">
        <v>16</v>
      </c>
      <c r="B298" s="495" t="s">
        <v>874</v>
      </c>
      <c r="C298" s="494" t="s">
        <v>261</v>
      </c>
      <c r="D298" s="494" t="s">
        <v>847</v>
      </c>
      <c r="E298" s="499" t="s">
        <v>723</v>
      </c>
      <c r="F298" s="450" t="e">
        <f>LUONGNGAY!$K$35</f>
        <v>#VALUE!</v>
      </c>
      <c r="G298" s="494">
        <v>0.2</v>
      </c>
      <c r="H298" s="429" t="e">
        <f t="shared" si="3"/>
        <v>#VALUE!</v>
      </c>
      <c r="I298" s="503"/>
    </row>
    <row r="299" spans="1:9">
      <c r="A299" s="494">
        <v>17</v>
      </c>
      <c r="B299" s="495" t="s">
        <v>875</v>
      </c>
      <c r="C299" s="494"/>
      <c r="D299" s="494"/>
      <c r="E299" s="494"/>
      <c r="F299" s="501"/>
      <c r="G299" s="494"/>
      <c r="H299" s="429">
        <f>F299*G299</f>
        <v>0</v>
      </c>
      <c r="I299" s="503"/>
    </row>
    <row r="300" spans="1:9">
      <c r="A300" s="494" t="s">
        <v>876</v>
      </c>
      <c r="B300" s="495" t="s">
        <v>875</v>
      </c>
      <c r="C300" s="494" t="s">
        <v>261</v>
      </c>
      <c r="D300" s="494" t="s">
        <v>847</v>
      </c>
      <c r="E300" s="499" t="s">
        <v>723</v>
      </c>
      <c r="F300" s="450" t="e">
        <f>LUONGNGAY!$K$35</f>
        <v>#VALUE!</v>
      </c>
      <c r="G300" s="494">
        <v>0.1</v>
      </c>
      <c r="H300" s="429" t="e">
        <f>F300*G300</f>
        <v>#VALUE!</v>
      </c>
      <c r="I300" s="503"/>
    </row>
    <row r="301" spans="1:9" ht="24.75">
      <c r="A301" s="494" t="s">
        <v>877</v>
      </c>
      <c r="B301" s="495" t="s">
        <v>878</v>
      </c>
      <c r="C301" s="494" t="s">
        <v>261</v>
      </c>
      <c r="D301" s="494" t="s">
        <v>847</v>
      </c>
      <c r="E301" s="499" t="s">
        <v>723</v>
      </c>
      <c r="F301" s="450" t="e">
        <f>LUONGNGAY!$K$35</f>
        <v>#VALUE!</v>
      </c>
      <c r="G301" s="494">
        <v>0.1</v>
      </c>
      <c r="H301" s="429" t="e">
        <f>F301*G301</f>
        <v>#VALUE!</v>
      </c>
      <c r="I301" s="503"/>
    </row>
    <row r="302" spans="1:9">
      <c r="A302" s="500" t="s">
        <v>755</v>
      </c>
      <c r="B302" s="493" t="s">
        <v>339</v>
      </c>
      <c r="C302" s="494"/>
      <c r="D302" s="494"/>
      <c r="E302" s="494"/>
      <c r="F302" s="501"/>
      <c r="G302" s="494"/>
      <c r="H302" s="429">
        <f>F302*G302</f>
        <v>0</v>
      </c>
      <c r="I302" s="503"/>
    </row>
    <row r="303" spans="1:9" ht="24.75">
      <c r="A303" s="494">
        <v>1</v>
      </c>
      <c r="B303" s="495" t="s">
        <v>879</v>
      </c>
      <c r="C303" s="494" t="s">
        <v>261</v>
      </c>
      <c r="D303" s="494" t="s">
        <v>842</v>
      </c>
      <c r="E303" s="499" t="s">
        <v>723</v>
      </c>
      <c r="F303" s="506" t="e">
        <f>F291</f>
        <v>#VALUE!</v>
      </c>
      <c r="G303" s="494">
        <v>0.2</v>
      </c>
      <c r="H303" s="429" t="e">
        <f>F303*G303</f>
        <v>#VALUE!</v>
      </c>
      <c r="I303" s="503"/>
    </row>
    <row r="304" spans="1:9">
      <c r="A304" s="437"/>
      <c r="B304" s="445"/>
      <c r="C304" s="439"/>
      <c r="D304" s="439"/>
      <c r="E304" s="441"/>
      <c r="F304" s="446"/>
      <c r="G304" s="451"/>
      <c r="H304" s="448"/>
    </row>
    <row r="305" spans="1:8" ht="16.5" customHeight="1">
      <c r="A305" s="1151" t="s">
        <v>713</v>
      </c>
      <c r="B305" s="1151"/>
      <c r="C305" s="1151"/>
      <c r="D305" s="1151"/>
      <c r="E305" s="1151"/>
      <c r="F305" s="1151"/>
      <c r="G305" s="1151"/>
      <c r="H305" s="1151"/>
    </row>
    <row r="306" spans="1:8">
      <c r="A306" s="414"/>
      <c r="B306" s="415"/>
      <c r="E306" s="417"/>
      <c r="F306" s="418"/>
      <c r="G306" s="417"/>
      <c r="H306" s="419"/>
    </row>
    <row r="307" spans="1:8" ht="24.75" customHeight="1">
      <c r="A307" s="422" t="s">
        <v>979</v>
      </c>
      <c r="B307" s="422" t="s">
        <v>198</v>
      </c>
      <c r="C307" s="423" t="s">
        <v>479</v>
      </c>
      <c r="D307" s="423" t="s">
        <v>478</v>
      </c>
      <c r="E307" s="423" t="s">
        <v>199</v>
      </c>
      <c r="F307" s="424" t="s">
        <v>483</v>
      </c>
      <c r="G307" s="423" t="s">
        <v>482</v>
      </c>
      <c r="H307" s="453" t="s">
        <v>200</v>
      </c>
    </row>
    <row r="308" spans="1:8">
      <c r="A308" s="500" t="s">
        <v>1000</v>
      </c>
      <c r="B308" s="493" t="s">
        <v>460</v>
      </c>
      <c r="C308" s="494"/>
      <c r="D308" s="494"/>
      <c r="E308" s="494"/>
      <c r="F308" s="501"/>
      <c r="G308" s="502"/>
      <c r="H308" s="502"/>
    </row>
    <row r="309" spans="1:8">
      <c r="A309" s="494">
        <v>1</v>
      </c>
      <c r="B309" s="495" t="s">
        <v>844</v>
      </c>
      <c r="C309" s="494"/>
      <c r="D309" s="494"/>
      <c r="E309" s="494"/>
      <c r="F309" s="501"/>
      <c r="G309" s="454"/>
      <c r="H309" s="494"/>
    </row>
    <row r="310" spans="1:8">
      <c r="A310" s="494" t="s">
        <v>733</v>
      </c>
      <c r="B310" s="495" t="s">
        <v>846</v>
      </c>
      <c r="C310" s="494" t="s">
        <v>261</v>
      </c>
      <c r="D310" s="494" t="s">
        <v>847</v>
      </c>
      <c r="E310" s="499" t="s">
        <v>723</v>
      </c>
      <c r="F310" s="450" t="e">
        <f>LUONGNGAY!$K$35</f>
        <v>#VALUE!</v>
      </c>
      <c r="G310" s="494">
        <v>0.26</v>
      </c>
      <c r="H310" s="429" t="e">
        <f>F310*G310</f>
        <v>#VALUE!</v>
      </c>
    </row>
    <row r="311" spans="1:8">
      <c r="A311" s="494" t="s">
        <v>741</v>
      </c>
      <c r="B311" s="495" t="s">
        <v>849</v>
      </c>
      <c r="C311" s="494" t="s">
        <v>261</v>
      </c>
      <c r="D311" s="494" t="s">
        <v>847</v>
      </c>
      <c r="E311" s="499" t="s">
        <v>723</v>
      </c>
      <c r="F311" s="450" t="e">
        <f>LUONGNGAY!$K$35</f>
        <v>#VALUE!</v>
      </c>
      <c r="G311" s="494">
        <v>0.19</v>
      </c>
      <c r="H311" s="429" t="e">
        <f t="shared" ref="H311:H375" si="4">F311*G311</f>
        <v>#VALUE!</v>
      </c>
    </row>
    <row r="312" spans="1:8" ht="24.75">
      <c r="A312" s="494">
        <v>2</v>
      </c>
      <c r="B312" s="495" t="s">
        <v>850</v>
      </c>
      <c r="C312" s="494" t="s">
        <v>261</v>
      </c>
      <c r="D312" s="494" t="s">
        <v>847</v>
      </c>
      <c r="E312" s="499" t="s">
        <v>723</v>
      </c>
      <c r="F312" s="450" t="e">
        <f>LUONGNGAY!$K$35</f>
        <v>#VALUE!</v>
      </c>
      <c r="G312" s="494">
        <v>1.1299999999999999</v>
      </c>
      <c r="H312" s="429" t="e">
        <f t="shared" si="4"/>
        <v>#VALUE!</v>
      </c>
    </row>
    <row r="313" spans="1:8" ht="24.75">
      <c r="A313" s="494">
        <v>3</v>
      </c>
      <c r="B313" s="495" t="s">
        <v>851</v>
      </c>
      <c r="C313" s="494" t="s">
        <v>481</v>
      </c>
      <c r="D313" s="494" t="s">
        <v>842</v>
      </c>
      <c r="E313" s="499" t="s">
        <v>723</v>
      </c>
      <c r="F313" s="426" t="e">
        <f>LUONGNGAY!$K$36</f>
        <v>#VALUE!</v>
      </c>
      <c r="G313" s="494">
        <v>0.16700000000000001</v>
      </c>
      <c r="H313" s="429" t="e">
        <f t="shared" si="4"/>
        <v>#VALUE!</v>
      </c>
    </row>
    <row r="314" spans="1:8">
      <c r="A314" s="1159">
        <v>4</v>
      </c>
      <c r="B314" s="1160" t="s">
        <v>852</v>
      </c>
      <c r="C314" s="1159" t="s">
        <v>261</v>
      </c>
      <c r="D314" s="1159" t="s">
        <v>880</v>
      </c>
      <c r="E314" s="1158">
        <v>1</v>
      </c>
      <c r="F314" s="426" t="e">
        <f>(LUONGNGAY!$K$35+LUONGNGAY!$K$44)/2</f>
        <v>#VALUE!</v>
      </c>
      <c r="G314" s="504">
        <f>1.17*2</f>
        <v>2.34</v>
      </c>
      <c r="H314" s="429" t="e">
        <f t="shared" si="4"/>
        <v>#VALUE!</v>
      </c>
    </row>
    <row r="315" spans="1:8">
      <c r="A315" s="1159"/>
      <c r="B315" s="1160"/>
      <c r="C315" s="1159"/>
      <c r="D315" s="1159"/>
      <c r="E315" s="1158"/>
      <c r="F315" s="426">
        <f>'He so chung'!$D$11</f>
        <v>147000</v>
      </c>
      <c r="G315" s="494">
        <v>0.91</v>
      </c>
      <c r="H315" s="429">
        <f t="shared" si="4"/>
        <v>133770</v>
      </c>
    </row>
    <row r="316" spans="1:8">
      <c r="A316" s="1159"/>
      <c r="B316" s="1160"/>
      <c r="C316" s="1159"/>
      <c r="D316" s="1159"/>
      <c r="E316" s="1158">
        <v>2</v>
      </c>
      <c r="F316" s="426" t="e">
        <f>(LUONGNGAY!$K$37+LUONGNGAY!$K$46)/2</f>
        <v>#VALUE!</v>
      </c>
      <c r="G316" s="504">
        <f>1.287*2</f>
        <v>2.5739999999999998</v>
      </c>
      <c r="H316" s="429" t="e">
        <f t="shared" si="4"/>
        <v>#VALUE!</v>
      </c>
    </row>
    <row r="317" spans="1:8">
      <c r="A317" s="1159"/>
      <c r="B317" s="1160"/>
      <c r="C317" s="1159"/>
      <c r="D317" s="1159"/>
      <c r="E317" s="1158"/>
      <c r="F317" s="426">
        <f>'He so chung'!$D$11</f>
        <v>147000</v>
      </c>
      <c r="G317" s="494">
        <v>1.0009999999999999</v>
      </c>
      <c r="H317" s="429">
        <f t="shared" si="4"/>
        <v>147146.99999999997</v>
      </c>
    </row>
    <row r="318" spans="1:8">
      <c r="A318" s="1159"/>
      <c r="B318" s="1160"/>
      <c r="C318" s="1159"/>
      <c r="D318" s="1159"/>
      <c r="E318" s="1158">
        <v>3</v>
      </c>
      <c r="F318" s="426" t="e">
        <f>(LUONGNGAY!$K$39+LUONGNGAY!$K$48)/2</f>
        <v>#VALUE!</v>
      </c>
      <c r="G318" s="504">
        <f>1.416*2</f>
        <v>2.8319999999999999</v>
      </c>
      <c r="H318" s="429" t="e">
        <f t="shared" si="4"/>
        <v>#VALUE!</v>
      </c>
    </row>
    <row r="319" spans="1:8">
      <c r="A319" s="1159"/>
      <c r="B319" s="1160"/>
      <c r="C319" s="1159"/>
      <c r="D319" s="1159"/>
      <c r="E319" s="1158"/>
      <c r="F319" s="426">
        <f>'He so chung'!$D$11</f>
        <v>147000</v>
      </c>
      <c r="G319" s="494">
        <v>1.101</v>
      </c>
      <c r="H319" s="429">
        <f t="shared" si="4"/>
        <v>161847</v>
      </c>
    </row>
    <row r="320" spans="1:8">
      <c r="A320" s="1159"/>
      <c r="B320" s="1160"/>
      <c r="C320" s="1159"/>
      <c r="D320" s="1159"/>
      <c r="E320" s="1158">
        <v>4</v>
      </c>
      <c r="F320" s="426" t="e">
        <f>(LUONGNGAY!$K$41+LUONGNGAY!$K$50)/2</f>
        <v>#VALUE!</v>
      </c>
      <c r="G320" s="504">
        <f>1.557*2</f>
        <v>3.1139999999999999</v>
      </c>
      <c r="H320" s="429" t="e">
        <f t="shared" si="4"/>
        <v>#VALUE!</v>
      </c>
    </row>
    <row r="321" spans="1:8">
      <c r="A321" s="1159"/>
      <c r="B321" s="1160"/>
      <c r="C321" s="1159"/>
      <c r="D321" s="1159"/>
      <c r="E321" s="1158"/>
      <c r="F321" s="426">
        <f>'He so chung'!$D$11</f>
        <v>147000</v>
      </c>
      <c r="G321" s="494">
        <v>1.212</v>
      </c>
      <c r="H321" s="429">
        <f t="shared" si="4"/>
        <v>178164</v>
      </c>
    </row>
    <row r="322" spans="1:8">
      <c r="A322" s="1159"/>
      <c r="B322" s="1160"/>
      <c r="C322" s="1159"/>
      <c r="D322" s="1159"/>
      <c r="E322" s="1158">
        <v>5</v>
      </c>
      <c r="F322" s="426" t="e">
        <f>(LUONGNGAY!$K$43+LUONGNGAY!$K$52)/2</f>
        <v>#VALUE!</v>
      </c>
      <c r="G322" s="504">
        <f>1.706*2</f>
        <v>3.4119999999999999</v>
      </c>
      <c r="H322" s="429" t="e">
        <f t="shared" si="4"/>
        <v>#VALUE!</v>
      </c>
    </row>
    <row r="323" spans="1:8">
      <c r="A323" s="1159"/>
      <c r="B323" s="1160"/>
      <c r="C323" s="1159"/>
      <c r="D323" s="1159"/>
      <c r="E323" s="1158"/>
      <c r="F323" s="426">
        <f>'He so chung'!$D$11</f>
        <v>147000</v>
      </c>
      <c r="G323" s="494">
        <v>1.333</v>
      </c>
      <c r="H323" s="429">
        <f t="shared" si="4"/>
        <v>195951</v>
      </c>
    </row>
    <row r="324" spans="1:8">
      <c r="A324" s="494">
        <v>5</v>
      </c>
      <c r="B324" s="495" t="s">
        <v>579</v>
      </c>
      <c r="C324" s="494"/>
      <c r="D324" s="494"/>
      <c r="E324" s="494"/>
      <c r="F324" s="501"/>
      <c r="G324" s="494"/>
      <c r="H324" s="429">
        <f t="shared" si="4"/>
        <v>0</v>
      </c>
    </row>
    <row r="325" spans="1:8">
      <c r="A325" s="494" t="s">
        <v>461</v>
      </c>
      <c r="B325" s="495" t="s">
        <v>846</v>
      </c>
      <c r="C325" s="494" t="s">
        <v>261</v>
      </c>
      <c r="D325" s="494" t="s">
        <v>842</v>
      </c>
      <c r="E325" s="499" t="s">
        <v>723</v>
      </c>
      <c r="F325" s="426" t="e">
        <f>LUONGNGAY!$K$36</f>
        <v>#VALUE!</v>
      </c>
      <c r="G325" s="494">
        <v>6.5000000000000002E-2</v>
      </c>
      <c r="H325" s="429" t="e">
        <f t="shared" si="4"/>
        <v>#VALUE!</v>
      </c>
    </row>
    <row r="326" spans="1:8">
      <c r="A326" s="494" t="s">
        <v>462</v>
      </c>
      <c r="B326" s="495" t="s">
        <v>849</v>
      </c>
      <c r="C326" s="494" t="s">
        <v>261</v>
      </c>
      <c r="D326" s="494" t="s">
        <v>842</v>
      </c>
      <c r="E326" s="499" t="s">
        <v>723</v>
      </c>
      <c r="F326" s="426" t="e">
        <f>LUONGNGAY!$K$36</f>
        <v>#VALUE!</v>
      </c>
      <c r="G326" s="494">
        <v>3.3000000000000002E-2</v>
      </c>
      <c r="H326" s="429" t="e">
        <f t="shared" si="4"/>
        <v>#VALUE!</v>
      </c>
    </row>
    <row r="327" spans="1:8">
      <c r="A327" s="494">
        <v>6</v>
      </c>
      <c r="B327" s="495" t="s">
        <v>793</v>
      </c>
      <c r="C327" s="494" t="s">
        <v>481</v>
      </c>
      <c r="D327" s="494" t="s">
        <v>842</v>
      </c>
      <c r="E327" s="499" t="s">
        <v>723</v>
      </c>
      <c r="F327" s="426" t="e">
        <f>LUONGNGAY!$K$36</f>
        <v>#VALUE!</v>
      </c>
      <c r="G327" s="494">
        <v>3.0000000000000001E-3</v>
      </c>
      <c r="H327" s="429" t="e">
        <f>F327*G327</f>
        <v>#VALUE!</v>
      </c>
    </row>
    <row r="328" spans="1:8">
      <c r="A328" s="494">
        <v>7</v>
      </c>
      <c r="B328" s="495" t="s">
        <v>148</v>
      </c>
      <c r="C328" s="494" t="s">
        <v>261</v>
      </c>
      <c r="D328" s="494" t="s">
        <v>480</v>
      </c>
      <c r="E328" s="499" t="s">
        <v>723</v>
      </c>
      <c r="F328" s="426" t="e">
        <f>LUONGNGAY!$K$44</f>
        <v>#VALUE!</v>
      </c>
      <c r="G328" s="494">
        <v>7.8E-2</v>
      </c>
      <c r="H328" s="429" t="e">
        <f t="shared" si="4"/>
        <v>#VALUE!</v>
      </c>
    </row>
    <row r="329" spans="1:8">
      <c r="A329" s="494">
        <v>8</v>
      </c>
      <c r="B329" s="495" t="s">
        <v>167</v>
      </c>
      <c r="C329" s="494"/>
      <c r="D329" s="494"/>
      <c r="E329" s="494"/>
      <c r="F329" s="501"/>
      <c r="G329" s="494"/>
      <c r="H329" s="429">
        <f t="shared" si="4"/>
        <v>0</v>
      </c>
    </row>
    <row r="330" spans="1:8">
      <c r="A330" s="494" t="s">
        <v>191</v>
      </c>
      <c r="B330" s="495" t="s">
        <v>846</v>
      </c>
      <c r="C330" s="494" t="s">
        <v>261</v>
      </c>
      <c r="D330" s="494" t="s">
        <v>842</v>
      </c>
      <c r="E330" s="499" t="s">
        <v>723</v>
      </c>
      <c r="F330" s="426" t="e">
        <f>LUONGNGAY!$K$36</f>
        <v>#VALUE!</v>
      </c>
      <c r="G330" s="494">
        <v>0.26</v>
      </c>
      <c r="H330" s="429" t="e">
        <f t="shared" si="4"/>
        <v>#VALUE!</v>
      </c>
    </row>
    <row r="331" spans="1:8">
      <c r="A331" s="494" t="s">
        <v>192</v>
      </c>
      <c r="B331" s="495" t="s">
        <v>849</v>
      </c>
      <c r="C331" s="494" t="s">
        <v>261</v>
      </c>
      <c r="D331" s="494" t="s">
        <v>842</v>
      </c>
      <c r="E331" s="499" t="s">
        <v>723</v>
      </c>
      <c r="F331" s="426" t="e">
        <f>LUONGNGAY!$K$36</f>
        <v>#VALUE!</v>
      </c>
      <c r="G331" s="494">
        <v>0.19500000000000001</v>
      </c>
      <c r="H331" s="429" t="e">
        <f t="shared" si="4"/>
        <v>#VALUE!</v>
      </c>
    </row>
    <row r="332" spans="1:8">
      <c r="A332" s="494">
        <v>9</v>
      </c>
      <c r="B332" s="495" t="s">
        <v>149</v>
      </c>
      <c r="C332" s="494" t="s">
        <v>261</v>
      </c>
      <c r="D332" s="494" t="s">
        <v>842</v>
      </c>
      <c r="E332" s="499" t="s">
        <v>723</v>
      </c>
      <c r="F332" s="426" t="e">
        <f>LUONGNGAY!$K$36</f>
        <v>#VALUE!</v>
      </c>
      <c r="G332" s="494">
        <v>0.65</v>
      </c>
      <c r="H332" s="429" t="e">
        <f t="shared" si="4"/>
        <v>#VALUE!</v>
      </c>
    </row>
    <row r="333" spans="1:8" ht="36.75">
      <c r="A333" s="494">
        <v>10</v>
      </c>
      <c r="B333" s="495" t="s">
        <v>794</v>
      </c>
      <c r="C333" s="494" t="s">
        <v>261</v>
      </c>
      <c r="D333" s="494" t="s">
        <v>847</v>
      </c>
      <c r="E333" s="499" t="s">
        <v>723</v>
      </c>
      <c r="F333" s="450" t="e">
        <f>LUONGNGAY!$K$35</f>
        <v>#VALUE!</v>
      </c>
      <c r="G333" s="494">
        <v>0.2</v>
      </c>
      <c r="H333" s="429" t="e">
        <f t="shared" si="4"/>
        <v>#VALUE!</v>
      </c>
    </row>
    <row r="334" spans="1:8" ht="24.75">
      <c r="A334" s="494">
        <v>11</v>
      </c>
      <c r="B334" s="495" t="s">
        <v>795</v>
      </c>
      <c r="C334" s="494" t="s">
        <v>261</v>
      </c>
      <c r="D334" s="494" t="s">
        <v>847</v>
      </c>
      <c r="E334" s="499" t="s">
        <v>723</v>
      </c>
      <c r="F334" s="450" t="e">
        <f>LUONGNGAY!$K$35</f>
        <v>#VALUE!</v>
      </c>
      <c r="G334" s="494">
        <v>0.2</v>
      </c>
      <c r="H334" s="429" t="e">
        <f t="shared" si="4"/>
        <v>#VALUE!</v>
      </c>
    </row>
    <row r="335" spans="1:8">
      <c r="A335" s="500" t="s">
        <v>1005</v>
      </c>
      <c r="B335" s="493" t="s">
        <v>582</v>
      </c>
      <c r="C335" s="494"/>
      <c r="D335" s="494"/>
      <c r="E335" s="494"/>
      <c r="F335" s="501"/>
      <c r="G335" s="494"/>
      <c r="H335" s="429">
        <f t="shared" si="4"/>
        <v>0</v>
      </c>
    </row>
    <row r="336" spans="1:8">
      <c r="A336" s="494">
        <v>1</v>
      </c>
      <c r="B336" s="495" t="s">
        <v>796</v>
      </c>
      <c r="C336" s="494"/>
      <c r="D336" s="494"/>
      <c r="E336" s="494"/>
      <c r="F336" s="501"/>
      <c r="G336" s="494"/>
      <c r="H336" s="429">
        <f t="shared" si="4"/>
        <v>0</v>
      </c>
    </row>
    <row r="337" spans="1:8" ht="24.75">
      <c r="A337" s="494" t="s">
        <v>733</v>
      </c>
      <c r="B337" s="495" t="s">
        <v>797</v>
      </c>
      <c r="C337" s="494" t="s">
        <v>261</v>
      </c>
      <c r="D337" s="494" t="s">
        <v>847</v>
      </c>
      <c r="E337" s="499" t="s">
        <v>723</v>
      </c>
      <c r="F337" s="450" t="e">
        <f>LUONGNGAY!$K$35</f>
        <v>#VALUE!</v>
      </c>
      <c r="G337" s="494">
        <v>0.13</v>
      </c>
      <c r="H337" s="429" t="e">
        <f t="shared" si="4"/>
        <v>#VALUE!</v>
      </c>
    </row>
    <row r="338" spans="1:8" ht="24.75">
      <c r="A338" s="494" t="s">
        <v>741</v>
      </c>
      <c r="B338" s="495" t="s">
        <v>798</v>
      </c>
      <c r="C338" s="494"/>
      <c r="D338" s="494"/>
      <c r="E338" s="494"/>
      <c r="F338" s="501"/>
      <c r="G338" s="494"/>
      <c r="H338" s="429">
        <f t="shared" si="4"/>
        <v>0</v>
      </c>
    </row>
    <row r="339" spans="1:8">
      <c r="A339" s="494" t="s">
        <v>799</v>
      </c>
      <c r="B339" s="495" t="s">
        <v>846</v>
      </c>
      <c r="C339" s="494" t="s">
        <v>261</v>
      </c>
      <c r="D339" s="494" t="s">
        <v>847</v>
      </c>
      <c r="E339" s="499" t="s">
        <v>723</v>
      </c>
      <c r="F339" s="450" t="e">
        <f>LUONGNGAY!$K$35</f>
        <v>#VALUE!</v>
      </c>
      <c r="G339" s="494">
        <v>0.5</v>
      </c>
      <c r="H339" s="429" t="e">
        <f t="shared" si="4"/>
        <v>#VALUE!</v>
      </c>
    </row>
    <row r="340" spans="1:8">
      <c r="A340" s="494" t="s">
        <v>800</v>
      </c>
      <c r="B340" s="495" t="s">
        <v>849</v>
      </c>
      <c r="C340" s="494" t="s">
        <v>261</v>
      </c>
      <c r="D340" s="494" t="s">
        <v>847</v>
      </c>
      <c r="E340" s="499" t="s">
        <v>723</v>
      </c>
      <c r="F340" s="450" t="e">
        <f>LUONGNGAY!$K$35</f>
        <v>#VALUE!</v>
      </c>
      <c r="G340" s="494">
        <v>0.25</v>
      </c>
      <c r="H340" s="429" t="e">
        <f t="shared" si="4"/>
        <v>#VALUE!</v>
      </c>
    </row>
    <row r="341" spans="1:8" ht="24.75">
      <c r="A341" s="494">
        <v>2</v>
      </c>
      <c r="B341" s="495" t="s">
        <v>801</v>
      </c>
      <c r="C341" s="494"/>
      <c r="D341" s="494"/>
      <c r="E341" s="494"/>
      <c r="F341" s="501"/>
      <c r="G341" s="494"/>
      <c r="H341" s="429">
        <f t="shared" si="4"/>
        <v>0</v>
      </c>
    </row>
    <row r="342" spans="1:8">
      <c r="A342" s="494" t="s">
        <v>742</v>
      </c>
      <c r="B342" s="495" t="s">
        <v>846</v>
      </c>
      <c r="C342" s="494" t="s">
        <v>261</v>
      </c>
      <c r="D342" s="494" t="s">
        <v>847</v>
      </c>
      <c r="E342" s="499" t="s">
        <v>723</v>
      </c>
      <c r="F342" s="450" t="e">
        <f>LUONGNGAY!$K$35</f>
        <v>#VALUE!</v>
      </c>
      <c r="G342" s="494">
        <v>6.5000000000000002E-2</v>
      </c>
      <c r="H342" s="429" t="e">
        <f t="shared" si="4"/>
        <v>#VALUE!</v>
      </c>
    </row>
    <row r="343" spans="1:8">
      <c r="A343" s="494" t="s">
        <v>743</v>
      </c>
      <c r="B343" s="495" t="s">
        <v>849</v>
      </c>
      <c r="C343" s="494" t="s">
        <v>261</v>
      </c>
      <c r="D343" s="494" t="s">
        <v>847</v>
      </c>
      <c r="E343" s="499" t="s">
        <v>723</v>
      </c>
      <c r="F343" s="450" t="e">
        <f>LUONGNGAY!$K$35</f>
        <v>#VALUE!</v>
      </c>
      <c r="G343" s="494">
        <v>6.5000000000000002E-2</v>
      </c>
      <c r="H343" s="429" t="e">
        <f t="shared" si="4"/>
        <v>#VALUE!</v>
      </c>
    </row>
    <row r="344" spans="1:8">
      <c r="A344" s="494">
        <v>3</v>
      </c>
      <c r="B344" s="495" t="s">
        <v>584</v>
      </c>
      <c r="C344" s="494" t="s">
        <v>261</v>
      </c>
      <c r="D344" s="494" t="s">
        <v>842</v>
      </c>
      <c r="E344" s="499" t="s">
        <v>723</v>
      </c>
      <c r="F344" s="426" t="e">
        <f>LUONGNGAY!$K$36</f>
        <v>#VALUE!</v>
      </c>
      <c r="G344" s="494">
        <v>0.52</v>
      </c>
      <c r="H344" s="429" t="e">
        <f t="shared" si="4"/>
        <v>#VALUE!</v>
      </c>
    </row>
    <row r="345" spans="1:8" ht="24.75">
      <c r="A345" s="494">
        <v>4</v>
      </c>
      <c r="B345" s="495" t="s">
        <v>585</v>
      </c>
      <c r="C345" s="494" t="s">
        <v>261</v>
      </c>
      <c r="D345" s="494" t="s">
        <v>842</v>
      </c>
      <c r="E345" s="499" t="s">
        <v>723</v>
      </c>
      <c r="F345" s="426" t="e">
        <f>LUONGNGAY!$K$36</f>
        <v>#VALUE!</v>
      </c>
      <c r="G345" s="494">
        <v>0.65</v>
      </c>
      <c r="H345" s="429" t="e">
        <f t="shared" si="4"/>
        <v>#VALUE!</v>
      </c>
    </row>
    <row r="346" spans="1:8">
      <c r="A346" s="494">
        <v>5</v>
      </c>
      <c r="B346" s="495" t="s">
        <v>2</v>
      </c>
      <c r="C346" s="494" t="s">
        <v>481</v>
      </c>
      <c r="D346" s="494" t="s">
        <v>842</v>
      </c>
      <c r="E346" s="499" t="s">
        <v>723</v>
      </c>
      <c r="F346" s="426" t="e">
        <f>LUONGNGAY!$K$36</f>
        <v>#VALUE!</v>
      </c>
      <c r="G346" s="494">
        <v>6.0000000000000001E-3</v>
      </c>
      <c r="H346" s="429" t="e">
        <f t="shared" si="4"/>
        <v>#VALUE!</v>
      </c>
    </row>
    <row r="347" spans="1:8" ht="36.75">
      <c r="A347" s="494">
        <v>6</v>
      </c>
      <c r="B347" s="495" t="s">
        <v>802</v>
      </c>
      <c r="C347" s="494"/>
      <c r="D347" s="494"/>
      <c r="E347" s="494"/>
      <c r="F347" s="501"/>
      <c r="G347" s="494"/>
      <c r="H347" s="429">
        <f t="shared" si="4"/>
        <v>0</v>
      </c>
    </row>
    <row r="348" spans="1:8">
      <c r="A348" s="494" t="s">
        <v>661</v>
      </c>
      <c r="B348" s="495" t="s">
        <v>587</v>
      </c>
      <c r="C348" s="494" t="s">
        <v>481</v>
      </c>
      <c r="D348" s="494" t="s">
        <v>847</v>
      </c>
      <c r="E348" s="499" t="s">
        <v>723</v>
      </c>
      <c r="F348" s="450" t="e">
        <f>LUONGNGAY!$K$35</f>
        <v>#VALUE!</v>
      </c>
      <c r="G348" s="494">
        <v>0.05</v>
      </c>
      <c r="H348" s="429" t="e">
        <f t="shared" si="4"/>
        <v>#VALUE!</v>
      </c>
    </row>
    <row r="349" spans="1:8">
      <c r="A349" s="494" t="s">
        <v>662</v>
      </c>
      <c r="B349" s="495" t="s">
        <v>588</v>
      </c>
      <c r="C349" s="494" t="s">
        <v>481</v>
      </c>
      <c r="D349" s="494" t="s">
        <v>847</v>
      </c>
      <c r="E349" s="499" t="s">
        <v>723</v>
      </c>
      <c r="F349" s="450" t="e">
        <f>LUONGNGAY!$K$35</f>
        <v>#VALUE!</v>
      </c>
      <c r="G349" s="494">
        <v>0.1</v>
      </c>
      <c r="H349" s="429" t="e">
        <f t="shared" si="4"/>
        <v>#VALUE!</v>
      </c>
    </row>
    <row r="350" spans="1:8" ht="24.75">
      <c r="A350" s="494">
        <v>7</v>
      </c>
      <c r="B350" s="495" t="s">
        <v>589</v>
      </c>
      <c r="C350" s="494"/>
      <c r="D350" s="494"/>
      <c r="E350" s="494"/>
      <c r="F350" s="501"/>
      <c r="G350" s="494"/>
      <c r="H350" s="429">
        <f t="shared" si="4"/>
        <v>0</v>
      </c>
    </row>
    <row r="351" spans="1:8">
      <c r="A351" s="494" t="s">
        <v>714</v>
      </c>
      <c r="B351" s="495" t="s">
        <v>590</v>
      </c>
      <c r="C351" s="494" t="s">
        <v>261</v>
      </c>
      <c r="D351" s="494" t="s">
        <v>842</v>
      </c>
      <c r="E351" s="499" t="s">
        <v>723</v>
      </c>
      <c r="F351" s="426" t="e">
        <f>LUONGNGAY!$K$36</f>
        <v>#VALUE!</v>
      </c>
      <c r="G351" s="494">
        <v>0.13</v>
      </c>
      <c r="H351" s="429" t="e">
        <f t="shared" si="4"/>
        <v>#VALUE!</v>
      </c>
    </row>
    <row r="352" spans="1:8">
      <c r="A352" s="494" t="s">
        <v>715</v>
      </c>
      <c r="B352" s="495" t="s">
        <v>591</v>
      </c>
      <c r="C352" s="494" t="s">
        <v>261</v>
      </c>
      <c r="D352" s="494" t="s">
        <v>842</v>
      </c>
      <c r="E352" s="499" t="s">
        <v>723</v>
      </c>
      <c r="F352" s="426" t="e">
        <f>LUONGNGAY!$K$36</f>
        <v>#VALUE!</v>
      </c>
      <c r="G352" s="494">
        <v>0.26</v>
      </c>
      <c r="H352" s="429" t="e">
        <f t="shared" si="4"/>
        <v>#VALUE!</v>
      </c>
    </row>
    <row r="353" spans="1:8">
      <c r="A353" s="494">
        <v>8</v>
      </c>
      <c r="B353" s="495" t="s">
        <v>803</v>
      </c>
      <c r="C353" s="494"/>
      <c r="D353" s="494"/>
      <c r="E353" s="494"/>
      <c r="F353" s="501"/>
      <c r="G353" s="494"/>
      <c r="H353" s="429">
        <f t="shared" si="4"/>
        <v>0</v>
      </c>
    </row>
    <row r="354" spans="1:8" ht="36.75">
      <c r="A354" s="494" t="s">
        <v>191</v>
      </c>
      <c r="B354" s="495" t="s">
        <v>804</v>
      </c>
      <c r="C354" s="494"/>
      <c r="D354" s="494"/>
      <c r="E354" s="494"/>
      <c r="F354" s="501"/>
      <c r="G354" s="494"/>
      <c r="H354" s="429">
        <f t="shared" si="4"/>
        <v>0</v>
      </c>
    </row>
    <row r="355" spans="1:8">
      <c r="A355" s="494" t="s">
        <v>805</v>
      </c>
      <c r="B355" s="495" t="s">
        <v>846</v>
      </c>
      <c r="C355" s="494" t="s">
        <v>261</v>
      </c>
      <c r="D355" s="494" t="s">
        <v>847</v>
      </c>
      <c r="E355" s="499" t="s">
        <v>723</v>
      </c>
      <c r="F355" s="450" t="e">
        <f>LUONGNGAY!$K$35</f>
        <v>#VALUE!</v>
      </c>
      <c r="G355" s="494">
        <v>0.26</v>
      </c>
      <c r="H355" s="429" t="e">
        <f t="shared" si="4"/>
        <v>#VALUE!</v>
      </c>
    </row>
    <row r="356" spans="1:8">
      <c r="A356" s="494" t="s">
        <v>806</v>
      </c>
      <c r="B356" s="495" t="s">
        <v>849</v>
      </c>
      <c r="C356" s="494" t="s">
        <v>261</v>
      </c>
      <c r="D356" s="494" t="s">
        <v>847</v>
      </c>
      <c r="E356" s="499" t="s">
        <v>723</v>
      </c>
      <c r="F356" s="450" t="e">
        <f>LUONGNGAY!$K$35</f>
        <v>#VALUE!</v>
      </c>
      <c r="G356" s="494">
        <v>0.13</v>
      </c>
      <c r="H356" s="429" t="e">
        <f t="shared" si="4"/>
        <v>#VALUE!</v>
      </c>
    </row>
    <row r="357" spans="1:8" ht="36.75">
      <c r="A357" s="494" t="s">
        <v>192</v>
      </c>
      <c r="B357" s="495" t="s">
        <v>867</v>
      </c>
      <c r="C357" s="494"/>
      <c r="D357" s="494"/>
      <c r="E357" s="494"/>
      <c r="F357" s="501"/>
      <c r="G357" s="494"/>
      <c r="H357" s="429">
        <f t="shared" si="4"/>
        <v>0</v>
      </c>
    </row>
    <row r="358" spans="1:8">
      <c r="A358" s="494" t="s">
        <v>659</v>
      </c>
      <c r="B358" s="495" t="s">
        <v>846</v>
      </c>
      <c r="C358" s="494" t="s">
        <v>261</v>
      </c>
      <c r="D358" s="494" t="s">
        <v>847</v>
      </c>
      <c r="E358" s="499" t="s">
        <v>723</v>
      </c>
      <c r="F358" s="450" t="e">
        <f>LUONGNGAY!$K$35</f>
        <v>#VALUE!</v>
      </c>
      <c r="G358" s="494">
        <v>0.26</v>
      </c>
      <c r="H358" s="429" t="e">
        <f t="shared" si="4"/>
        <v>#VALUE!</v>
      </c>
    </row>
    <row r="359" spans="1:8">
      <c r="A359" s="494" t="s">
        <v>660</v>
      </c>
      <c r="B359" s="495" t="s">
        <v>849</v>
      </c>
      <c r="C359" s="494" t="s">
        <v>261</v>
      </c>
      <c r="D359" s="494" t="s">
        <v>847</v>
      </c>
      <c r="E359" s="499" t="s">
        <v>723</v>
      </c>
      <c r="F359" s="450" t="e">
        <f>LUONGNGAY!$K$35</f>
        <v>#VALUE!</v>
      </c>
      <c r="G359" s="494">
        <v>0.13</v>
      </c>
      <c r="H359" s="429" t="e">
        <f t="shared" si="4"/>
        <v>#VALUE!</v>
      </c>
    </row>
    <row r="360" spans="1:8">
      <c r="A360" s="494">
        <v>9</v>
      </c>
      <c r="B360" s="495" t="s">
        <v>78</v>
      </c>
      <c r="C360" s="494" t="s">
        <v>481</v>
      </c>
      <c r="D360" s="494" t="s">
        <v>842</v>
      </c>
      <c r="E360" s="499" t="s">
        <v>723</v>
      </c>
      <c r="F360" s="426" t="e">
        <f>LUONGNGAY!$K$36</f>
        <v>#VALUE!</v>
      </c>
      <c r="G360" s="494">
        <v>0.03</v>
      </c>
      <c r="H360" s="429" t="e">
        <f t="shared" si="4"/>
        <v>#VALUE!</v>
      </c>
    </row>
    <row r="361" spans="1:8">
      <c r="A361" s="494">
        <v>10</v>
      </c>
      <c r="B361" s="495" t="s">
        <v>260</v>
      </c>
      <c r="C361" s="494" t="s">
        <v>79</v>
      </c>
      <c r="D361" s="494" t="s">
        <v>842</v>
      </c>
      <c r="E361" s="499" t="s">
        <v>723</v>
      </c>
      <c r="F361" s="426" t="e">
        <f>LUONGNGAY!$K$36</f>
        <v>#VALUE!</v>
      </c>
      <c r="G361" s="494">
        <v>0.2</v>
      </c>
      <c r="H361" s="429" t="e">
        <f t="shared" si="4"/>
        <v>#VALUE!</v>
      </c>
    </row>
    <row r="362" spans="1:8">
      <c r="A362" s="494">
        <v>11</v>
      </c>
      <c r="B362" s="495" t="s">
        <v>80</v>
      </c>
      <c r="C362" s="494"/>
      <c r="D362" s="494"/>
      <c r="E362" s="494"/>
      <c r="F362" s="501"/>
      <c r="G362" s="494"/>
      <c r="H362" s="429">
        <f t="shared" si="4"/>
        <v>0</v>
      </c>
    </row>
    <row r="363" spans="1:8">
      <c r="A363" s="494" t="s">
        <v>719</v>
      </c>
      <c r="B363" s="495" t="s">
        <v>82</v>
      </c>
      <c r="C363" s="494" t="s">
        <v>559</v>
      </c>
      <c r="D363" s="494" t="s">
        <v>847</v>
      </c>
      <c r="E363" s="499" t="s">
        <v>723</v>
      </c>
      <c r="F363" s="450" t="e">
        <f>LUONGNGAY!$K$35</f>
        <v>#VALUE!</v>
      </c>
      <c r="G363" s="494">
        <v>0.1</v>
      </c>
      <c r="H363" s="429" t="e">
        <f t="shared" si="4"/>
        <v>#VALUE!</v>
      </c>
    </row>
    <row r="364" spans="1:8">
      <c r="A364" s="494" t="s">
        <v>720</v>
      </c>
      <c r="B364" s="495" t="s">
        <v>84</v>
      </c>
      <c r="C364" s="494" t="s">
        <v>559</v>
      </c>
      <c r="D364" s="494" t="s">
        <v>847</v>
      </c>
      <c r="E364" s="499" t="s">
        <v>723</v>
      </c>
      <c r="F364" s="450" t="e">
        <f>LUONGNGAY!$K$35</f>
        <v>#VALUE!</v>
      </c>
      <c r="G364" s="494">
        <v>0.2</v>
      </c>
      <c r="H364" s="429" t="e">
        <f t="shared" si="4"/>
        <v>#VALUE!</v>
      </c>
    </row>
    <row r="365" spans="1:8">
      <c r="A365" s="494">
        <v>12</v>
      </c>
      <c r="B365" s="495" t="s">
        <v>85</v>
      </c>
      <c r="C365" s="494" t="s">
        <v>261</v>
      </c>
      <c r="D365" s="494" t="s">
        <v>847</v>
      </c>
      <c r="E365" s="499" t="s">
        <v>723</v>
      </c>
      <c r="F365" s="450" t="e">
        <f>LUONGNGAY!$K$35</f>
        <v>#VALUE!</v>
      </c>
      <c r="G365" s="494">
        <v>0.39</v>
      </c>
      <c r="H365" s="429" t="e">
        <f t="shared" si="4"/>
        <v>#VALUE!</v>
      </c>
    </row>
    <row r="366" spans="1:8" ht="24.75">
      <c r="A366" s="494">
        <v>13</v>
      </c>
      <c r="B366" s="495" t="s">
        <v>868</v>
      </c>
      <c r="C366" s="494" t="s">
        <v>261</v>
      </c>
      <c r="D366" s="494" t="s">
        <v>847</v>
      </c>
      <c r="E366" s="499" t="s">
        <v>723</v>
      </c>
      <c r="F366" s="450" t="e">
        <f>LUONGNGAY!$K$35</f>
        <v>#VALUE!</v>
      </c>
      <c r="G366" s="494">
        <v>0.221</v>
      </c>
      <c r="H366" s="429" t="e">
        <f t="shared" si="4"/>
        <v>#VALUE!</v>
      </c>
    </row>
    <row r="367" spans="1:8">
      <c r="A367" s="494">
        <v>14</v>
      </c>
      <c r="B367" s="495" t="s">
        <v>87</v>
      </c>
      <c r="C367" s="494" t="s">
        <v>481</v>
      </c>
      <c r="D367" s="494" t="s">
        <v>842</v>
      </c>
      <c r="E367" s="499" t="s">
        <v>723</v>
      </c>
      <c r="F367" s="426" t="e">
        <f>LUONGNGAY!$K$36</f>
        <v>#VALUE!</v>
      </c>
      <c r="G367" s="494">
        <v>3.3000000000000002E-2</v>
      </c>
      <c r="H367" s="429" t="e">
        <f t="shared" si="4"/>
        <v>#VALUE!</v>
      </c>
    </row>
    <row r="368" spans="1:8">
      <c r="A368" s="494">
        <v>15</v>
      </c>
      <c r="B368" s="495" t="s">
        <v>88</v>
      </c>
      <c r="C368" s="494"/>
      <c r="D368" s="494"/>
      <c r="E368" s="494"/>
      <c r="F368" s="501"/>
      <c r="G368" s="494"/>
      <c r="H368" s="429">
        <f t="shared" si="4"/>
        <v>0</v>
      </c>
    </row>
    <row r="369" spans="1:8" ht="24.75">
      <c r="A369" s="494" t="s">
        <v>869</v>
      </c>
      <c r="B369" s="495" t="s">
        <v>775</v>
      </c>
      <c r="C369" s="494"/>
      <c r="D369" s="494"/>
      <c r="E369" s="494"/>
      <c r="F369" s="501"/>
      <c r="G369" s="494"/>
      <c r="H369" s="429">
        <f t="shared" si="4"/>
        <v>0</v>
      </c>
    </row>
    <row r="370" spans="1:8">
      <c r="A370" s="494" t="s">
        <v>870</v>
      </c>
      <c r="B370" s="495" t="s">
        <v>777</v>
      </c>
      <c r="C370" s="494" t="s">
        <v>778</v>
      </c>
      <c r="D370" s="494" t="s">
        <v>779</v>
      </c>
      <c r="E370" s="499" t="s">
        <v>723</v>
      </c>
      <c r="F370" s="426" t="e">
        <f>LUONGNGAY!$K$34</f>
        <v>#VALUE!</v>
      </c>
      <c r="G370" s="494">
        <v>0.02</v>
      </c>
      <c r="H370" s="429" t="e">
        <f t="shared" si="4"/>
        <v>#VALUE!</v>
      </c>
    </row>
    <row r="371" spans="1:8">
      <c r="A371" s="494" t="s">
        <v>871</v>
      </c>
      <c r="B371" s="495" t="s">
        <v>781</v>
      </c>
      <c r="C371" s="494" t="s">
        <v>778</v>
      </c>
      <c r="D371" s="494" t="s">
        <v>779</v>
      </c>
      <c r="E371" s="499" t="s">
        <v>723</v>
      </c>
      <c r="F371" s="426" t="e">
        <f>LUONGNGAY!$K$34</f>
        <v>#VALUE!</v>
      </c>
      <c r="G371" s="494">
        <v>0.01</v>
      </c>
      <c r="H371" s="429" t="e">
        <f t="shared" si="4"/>
        <v>#VALUE!</v>
      </c>
    </row>
    <row r="372" spans="1:8" ht="24.75">
      <c r="A372" s="494" t="s">
        <v>872</v>
      </c>
      <c r="B372" s="495" t="s">
        <v>861</v>
      </c>
      <c r="C372" s="494" t="s">
        <v>778</v>
      </c>
      <c r="D372" s="494" t="s">
        <v>779</v>
      </c>
      <c r="E372" s="499" t="s">
        <v>723</v>
      </c>
      <c r="F372" s="426" t="e">
        <f>LUONGNGAY!$K$34</f>
        <v>#VALUE!</v>
      </c>
      <c r="G372" s="494">
        <v>5.0000000000000001E-3</v>
      </c>
      <c r="H372" s="429" t="e">
        <f t="shared" si="4"/>
        <v>#VALUE!</v>
      </c>
    </row>
    <row r="373" spans="1:8">
      <c r="A373" s="494" t="s">
        <v>873</v>
      </c>
      <c r="B373" s="495" t="s">
        <v>863</v>
      </c>
      <c r="C373" s="494" t="s">
        <v>481</v>
      </c>
      <c r="D373" s="494" t="s">
        <v>779</v>
      </c>
      <c r="E373" s="499" t="s">
        <v>723</v>
      </c>
      <c r="F373" s="426" t="e">
        <f>LUONGNGAY!$K$34</f>
        <v>#VALUE!</v>
      </c>
      <c r="G373" s="494">
        <v>1.2999999999999999E-2</v>
      </c>
      <c r="H373" s="429" t="e">
        <f t="shared" si="4"/>
        <v>#VALUE!</v>
      </c>
    </row>
    <row r="374" spans="1:8" ht="24.75">
      <c r="A374" s="494">
        <v>16</v>
      </c>
      <c r="B374" s="495" t="s">
        <v>874</v>
      </c>
      <c r="C374" s="494" t="s">
        <v>261</v>
      </c>
      <c r="D374" s="494" t="s">
        <v>847</v>
      </c>
      <c r="E374" s="499" t="s">
        <v>723</v>
      </c>
      <c r="F374" s="450" t="e">
        <f>LUONGNGAY!$K$35</f>
        <v>#VALUE!</v>
      </c>
      <c r="G374" s="494">
        <v>0.26</v>
      </c>
      <c r="H374" s="429" t="e">
        <f t="shared" si="4"/>
        <v>#VALUE!</v>
      </c>
    </row>
    <row r="375" spans="1:8">
      <c r="A375" s="494">
        <v>17</v>
      </c>
      <c r="B375" s="495" t="s">
        <v>875</v>
      </c>
      <c r="C375" s="494"/>
      <c r="D375" s="494"/>
      <c r="E375" s="494"/>
      <c r="F375" s="501"/>
      <c r="G375" s="494"/>
      <c r="H375" s="429">
        <f t="shared" si="4"/>
        <v>0</v>
      </c>
    </row>
    <row r="376" spans="1:8">
      <c r="A376" s="494" t="s">
        <v>876</v>
      </c>
      <c r="B376" s="495" t="s">
        <v>875</v>
      </c>
      <c r="C376" s="494" t="s">
        <v>261</v>
      </c>
      <c r="D376" s="494" t="s">
        <v>847</v>
      </c>
      <c r="E376" s="499" t="s">
        <v>723</v>
      </c>
      <c r="F376" s="450" t="e">
        <f>LUONGNGAY!$K$35</f>
        <v>#VALUE!</v>
      </c>
      <c r="G376" s="494">
        <v>0.13</v>
      </c>
      <c r="H376" s="429" t="e">
        <f>F376*G376</f>
        <v>#VALUE!</v>
      </c>
    </row>
    <row r="377" spans="1:8" ht="24.75">
      <c r="A377" s="494" t="s">
        <v>877</v>
      </c>
      <c r="B377" s="495" t="s">
        <v>878</v>
      </c>
      <c r="C377" s="494" t="s">
        <v>261</v>
      </c>
      <c r="D377" s="494" t="s">
        <v>847</v>
      </c>
      <c r="E377" s="499" t="s">
        <v>723</v>
      </c>
      <c r="F377" s="450" t="e">
        <f>LUONGNGAY!$K$35</f>
        <v>#VALUE!</v>
      </c>
      <c r="G377" s="494">
        <v>0.13</v>
      </c>
      <c r="H377" s="429" t="e">
        <f>F377*G377</f>
        <v>#VALUE!</v>
      </c>
    </row>
    <row r="378" spans="1:8">
      <c r="A378" s="500" t="s">
        <v>755</v>
      </c>
      <c r="B378" s="493" t="s">
        <v>339</v>
      </c>
      <c r="C378" s="494"/>
      <c r="D378" s="494"/>
      <c r="E378" s="494"/>
      <c r="F378" s="501"/>
      <c r="G378" s="494"/>
      <c r="H378" s="429">
        <f>F378*G378</f>
        <v>0</v>
      </c>
    </row>
    <row r="379" spans="1:8" ht="24.75">
      <c r="A379" s="494">
        <v>1</v>
      </c>
      <c r="B379" s="495" t="s">
        <v>879</v>
      </c>
      <c r="C379" s="494" t="s">
        <v>261</v>
      </c>
      <c r="D379" s="494" t="s">
        <v>842</v>
      </c>
      <c r="E379" s="499" t="s">
        <v>723</v>
      </c>
      <c r="F379" s="506" t="e">
        <f>F367</f>
        <v>#VALUE!</v>
      </c>
      <c r="G379" s="494">
        <v>0.26</v>
      </c>
      <c r="H379" s="429" t="e">
        <f>F379*G379</f>
        <v>#VALUE!</v>
      </c>
    </row>
    <row r="380" spans="1:8">
      <c r="A380" s="437"/>
      <c r="B380" s="445"/>
      <c r="C380" s="439"/>
      <c r="D380" s="439"/>
      <c r="E380" s="441"/>
      <c r="F380" s="446"/>
      <c r="G380" s="451"/>
      <c r="H380" s="448"/>
    </row>
    <row r="381" spans="1:8" ht="19.5" customHeight="1"/>
    <row r="382" spans="1:8" ht="33" customHeight="1">
      <c r="A382" s="1151" t="s">
        <v>708</v>
      </c>
      <c r="B382" s="1151"/>
      <c r="C382" s="1151"/>
      <c r="D382" s="1151"/>
      <c r="E382" s="1151"/>
      <c r="F382" s="1151"/>
      <c r="G382" s="1151"/>
      <c r="H382" s="1151"/>
    </row>
    <row r="383" spans="1:8">
      <c r="A383" s="414"/>
      <c r="B383" s="415"/>
      <c r="E383" s="417"/>
      <c r="F383" s="418"/>
      <c r="G383" s="417"/>
      <c r="H383" s="419"/>
    </row>
    <row r="384" spans="1:8" ht="49.5" customHeight="1">
      <c r="A384" s="422" t="s">
        <v>979</v>
      </c>
      <c r="B384" s="422" t="s">
        <v>198</v>
      </c>
      <c r="C384" s="423" t="s">
        <v>479</v>
      </c>
      <c r="D384" s="423" t="s">
        <v>478</v>
      </c>
      <c r="E384" s="423" t="s">
        <v>199</v>
      </c>
      <c r="F384" s="424" t="s">
        <v>483</v>
      </c>
      <c r="G384" s="423" t="s">
        <v>482</v>
      </c>
      <c r="H384" s="423" t="s">
        <v>200</v>
      </c>
    </row>
    <row r="385" spans="1:8" ht="19.5" customHeight="1">
      <c r="A385" s="500" t="s">
        <v>1000</v>
      </c>
      <c r="B385" s="493" t="s">
        <v>912</v>
      </c>
      <c r="C385" s="494"/>
      <c r="D385" s="494"/>
      <c r="E385" s="494"/>
      <c r="F385" s="501"/>
      <c r="G385" s="494"/>
      <c r="H385" s="494"/>
    </row>
    <row r="386" spans="1:8" ht="18.75" customHeight="1">
      <c r="A386" s="494">
        <v>1</v>
      </c>
      <c r="B386" s="495" t="s">
        <v>844</v>
      </c>
      <c r="C386" s="494"/>
      <c r="D386" s="494"/>
      <c r="E386" s="494"/>
      <c r="F386" s="501"/>
      <c r="G386" s="494"/>
      <c r="H386" s="494"/>
    </row>
    <row r="387" spans="1:8" ht="19.5" customHeight="1">
      <c r="A387" s="494" t="s">
        <v>733</v>
      </c>
      <c r="B387" s="495" t="s">
        <v>846</v>
      </c>
      <c r="C387" s="494" t="s">
        <v>261</v>
      </c>
      <c r="D387" s="494" t="s">
        <v>847</v>
      </c>
      <c r="E387" s="499" t="s">
        <v>723</v>
      </c>
      <c r="F387" s="506" t="e">
        <f>LUONGNGAY!$K$35</f>
        <v>#VALUE!</v>
      </c>
      <c r="G387" s="494">
        <v>0.2</v>
      </c>
      <c r="H387" s="429" t="e">
        <f>F387*G387</f>
        <v>#VALUE!</v>
      </c>
    </row>
    <row r="388" spans="1:8" ht="19.5" customHeight="1">
      <c r="A388" s="494" t="s">
        <v>741</v>
      </c>
      <c r="B388" s="495" t="s">
        <v>849</v>
      </c>
      <c r="C388" s="494" t="s">
        <v>261</v>
      </c>
      <c r="D388" s="494" t="s">
        <v>847</v>
      </c>
      <c r="E388" s="499" t="s">
        <v>723</v>
      </c>
      <c r="F388" s="506" t="e">
        <f>LUONGNGAY!$K$35</f>
        <v>#VALUE!</v>
      </c>
      <c r="G388" s="494">
        <v>0.15</v>
      </c>
      <c r="H388" s="429" t="e">
        <f t="shared" ref="H388:H427" si="5">F388*G388</f>
        <v>#VALUE!</v>
      </c>
    </row>
    <row r="389" spans="1:8" ht="36.75" customHeight="1">
      <c r="A389" s="494">
        <v>2</v>
      </c>
      <c r="B389" s="495" t="s">
        <v>850</v>
      </c>
      <c r="C389" s="494" t="s">
        <v>261</v>
      </c>
      <c r="D389" s="494" t="s">
        <v>847</v>
      </c>
      <c r="E389" s="499" t="s">
        <v>723</v>
      </c>
      <c r="F389" s="506" t="e">
        <f>LUONGNGAY!$K$35</f>
        <v>#VALUE!</v>
      </c>
      <c r="G389" s="494">
        <v>0.5</v>
      </c>
      <c r="H389" s="429" t="e">
        <f t="shared" si="5"/>
        <v>#VALUE!</v>
      </c>
    </row>
    <row r="390" spans="1:8" ht="36.75" customHeight="1">
      <c r="A390" s="494">
        <v>3</v>
      </c>
      <c r="B390" s="495" t="s">
        <v>881</v>
      </c>
      <c r="C390" s="494" t="s">
        <v>481</v>
      </c>
      <c r="D390" s="494" t="s">
        <v>842</v>
      </c>
      <c r="E390" s="499" t="s">
        <v>723</v>
      </c>
      <c r="F390" s="506" t="e">
        <f>LUONGNGAY!$K$36</f>
        <v>#VALUE!</v>
      </c>
      <c r="G390" s="494">
        <v>0.107</v>
      </c>
      <c r="H390" s="429" t="e">
        <f t="shared" si="5"/>
        <v>#VALUE!</v>
      </c>
    </row>
    <row r="391" spans="1:8" ht="36.75" customHeight="1">
      <c r="A391" s="494">
        <v>4</v>
      </c>
      <c r="B391" s="495" t="s">
        <v>882</v>
      </c>
      <c r="C391" s="494"/>
      <c r="D391" s="494"/>
      <c r="E391" s="494"/>
      <c r="G391" s="494"/>
      <c r="H391" s="429">
        <f t="shared" si="5"/>
        <v>0</v>
      </c>
    </row>
    <row r="392" spans="1:8" ht="19.5" customHeight="1">
      <c r="A392" s="494" t="s">
        <v>124</v>
      </c>
      <c r="B392" s="495" t="s">
        <v>883</v>
      </c>
      <c r="C392" s="494" t="s">
        <v>261</v>
      </c>
      <c r="D392" s="494" t="s">
        <v>628</v>
      </c>
      <c r="E392" s="499" t="s">
        <v>723</v>
      </c>
      <c r="F392" s="506" t="e">
        <f>(LUONGNGAY!$K$36+LUONGNGAY!$K$35)/2</f>
        <v>#VALUE!</v>
      </c>
      <c r="G392" s="494">
        <f>1*2</f>
        <v>2</v>
      </c>
      <c r="H392" s="429" t="e">
        <f t="shared" si="5"/>
        <v>#VALUE!</v>
      </c>
    </row>
    <row r="393" spans="1:8" ht="19.5" customHeight="1">
      <c r="A393" s="1159" t="s">
        <v>125</v>
      </c>
      <c r="B393" s="1160" t="s">
        <v>884</v>
      </c>
      <c r="C393" s="1159" t="s">
        <v>261</v>
      </c>
      <c r="D393" s="1152" t="s">
        <v>628</v>
      </c>
      <c r="E393" s="494">
        <v>1</v>
      </c>
      <c r="F393" s="506" t="e">
        <f>(LUONGNGAY!$K$36+LUONGNGAY!$K$35)/2</f>
        <v>#VALUE!</v>
      </c>
      <c r="G393" s="494">
        <f>1*2</f>
        <v>2</v>
      </c>
      <c r="H393" s="429" t="e">
        <f t="shared" si="5"/>
        <v>#VALUE!</v>
      </c>
    </row>
    <row r="394" spans="1:8" ht="19.5" customHeight="1">
      <c r="A394" s="1159"/>
      <c r="B394" s="1160"/>
      <c r="C394" s="1159"/>
      <c r="D394" s="1153"/>
      <c r="E394" s="494">
        <v>2</v>
      </c>
      <c r="F394" s="506" t="e">
        <f>(LUONGNGAY!$K$36+LUONGNGAY!$K$35)/2</f>
        <v>#VALUE!</v>
      </c>
      <c r="G394" s="494">
        <f>1.1*2</f>
        <v>2.2000000000000002</v>
      </c>
      <c r="H394" s="429" t="e">
        <f t="shared" si="5"/>
        <v>#VALUE!</v>
      </c>
    </row>
    <row r="395" spans="1:8" ht="19.5" customHeight="1">
      <c r="A395" s="1159"/>
      <c r="B395" s="1160"/>
      <c r="C395" s="1159"/>
      <c r="D395" s="1153"/>
      <c r="E395" s="494">
        <v>3</v>
      </c>
      <c r="F395" s="506" t="e">
        <f>(LUONGNGAY!$K$36+LUONGNGAY!$K$35)/2</f>
        <v>#VALUE!</v>
      </c>
      <c r="G395" s="494">
        <f>1.21*2</f>
        <v>2.42</v>
      </c>
      <c r="H395" s="429" t="e">
        <f t="shared" si="5"/>
        <v>#VALUE!</v>
      </c>
    </row>
    <row r="396" spans="1:8" ht="19.5" customHeight="1">
      <c r="A396" s="1159"/>
      <c r="B396" s="1160"/>
      <c r="C396" s="1159"/>
      <c r="D396" s="1153"/>
      <c r="E396" s="494">
        <v>4</v>
      </c>
      <c r="F396" s="506" t="e">
        <f>(LUONGNGAY!$K$36+LUONGNGAY!$K$35)/2</f>
        <v>#VALUE!</v>
      </c>
      <c r="G396" s="494">
        <f>1.331*2</f>
        <v>2.6619999999999999</v>
      </c>
      <c r="H396" s="429" t="e">
        <f t="shared" si="5"/>
        <v>#VALUE!</v>
      </c>
    </row>
    <row r="397" spans="1:8" ht="19.5" customHeight="1">
      <c r="A397" s="1159"/>
      <c r="B397" s="1160"/>
      <c r="C397" s="1159"/>
      <c r="D397" s="1154"/>
      <c r="E397" s="494">
        <v>5</v>
      </c>
      <c r="F397" s="506" t="e">
        <f>(LUONGNGAY!$K$36+LUONGNGAY!$K$35)/2</f>
        <v>#VALUE!</v>
      </c>
      <c r="G397" s="494">
        <f>1.46*2</f>
        <v>2.92</v>
      </c>
      <c r="H397" s="429" t="e">
        <f t="shared" si="5"/>
        <v>#VALUE!</v>
      </c>
    </row>
    <row r="398" spans="1:8" ht="19.5" customHeight="1">
      <c r="A398" s="494" t="s">
        <v>885</v>
      </c>
      <c r="B398" s="495" t="s">
        <v>886</v>
      </c>
      <c r="C398" s="494" t="s">
        <v>481</v>
      </c>
      <c r="D398" s="494" t="s">
        <v>842</v>
      </c>
      <c r="E398" s="499" t="s">
        <v>723</v>
      </c>
      <c r="F398" s="506" t="e">
        <f>LUONGNGAY!$K$36</f>
        <v>#VALUE!</v>
      </c>
      <c r="G398" s="494">
        <v>3.0000000000000001E-3</v>
      </c>
      <c r="H398" s="429" t="e">
        <f t="shared" si="5"/>
        <v>#VALUE!</v>
      </c>
    </row>
    <row r="399" spans="1:8" ht="37.5" customHeight="1">
      <c r="A399" s="494" t="s">
        <v>887</v>
      </c>
      <c r="B399" s="495" t="s">
        <v>888</v>
      </c>
      <c r="C399" s="494"/>
      <c r="D399" s="494"/>
      <c r="E399" s="494"/>
      <c r="G399" s="494"/>
      <c r="H399" s="429">
        <f t="shared" si="5"/>
        <v>0</v>
      </c>
    </row>
    <row r="400" spans="1:8" ht="19.5" customHeight="1">
      <c r="A400" s="494" t="s">
        <v>889</v>
      </c>
      <c r="B400" s="495" t="s">
        <v>846</v>
      </c>
      <c r="C400" s="494" t="s">
        <v>261</v>
      </c>
      <c r="D400" s="494" t="s">
        <v>847</v>
      </c>
      <c r="E400" s="499" t="s">
        <v>723</v>
      </c>
      <c r="F400" s="506" t="e">
        <f>LUONGNGAY!$K$35</f>
        <v>#VALUE!</v>
      </c>
      <c r="G400" s="494">
        <v>0</v>
      </c>
      <c r="H400" s="429" t="e">
        <f>F400*G400</f>
        <v>#VALUE!</v>
      </c>
    </row>
    <row r="401" spans="1:8" ht="19.5" customHeight="1">
      <c r="A401" s="494" t="s">
        <v>890</v>
      </c>
      <c r="B401" s="495" t="s">
        <v>891</v>
      </c>
      <c r="C401" s="494" t="s">
        <v>261</v>
      </c>
      <c r="D401" s="494" t="s">
        <v>847</v>
      </c>
      <c r="E401" s="499" t="s">
        <v>723</v>
      </c>
      <c r="F401" s="506" t="e">
        <f>LUONGNGAY!$K$35</f>
        <v>#VALUE!</v>
      </c>
      <c r="G401" s="494">
        <v>0</v>
      </c>
      <c r="H401" s="429" t="e">
        <f t="shared" si="5"/>
        <v>#VALUE!</v>
      </c>
    </row>
    <row r="402" spans="1:8" ht="48.75" customHeight="1">
      <c r="A402" s="494" t="s">
        <v>892</v>
      </c>
      <c r="B402" s="495" t="s">
        <v>893</v>
      </c>
      <c r="C402" s="494"/>
      <c r="D402" s="494"/>
      <c r="E402" s="494"/>
      <c r="G402" s="494"/>
      <c r="H402" s="429">
        <f t="shared" si="5"/>
        <v>0</v>
      </c>
    </row>
    <row r="403" spans="1:8" ht="19.5" customHeight="1">
      <c r="A403" s="494" t="s">
        <v>894</v>
      </c>
      <c r="B403" s="495" t="s">
        <v>587</v>
      </c>
      <c r="C403" s="494" t="s">
        <v>481</v>
      </c>
      <c r="D403" s="494" t="s">
        <v>847</v>
      </c>
      <c r="E403" s="499" t="s">
        <v>723</v>
      </c>
      <c r="F403" s="506" t="e">
        <f>LUONGNGAY!$K$35</f>
        <v>#VALUE!</v>
      </c>
      <c r="G403" s="494">
        <v>0.1</v>
      </c>
      <c r="H403" s="429" t="e">
        <f t="shared" si="5"/>
        <v>#VALUE!</v>
      </c>
    </row>
    <row r="404" spans="1:8" ht="19.5" customHeight="1">
      <c r="A404" s="494" t="s">
        <v>895</v>
      </c>
      <c r="B404" s="495" t="s">
        <v>588</v>
      </c>
      <c r="C404" s="494" t="s">
        <v>481</v>
      </c>
      <c r="D404" s="494" t="s">
        <v>847</v>
      </c>
      <c r="E404" s="499" t="s">
        <v>723</v>
      </c>
      <c r="F404" s="506" t="e">
        <f>LUONGNGAY!$K$35</f>
        <v>#VALUE!</v>
      </c>
      <c r="G404" s="494">
        <v>0.2</v>
      </c>
      <c r="H404" s="429" t="e">
        <f t="shared" si="5"/>
        <v>#VALUE!</v>
      </c>
    </row>
    <row r="405" spans="1:8" ht="35.25" customHeight="1">
      <c r="A405" s="494">
        <v>5</v>
      </c>
      <c r="B405" s="495" t="s">
        <v>589</v>
      </c>
      <c r="C405" s="494"/>
      <c r="D405" s="494"/>
      <c r="E405" s="494"/>
      <c r="G405" s="494"/>
      <c r="H405" s="429">
        <f t="shared" si="5"/>
        <v>0</v>
      </c>
    </row>
    <row r="406" spans="1:8" ht="19.5" customHeight="1">
      <c r="A406" s="494" t="s">
        <v>461</v>
      </c>
      <c r="B406" s="495" t="s">
        <v>590</v>
      </c>
      <c r="C406" s="494" t="s">
        <v>261</v>
      </c>
      <c r="D406" s="494" t="s">
        <v>842</v>
      </c>
      <c r="E406" s="499" t="s">
        <v>723</v>
      </c>
      <c r="F406" s="506" t="e">
        <f>LUONGNGAY!$K$36</f>
        <v>#VALUE!</v>
      </c>
      <c r="G406" s="494">
        <v>0.25</v>
      </c>
      <c r="H406" s="429" t="e">
        <f t="shared" si="5"/>
        <v>#VALUE!</v>
      </c>
    </row>
    <row r="407" spans="1:8" ht="19.5" customHeight="1">
      <c r="A407" s="494" t="s">
        <v>462</v>
      </c>
      <c r="B407" s="495" t="s">
        <v>591</v>
      </c>
      <c r="C407" s="494" t="s">
        <v>261</v>
      </c>
      <c r="D407" s="494" t="s">
        <v>842</v>
      </c>
      <c r="E407" s="499" t="s">
        <v>723</v>
      </c>
      <c r="F407" s="506" t="e">
        <f>LUONGNGAY!$K$36</f>
        <v>#VALUE!</v>
      </c>
      <c r="G407" s="494">
        <v>0.2</v>
      </c>
      <c r="H407" s="429" t="e">
        <f t="shared" si="5"/>
        <v>#VALUE!</v>
      </c>
    </row>
    <row r="408" spans="1:8" ht="19.5" customHeight="1">
      <c r="A408" s="494">
        <v>6</v>
      </c>
      <c r="B408" s="495" t="s">
        <v>78</v>
      </c>
      <c r="C408" s="494" t="s">
        <v>481</v>
      </c>
      <c r="D408" s="494" t="s">
        <v>842</v>
      </c>
      <c r="E408" s="499" t="s">
        <v>723</v>
      </c>
      <c r="F408" s="506" t="e">
        <f>LUONGNGAY!$K$36</f>
        <v>#VALUE!</v>
      </c>
      <c r="G408" s="494">
        <v>3.3000000000000002E-2</v>
      </c>
      <c r="H408" s="429" t="e">
        <f t="shared" si="5"/>
        <v>#VALUE!</v>
      </c>
    </row>
    <row r="409" spans="1:8" ht="19.5" customHeight="1">
      <c r="A409" s="494">
        <v>7</v>
      </c>
      <c r="B409" s="495" t="s">
        <v>260</v>
      </c>
      <c r="C409" s="494" t="s">
        <v>261</v>
      </c>
      <c r="D409" s="494" t="s">
        <v>842</v>
      </c>
      <c r="E409" s="499" t="s">
        <v>723</v>
      </c>
      <c r="F409" s="506" t="e">
        <f>LUONGNGAY!$K$36</f>
        <v>#VALUE!</v>
      </c>
      <c r="G409" s="494">
        <v>0.2</v>
      </c>
      <c r="H409" s="429" t="e">
        <f t="shared" si="5"/>
        <v>#VALUE!</v>
      </c>
    </row>
    <row r="410" spans="1:8" ht="19.5" customHeight="1">
      <c r="A410" s="494">
        <v>8</v>
      </c>
      <c r="B410" s="495" t="s">
        <v>80</v>
      </c>
      <c r="C410" s="494"/>
      <c r="D410" s="494"/>
      <c r="E410" s="494"/>
      <c r="G410" s="494"/>
      <c r="H410" s="429">
        <f t="shared" si="5"/>
        <v>0</v>
      </c>
    </row>
    <row r="411" spans="1:8" ht="19.5" customHeight="1">
      <c r="A411" s="494" t="s">
        <v>191</v>
      </c>
      <c r="B411" s="495" t="s">
        <v>82</v>
      </c>
      <c r="C411" s="494" t="s">
        <v>559</v>
      </c>
      <c r="D411" s="494" t="s">
        <v>847</v>
      </c>
      <c r="E411" s="499" t="s">
        <v>723</v>
      </c>
      <c r="F411" s="506" t="e">
        <f>LUONGNGAY!$K$35</f>
        <v>#VALUE!</v>
      </c>
      <c r="G411" s="494">
        <v>0.1</v>
      </c>
      <c r="H411" s="429" t="e">
        <f t="shared" si="5"/>
        <v>#VALUE!</v>
      </c>
    </row>
    <row r="412" spans="1:8" ht="19.5" customHeight="1">
      <c r="A412" s="494" t="s">
        <v>192</v>
      </c>
      <c r="B412" s="495" t="s">
        <v>84</v>
      </c>
      <c r="C412" s="494" t="s">
        <v>559</v>
      </c>
      <c r="D412" s="494" t="s">
        <v>847</v>
      </c>
      <c r="E412" s="499" t="s">
        <v>723</v>
      </c>
      <c r="F412" s="506" t="e">
        <f>LUONGNGAY!$K$35</f>
        <v>#VALUE!</v>
      </c>
      <c r="G412" s="494">
        <v>0.15</v>
      </c>
      <c r="H412" s="429" t="e">
        <f t="shared" si="5"/>
        <v>#VALUE!</v>
      </c>
    </row>
    <row r="413" spans="1:8" ht="19.5" customHeight="1">
      <c r="A413" s="494">
        <v>9</v>
      </c>
      <c r="B413" s="495" t="s">
        <v>85</v>
      </c>
      <c r="C413" s="494" t="s">
        <v>261</v>
      </c>
      <c r="D413" s="494" t="s">
        <v>847</v>
      </c>
      <c r="E413" s="499" t="s">
        <v>723</v>
      </c>
      <c r="F413" s="506" t="e">
        <f>LUONGNGAY!$K$35</f>
        <v>#VALUE!</v>
      </c>
      <c r="G413" s="494">
        <v>0.5</v>
      </c>
      <c r="H413" s="429" t="e">
        <f t="shared" si="5"/>
        <v>#VALUE!</v>
      </c>
    </row>
    <row r="414" spans="1:8" ht="31.5" customHeight="1">
      <c r="A414" s="494">
        <v>10</v>
      </c>
      <c r="B414" s="495" t="s">
        <v>896</v>
      </c>
      <c r="C414" s="494" t="s">
        <v>261</v>
      </c>
      <c r="D414" s="494" t="s">
        <v>847</v>
      </c>
      <c r="E414" s="499" t="s">
        <v>723</v>
      </c>
      <c r="F414" s="506" t="e">
        <f>LUONGNGAY!$K$35</f>
        <v>#VALUE!</v>
      </c>
      <c r="G414" s="494">
        <v>0.47</v>
      </c>
      <c r="H414" s="429" t="e">
        <f t="shared" si="5"/>
        <v>#VALUE!</v>
      </c>
    </row>
    <row r="415" spans="1:8" ht="19.5" customHeight="1">
      <c r="A415" s="494">
        <v>11</v>
      </c>
      <c r="B415" s="495" t="s">
        <v>87</v>
      </c>
      <c r="C415" s="494" t="s">
        <v>481</v>
      </c>
      <c r="D415" s="494" t="s">
        <v>842</v>
      </c>
      <c r="E415" s="499" t="s">
        <v>723</v>
      </c>
      <c r="F415" s="506" t="e">
        <f>LUONGNGAY!$K$36</f>
        <v>#VALUE!</v>
      </c>
      <c r="G415" s="494">
        <v>3.3000000000000002E-2</v>
      </c>
      <c r="H415" s="429" t="e">
        <f t="shared" si="5"/>
        <v>#VALUE!</v>
      </c>
    </row>
    <row r="416" spans="1:8" ht="19.5" customHeight="1">
      <c r="A416" s="494">
        <v>12</v>
      </c>
      <c r="B416" s="495" t="s">
        <v>88</v>
      </c>
      <c r="C416" s="494"/>
      <c r="D416" s="494"/>
      <c r="E416" s="494"/>
      <c r="G416" s="494"/>
      <c r="H416" s="429">
        <f t="shared" si="5"/>
        <v>0</v>
      </c>
    </row>
    <row r="417" spans="1:8" ht="38.25" customHeight="1">
      <c r="A417" s="494" t="s">
        <v>897</v>
      </c>
      <c r="B417" s="495" t="s">
        <v>775</v>
      </c>
      <c r="C417" s="494"/>
      <c r="D417" s="494"/>
      <c r="E417" s="494"/>
      <c r="G417" s="494"/>
      <c r="H417" s="429">
        <f t="shared" si="5"/>
        <v>0</v>
      </c>
    </row>
    <row r="418" spans="1:8" ht="19.5" customHeight="1">
      <c r="A418" s="494" t="s">
        <v>898</v>
      </c>
      <c r="B418" s="495" t="s">
        <v>777</v>
      </c>
      <c r="C418" s="494" t="s">
        <v>778</v>
      </c>
      <c r="D418" s="494" t="s">
        <v>779</v>
      </c>
      <c r="E418" s="499" t="s">
        <v>723</v>
      </c>
      <c r="F418" s="506" t="e">
        <f>LUONGNGAY!$K$34</f>
        <v>#VALUE!</v>
      </c>
      <c r="G418" s="494">
        <v>1.6E-2</v>
      </c>
      <c r="H418" s="429" t="e">
        <f t="shared" si="5"/>
        <v>#VALUE!</v>
      </c>
    </row>
    <row r="419" spans="1:8" ht="19.5" customHeight="1">
      <c r="A419" s="494" t="s">
        <v>899</v>
      </c>
      <c r="B419" s="495" t="s">
        <v>781</v>
      </c>
      <c r="C419" s="494" t="s">
        <v>778</v>
      </c>
      <c r="D419" s="494" t="s">
        <v>779</v>
      </c>
      <c r="E419" s="499" t="s">
        <v>723</v>
      </c>
      <c r="F419" s="506" t="e">
        <f>LUONGNGAY!$K$34</f>
        <v>#VALUE!</v>
      </c>
      <c r="G419" s="494">
        <v>8.0000000000000002E-3</v>
      </c>
      <c r="H419" s="429" t="e">
        <f t="shared" si="5"/>
        <v>#VALUE!</v>
      </c>
    </row>
    <row r="420" spans="1:8" ht="30.75" customHeight="1">
      <c r="A420" s="494" t="s">
        <v>900</v>
      </c>
      <c r="B420" s="495" t="s">
        <v>861</v>
      </c>
      <c r="C420" s="494" t="s">
        <v>778</v>
      </c>
      <c r="D420" s="494" t="s">
        <v>779</v>
      </c>
      <c r="E420" s="499" t="s">
        <v>723</v>
      </c>
      <c r="F420" s="506" t="e">
        <f>LUONGNGAY!$K$34</f>
        <v>#VALUE!</v>
      </c>
      <c r="G420" s="494">
        <v>4.0000000000000001E-3</v>
      </c>
      <c r="H420" s="429" t="e">
        <f t="shared" si="5"/>
        <v>#VALUE!</v>
      </c>
    </row>
    <row r="421" spans="1:8" ht="19.5" customHeight="1">
      <c r="A421" s="494" t="s">
        <v>901</v>
      </c>
      <c r="B421" s="495" t="s">
        <v>863</v>
      </c>
      <c r="C421" s="494" t="s">
        <v>481</v>
      </c>
      <c r="D421" s="494" t="s">
        <v>779</v>
      </c>
      <c r="E421" s="499" t="s">
        <v>723</v>
      </c>
      <c r="F421" s="506" t="e">
        <f>LUONGNGAY!$K$34</f>
        <v>#VALUE!</v>
      </c>
      <c r="G421" s="494">
        <v>0.01</v>
      </c>
      <c r="H421" s="429" t="e">
        <f t="shared" si="5"/>
        <v>#VALUE!</v>
      </c>
    </row>
    <row r="422" spans="1:8" ht="26.25" customHeight="1">
      <c r="A422" s="494">
        <v>13</v>
      </c>
      <c r="B422" s="495" t="s">
        <v>625</v>
      </c>
      <c r="C422" s="494" t="s">
        <v>261</v>
      </c>
      <c r="D422" s="494" t="s">
        <v>847</v>
      </c>
      <c r="E422" s="499" t="s">
        <v>723</v>
      </c>
      <c r="F422" s="506" t="e">
        <f>LUONGNGAY!$K$35</f>
        <v>#VALUE!</v>
      </c>
      <c r="G422" s="494">
        <v>0.2</v>
      </c>
      <c r="H422" s="429" t="e">
        <f t="shared" si="5"/>
        <v>#VALUE!</v>
      </c>
    </row>
    <row r="423" spans="1:8" ht="19.5" customHeight="1">
      <c r="A423" s="494">
        <v>14</v>
      </c>
      <c r="B423" s="495" t="s">
        <v>875</v>
      </c>
      <c r="C423" s="494" t="s">
        <v>261</v>
      </c>
      <c r="D423" s="494" t="s">
        <v>847</v>
      </c>
      <c r="E423" s="499" t="s">
        <v>723</v>
      </c>
      <c r="F423" s="506" t="e">
        <f>LUONGNGAY!$K$35</f>
        <v>#VALUE!</v>
      </c>
      <c r="G423" s="494">
        <v>0.2</v>
      </c>
      <c r="H423" s="429" t="e">
        <f t="shared" si="5"/>
        <v>#VALUE!</v>
      </c>
    </row>
    <row r="424" spans="1:8" ht="19.5" customHeight="1">
      <c r="A424" s="500" t="s">
        <v>1005</v>
      </c>
      <c r="B424" s="493" t="s">
        <v>913</v>
      </c>
      <c r="C424" s="494"/>
      <c r="D424" s="494"/>
      <c r="E424" s="494"/>
      <c r="G424" s="494"/>
      <c r="H424" s="429">
        <f t="shared" si="5"/>
        <v>0</v>
      </c>
    </row>
    <row r="425" spans="1:8" ht="19.5" customHeight="1">
      <c r="A425" s="494">
        <v>1</v>
      </c>
      <c r="B425" s="495" t="s">
        <v>626</v>
      </c>
      <c r="C425" s="494" t="s">
        <v>261</v>
      </c>
      <c r="D425" s="494" t="s">
        <v>842</v>
      </c>
      <c r="E425" s="499" t="s">
        <v>723</v>
      </c>
      <c r="F425" s="506" t="e">
        <f>LUONGNGAY!$K$36</f>
        <v>#VALUE!</v>
      </c>
      <c r="G425" s="494">
        <v>0.1</v>
      </c>
      <c r="H425" s="429" t="e">
        <f t="shared" si="5"/>
        <v>#VALUE!</v>
      </c>
    </row>
    <row r="426" spans="1:8" ht="19.5" customHeight="1">
      <c r="A426" s="500" t="s">
        <v>755</v>
      </c>
      <c r="B426" s="493" t="s">
        <v>914</v>
      </c>
      <c r="C426" s="494"/>
      <c r="D426" s="494"/>
      <c r="E426" s="494"/>
      <c r="G426" s="494"/>
      <c r="H426" s="429">
        <f t="shared" si="5"/>
        <v>0</v>
      </c>
    </row>
    <row r="427" spans="1:8" ht="38.25" customHeight="1">
      <c r="A427" s="494">
        <v>1</v>
      </c>
      <c r="B427" s="495" t="s">
        <v>627</v>
      </c>
      <c r="C427" s="494" t="s">
        <v>261</v>
      </c>
      <c r="D427" s="494" t="s">
        <v>847</v>
      </c>
      <c r="E427" s="499" t="s">
        <v>723</v>
      </c>
      <c r="F427" s="506" t="e">
        <f>LUONGNGAY!$K$35</f>
        <v>#VALUE!</v>
      </c>
      <c r="G427" s="494">
        <v>0.04</v>
      </c>
      <c r="H427" s="429" t="e">
        <f t="shared" si="5"/>
        <v>#VALUE!</v>
      </c>
    </row>
    <row r="428" spans="1:8" ht="14.25" customHeight="1">
      <c r="A428" s="507" t="s">
        <v>915</v>
      </c>
      <c r="B428" s="484"/>
      <c r="C428" s="484"/>
      <c r="D428" s="484"/>
      <c r="E428" s="484"/>
      <c r="F428" s="508"/>
      <c r="G428" s="509"/>
      <c r="H428" s="484"/>
    </row>
    <row r="429" spans="1:8" ht="31.15" customHeight="1">
      <c r="A429" s="1151" t="s">
        <v>709</v>
      </c>
      <c r="B429" s="1151"/>
      <c r="C429" s="1151"/>
      <c r="D429" s="1151"/>
      <c r="E429" s="1151"/>
      <c r="F429" s="1151"/>
      <c r="G429" s="1151"/>
      <c r="H429" s="1151"/>
    </row>
    <row r="430" spans="1:8">
      <c r="A430" s="414"/>
      <c r="B430" s="415"/>
      <c r="E430" s="417"/>
      <c r="F430" s="418"/>
      <c r="G430" s="417"/>
      <c r="H430" s="419"/>
    </row>
    <row r="431" spans="1:8" ht="49.5" customHeight="1">
      <c r="A431" s="422" t="s">
        <v>979</v>
      </c>
      <c r="B431" s="422" t="s">
        <v>198</v>
      </c>
      <c r="C431" s="423" t="s">
        <v>479</v>
      </c>
      <c r="D431" s="423" t="s">
        <v>478</v>
      </c>
      <c r="E431" s="423" t="s">
        <v>199</v>
      </c>
      <c r="F431" s="424" t="s">
        <v>483</v>
      </c>
      <c r="G431" s="423" t="s">
        <v>482</v>
      </c>
      <c r="H431" s="423" t="s">
        <v>200</v>
      </c>
    </row>
    <row r="432" spans="1:8" ht="30.75" customHeight="1">
      <c r="A432" s="500" t="s">
        <v>1000</v>
      </c>
      <c r="B432" s="493" t="s">
        <v>912</v>
      </c>
      <c r="C432" s="494"/>
      <c r="D432" s="494"/>
      <c r="E432" s="494"/>
      <c r="F432" s="501"/>
      <c r="G432" s="494"/>
      <c r="H432" s="494"/>
    </row>
    <row r="433" spans="1:8" ht="22.5" customHeight="1">
      <c r="A433" s="494">
        <v>1</v>
      </c>
      <c r="B433" s="495" t="s">
        <v>844</v>
      </c>
      <c r="C433" s="494"/>
      <c r="D433" s="494"/>
      <c r="E433" s="494"/>
      <c r="F433" s="501"/>
      <c r="G433" s="494"/>
      <c r="H433" s="494"/>
    </row>
    <row r="434" spans="1:8" ht="22.5" customHeight="1">
      <c r="A434" s="494" t="s">
        <v>733</v>
      </c>
      <c r="B434" s="495" t="s">
        <v>846</v>
      </c>
      <c r="C434" s="494" t="s">
        <v>261</v>
      </c>
      <c r="D434" s="494" t="s">
        <v>847</v>
      </c>
      <c r="E434" s="499" t="s">
        <v>723</v>
      </c>
      <c r="F434" s="506" t="e">
        <f>LUONGNGAY!$K$35</f>
        <v>#VALUE!</v>
      </c>
      <c r="G434" s="494">
        <v>0.2</v>
      </c>
      <c r="H434" s="429" t="e">
        <f>F434*G434</f>
        <v>#VALUE!</v>
      </c>
    </row>
    <row r="435" spans="1:8" ht="22.5" customHeight="1">
      <c r="A435" s="494" t="s">
        <v>741</v>
      </c>
      <c r="B435" s="495" t="s">
        <v>849</v>
      </c>
      <c r="C435" s="494" t="s">
        <v>261</v>
      </c>
      <c r="D435" s="494" t="s">
        <v>847</v>
      </c>
      <c r="E435" s="499" t="s">
        <v>723</v>
      </c>
      <c r="F435" s="506" t="e">
        <f>LUONGNGAY!$K$35</f>
        <v>#VALUE!</v>
      </c>
      <c r="G435" s="494">
        <v>0.15</v>
      </c>
      <c r="H435" s="429" t="e">
        <f t="shared" ref="H435:H474" si="6">F435*G435</f>
        <v>#VALUE!</v>
      </c>
    </row>
    <row r="436" spans="1:8" ht="30.75" customHeight="1">
      <c r="A436" s="494">
        <v>2</v>
      </c>
      <c r="B436" s="495" t="s">
        <v>850</v>
      </c>
      <c r="C436" s="494" t="s">
        <v>261</v>
      </c>
      <c r="D436" s="494" t="s">
        <v>847</v>
      </c>
      <c r="E436" s="499" t="s">
        <v>723</v>
      </c>
      <c r="F436" s="506" t="e">
        <f>LUONGNGAY!$K$35</f>
        <v>#VALUE!</v>
      </c>
      <c r="G436" s="494">
        <v>0.5</v>
      </c>
      <c r="H436" s="429" t="e">
        <f t="shared" si="6"/>
        <v>#VALUE!</v>
      </c>
    </row>
    <row r="437" spans="1:8" ht="30.75" customHeight="1">
      <c r="A437" s="494">
        <v>3</v>
      </c>
      <c r="B437" s="495" t="s">
        <v>881</v>
      </c>
      <c r="C437" s="494" t="s">
        <v>481</v>
      </c>
      <c r="D437" s="494" t="s">
        <v>842</v>
      </c>
      <c r="E437" s="499" t="s">
        <v>723</v>
      </c>
      <c r="F437" s="506" t="e">
        <f>LUONGNGAY!$K$36</f>
        <v>#VALUE!</v>
      </c>
      <c r="G437" s="494">
        <v>3.3000000000000002E-2</v>
      </c>
      <c r="H437" s="429" t="e">
        <f t="shared" si="6"/>
        <v>#VALUE!</v>
      </c>
    </row>
    <row r="438" spans="1:8" ht="30.75" customHeight="1">
      <c r="A438" s="494">
        <v>4</v>
      </c>
      <c r="B438" s="495" t="s">
        <v>882</v>
      </c>
      <c r="C438" s="494"/>
      <c r="D438" s="494"/>
      <c r="E438" s="494"/>
      <c r="G438" s="494"/>
      <c r="H438" s="429">
        <f t="shared" si="6"/>
        <v>0</v>
      </c>
    </row>
    <row r="439" spans="1:8" ht="24" customHeight="1">
      <c r="A439" s="494" t="s">
        <v>124</v>
      </c>
      <c r="B439" s="495" t="s">
        <v>883</v>
      </c>
      <c r="C439" s="494" t="s">
        <v>261</v>
      </c>
      <c r="D439" s="494" t="s">
        <v>628</v>
      </c>
      <c r="E439" s="499" t="s">
        <v>723</v>
      </c>
      <c r="F439" s="506" t="e">
        <f>(LUONGNGAY!$K$36+LUONGNGAY!$K$35)/2</f>
        <v>#VALUE!</v>
      </c>
      <c r="G439" s="494">
        <f>1*2</f>
        <v>2</v>
      </c>
      <c r="H439" s="429" t="e">
        <f t="shared" si="6"/>
        <v>#VALUE!</v>
      </c>
    </row>
    <row r="440" spans="1:8" ht="30.75" customHeight="1">
      <c r="A440" s="1159" t="s">
        <v>125</v>
      </c>
      <c r="B440" s="1160" t="s">
        <v>884</v>
      </c>
      <c r="C440" s="1159" t="s">
        <v>261</v>
      </c>
      <c r="D440" s="1152" t="s">
        <v>628</v>
      </c>
      <c r="E440" s="494">
        <v>1</v>
      </c>
      <c r="F440" s="506" t="e">
        <f>(LUONGNGAY!$K$36+LUONGNGAY!$K$35)/2</f>
        <v>#VALUE!</v>
      </c>
      <c r="G440" s="494">
        <f>1*2</f>
        <v>2</v>
      </c>
      <c r="H440" s="429" t="e">
        <f t="shared" si="6"/>
        <v>#VALUE!</v>
      </c>
    </row>
    <row r="441" spans="1:8" ht="30.75" customHeight="1">
      <c r="A441" s="1159"/>
      <c r="B441" s="1160"/>
      <c r="C441" s="1159"/>
      <c r="D441" s="1153"/>
      <c r="E441" s="494">
        <f>2*2</f>
        <v>4</v>
      </c>
      <c r="F441" s="506" t="e">
        <f>(LUONGNGAY!$K$36+LUONGNGAY!$K$35)/2</f>
        <v>#VALUE!</v>
      </c>
      <c r="G441" s="494">
        <f>1.1*2</f>
        <v>2.2000000000000002</v>
      </c>
      <c r="H441" s="429" t="e">
        <f>F441*G441</f>
        <v>#VALUE!</v>
      </c>
    </row>
    <row r="442" spans="1:8" ht="30.75" customHeight="1">
      <c r="A442" s="1159"/>
      <c r="B442" s="1160"/>
      <c r="C442" s="1159"/>
      <c r="D442" s="1153"/>
      <c r="E442" s="494">
        <f>3*2</f>
        <v>6</v>
      </c>
      <c r="F442" s="506" t="e">
        <f>(LUONGNGAY!$K$36+LUONGNGAY!$K$35)/2</f>
        <v>#VALUE!</v>
      </c>
      <c r="G442" s="494">
        <f>1.21*2</f>
        <v>2.42</v>
      </c>
      <c r="H442" s="429" t="e">
        <f t="shared" si="6"/>
        <v>#VALUE!</v>
      </c>
    </row>
    <row r="443" spans="1:8" ht="30.75" customHeight="1">
      <c r="A443" s="1159"/>
      <c r="B443" s="1160"/>
      <c r="C443" s="1159"/>
      <c r="D443" s="1153"/>
      <c r="E443" s="494">
        <f>4*2</f>
        <v>8</v>
      </c>
      <c r="F443" s="506" t="e">
        <f>(LUONGNGAY!$K$36+LUONGNGAY!$K$35)/2</f>
        <v>#VALUE!</v>
      </c>
      <c r="G443" s="494">
        <f>1.33*2</f>
        <v>2.66</v>
      </c>
      <c r="H443" s="429" t="e">
        <f t="shared" si="6"/>
        <v>#VALUE!</v>
      </c>
    </row>
    <row r="444" spans="1:8" ht="30.75" customHeight="1">
      <c r="A444" s="1159"/>
      <c r="B444" s="1160"/>
      <c r="C444" s="1159"/>
      <c r="D444" s="1154"/>
      <c r="E444" s="494">
        <f>5*2</f>
        <v>10</v>
      </c>
      <c r="F444" s="506" t="e">
        <f>(LUONGNGAY!$K$36+LUONGNGAY!$K$35)/2</f>
        <v>#VALUE!</v>
      </c>
      <c r="G444" s="494">
        <f>1.46*2</f>
        <v>2.92</v>
      </c>
      <c r="H444" s="429" t="e">
        <f t="shared" si="6"/>
        <v>#VALUE!</v>
      </c>
    </row>
    <row r="445" spans="1:8" ht="24.75" customHeight="1">
      <c r="A445" s="494" t="s">
        <v>885</v>
      </c>
      <c r="B445" s="495" t="s">
        <v>886</v>
      </c>
      <c r="C445" s="494" t="s">
        <v>481</v>
      </c>
      <c r="D445" s="494" t="s">
        <v>842</v>
      </c>
      <c r="E445" s="499" t="s">
        <v>723</v>
      </c>
      <c r="F445" s="506" t="e">
        <f>LUONGNGAY!$K$36</f>
        <v>#VALUE!</v>
      </c>
      <c r="G445" s="494">
        <v>3.0000000000000001E-3</v>
      </c>
      <c r="H445" s="429" t="e">
        <f t="shared" si="6"/>
        <v>#VALUE!</v>
      </c>
    </row>
    <row r="446" spans="1:8" ht="24.75" customHeight="1">
      <c r="A446" s="494" t="s">
        <v>887</v>
      </c>
      <c r="B446" s="495" t="s">
        <v>888</v>
      </c>
      <c r="C446" s="494"/>
      <c r="D446" s="494"/>
      <c r="E446" s="494"/>
      <c r="G446" s="494"/>
      <c r="H446" s="429">
        <f t="shared" si="6"/>
        <v>0</v>
      </c>
    </row>
    <row r="447" spans="1:8" ht="24.75" customHeight="1">
      <c r="A447" s="494" t="s">
        <v>889</v>
      </c>
      <c r="B447" s="495" t="s">
        <v>846</v>
      </c>
      <c r="C447" s="494" t="s">
        <v>261</v>
      </c>
      <c r="D447" s="494" t="s">
        <v>847</v>
      </c>
      <c r="E447" s="499" t="s">
        <v>723</v>
      </c>
      <c r="F447" s="506" t="e">
        <f>LUONGNGAY!$K$35</f>
        <v>#VALUE!</v>
      </c>
      <c r="G447" s="494">
        <v>1</v>
      </c>
      <c r="H447" s="429" t="e">
        <f t="shared" si="6"/>
        <v>#VALUE!</v>
      </c>
    </row>
    <row r="448" spans="1:8" ht="24.75" customHeight="1">
      <c r="A448" s="494" t="s">
        <v>890</v>
      </c>
      <c r="B448" s="495" t="s">
        <v>891</v>
      </c>
      <c r="C448" s="494" t="s">
        <v>261</v>
      </c>
      <c r="D448" s="494" t="s">
        <v>847</v>
      </c>
      <c r="E448" s="499" t="s">
        <v>723</v>
      </c>
      <c r="F448" s="506" t="e">
        <f>LUONGNGAY!$K$35</f>
        <v>#VALUE!</v>
      </c>
      <c r="G448" s="494">
        <v>1</v>
      </c>
      <c r="H448" s="429" t="e">
        <f t="shared" si="6"/>
        <v>#VALUE!</v>
      </c>
    </row>
    <row r="449" spans="1:8" ht="45" customHeight="1">
      <c r="A449" s="494" t="s">
        <v>892</v>
      </c>
      <c r="B449" s="495" t="s">
        <v>893</v>
      </c>
      <c r="C449" s="494"/>
      <c r="D449" s="494"/>
      <c r="E449" s="494"/>
      <c r="G449" s="494"/>
      <c r="H449" s="429">
        <f t="shared" si="6"/>
        <v>0</v>
      </c>
    </row>
    <row r="450" spans="1:8" ht="22.5" customHeight="1">
      <c r="A450" s="494" t="s">
        <v>894</v>
      </c>
      <c r="B450" s="495" t="s">
        <v>587</v>
      </c>
      <c r="C450" s="494" t="s">
        <v>481</v>
      </c>
      <c r="D450" s="494" t="s">
        <v>847</v>
      </c>
      <c r="E450" s="499" t="s">
        <v>723</v>
      </c>
      <c r="F450" s="506" t="e">
        <f>LUONGNGAY!$K$35</f>
        <v>#VALUE!</v>
      </c>
      <c r="G450" s="494">
        <v>0</v>
      </c>
      <c r="H450" s="429" t="e">
        <f t="shared" si="6"/>
        <v>#VALUE!</v>
      </c>
    </row>
    <row r="451" spans="1:8" ht="22.5" customHeight="1">
      <c r="A451" s="494" t="s">
        <v>895</v>
      </c>
      <c r="B451" s="495" t="s">
        <v>588</v>
      </c>
      <c r="C451" s="494" t="s">
        <v>481</v>
      </c>
      <c r="D451" s="494" t="s">
        <v>847</v>
      </c>
      <c r="E451" s="499" t="s">
        <v>723</v>
      </c>
      <c r="F451" s="506" t="e">
        <f>LUONGNGAY!$K$35</f>
        <v>#VALUE!</v>
      </c>
      <c r="G451" s="494">
        <v>0</v>
      </c>
      <c r="H451" s="429" t="e">
        <f t="shared" si="6"/>
        <v>#VALUE!</v>
      </c>
    </row>
    <row r="452" spans="1:8" ht="30.75" customHeight="1">
      <c r="A452" s="494">
        <v>5</v>
      </c>
      <c r="B452" s="495" t="s">
        <v>589</v>
      </c>
      <c r="C452" s="494"/>
      <c r="D452" s="494"/>
      <c r="E452" s="494"/>
      <c r="G452" s="494"/>
      <c r="H452" s="429">
        <f t="shared" si="6"/>
        <v>0</v>
      </c>
    </row>
    <row r="453" spans="1:8" ht="19.5" customHeight="1">
      <c r="A453" s="494" t="s">
        <v>461</v>
      </c>
      <c r="B453" s="495" t="s">
        <v>590</v>
      </c>
      <c r="C453" s="494" t="s">
        <v>261</v>
      </c>
      <c r="D453" s="494" t="s">
        <v>842</v>
      </c>
      <c r="E453" s="499" t="s">
        <v>723</v>
      </c>
      <c r="F453" s="506" t="e">
        <f>LUONGNGAY!$K$36</f>
        <v>#VALUE!</v>
      </c>
      <c r="G453" s="494">
        <v>0.25</v>
      </c>
      <c r="H453" s="429" t="e">
        <f t="shared" si="6"/>
        <v>#VALUE!</v>
      </c>
    </row>
    <row r="454" spans="1:8" ht="19.5" customHeight="1">
      <c r="A454" s="494" t="s">
        <v>462</v>
      </c>
      <c r="B454" s="495" t="s">
        <v>591</v>
      </c>
      <c r="C454" s="494" t="s">
        <v>261</v>
      </c>
      <c r="D454" s="494" t="s">
        <v>842</v>
      </c>
      <c r="E454" s="499" t="s">
        <v>723</v>
      </c>
      <c r="F454" s="506" t="e">
        <f>LUONGNGAY!$K$36</f>
        <v>#VALUE!</v>
      </c>
      <c r="G454" s="494">
        <v>0.2</v>
      </c>
      <c r="H454" s="429" t="e">
        <f t="shared" si="6"/>
        <v>#VALUE!</v>
      </c>
    </row>
    <row r="455" spans="1:8" ht="19.5" customHeight="1">
      <c r="A455" s="494">
        <v>6</v>
      </c>
      <c r="B455" s="495" t="s">
        <v>78</v>
      </c>
      <c r="C455" s="494" t="s">
        <v>481</v>
      </c>
      <c r="D455" s="494" t="s">
        <v>842</v>
      </c>
      <c r="E455" s="499" t="s">
        <v>723</v>
      </c>
      <c r="F455" s="506" t="e">
        <f>LUONGNGAY!$K$36</f>
        <v>#VALUE!</v>
      </c>
      <c r="G455" s="494">
        <v>3.3000000000000002E-2</v>
      </c>
      <c r="H455" s="429" t="e">
        <f t="shared" si="6"/>
        <v>#VALUE!</v>
      </c>
    </row>
    <row r="456" spans="1:8" ht="19.5" customHeight="1">
      <c r="A456" s="494">
        <v>7</v>
      </c>
      <c r="B456" s="495" t="s">
        <v>260</v>
      </c>
      <c r="C456" s="494" t="s">
        <v>261</v>
      </c>
      <c r="D456" s="494" t="s">
        <v>842</v>
      </c>
      <c r="E456" s="499" t="s">
        <v>723</v>
      </c>
      <c r="F456" s="506" t="e">
        <f>LUONGNGAY!$K$36</f>
        <v>#VALUE!</v>
      </c>
      <c r="G456" s="494">
        <v>0</v>
      </c>
      <c r="H456" s="429" t="e">
        <f t="shared" si="6"/>
        <v>#VALUE!</v>
      </c>
    </row>
    <row r="457" spans="1:8" ht="19.5" customHeight="1">
      <c r="A457" s="494">
        <v>8</v>
      </c>
      <c r="B457" s="495" t="s">
        <v>80</v>
      </c>
      <c r="C457" s="494"/>
      <c r="D457" s="494"/>
      <c r="E457" s="494"/>
      <c r="G457" s="494"/>
      <c r="H457" s="429">
        <f t="shared" si="6"/>
        <v>0</v>
      </c>
    </row>
    <row r="458" spans="1:8" ht="19.5" customHeight="1">
      <c r="A458" s="494" t="s">
        <v>191</v>
      </c>
      <c r="B458" s="495" t="s">
        <v>82</v>
      </c>
      <c r="C458" s="494" t="s">
        <v>559</v>
      </c>
      <c r="D458" s="494" t="s">
        <v>847</v>
      </c>
      <c r="E458" s="499" t="s">
        <v>723</v>
      </c>
      <c r="F458" s="506" t="e">
        <f>LUONGNGAY!$K$35</f>
        <v>#VALUE!</v>
      </c>
      <c r="G458" s="494">
        <v>0.1</v>
      </c>
      <c r="H458" s="429" t="e">
        <f t="shared" si="6"/>
        <v>#VALUE!</v>
      </c>
    </row>
    <row r="459" spans="1:8" ht="19.5" customHeight="1">
      <c r="A459" s="494" t="s">
        <v>192</v>
      </c>
      <c r="B459" s="495" t="s">
        <v>84</v>
      </c>
      <c r="C459" s="494" t="s">
        <v>559</v>
      </c>
      <c r="D459" s="494" t="s">
        <v>847</v>
      </c>
      <c r="E459" s="499" t="s">
        <v>723</v>
      </c>
      <c r="F459" s="506" t="e">
        <f>LUONGNGAY!$K$35</f>
        <v>#VALUE!</v>
      </c>
      <c r="G459" s="494">
        <v>0.2</v>
      </c>
      <c r="H459" s="429" t="e">
        <f t="shared" si="6"/>
        <v>#VALUE!</v>
      </c>
    </row>
    <row r="460" spans="1:8" ht="19.5" customHeight="1">
      <c r="A460" s="494">
        <v>9</v>
      </c>
      <c r="B460" s="495" t="s">
        <v>85</v>
      </c>
      <c r="C460" s="494" t="s">
        <v>261</v>
      </c>
      <c r="D460" s="494" t="s">
        <v>847</v>
      </c>
      <c r="E460" s="499" t="s">
        <v>723</v>
      </c>
      <c r="F460" s="506" t="e">
        <f>LUONGNGAY!$K$35</f>
        <v>#VALUE!</v>
      </c>
      <c r="G460" s="494">
        <v>0.5</v>
      </c>
      <c r="H460" s="429" t="e">
        <f t="shared" si="6"/>
        <v>#VALUE!</v>
      </c>
    </row>
    <row r="461" spans="1:8" ht="30.75" customHeight="1">
      <c r="A461" s="494">
        <v>10</v>
      </c>
      <c r="B461" s="495" t="s">
        <v>896</v>
      </c>
      <c r="C461" s="494" t="s">
        <v>261</v>
      </c>
      <c r="D461" s="494" t="s">
        <v>847</v>
      </c>
      <c r="E461" s="499" t="s">
        <v>723</v>
      </c>
      <c r="F461" s="506" t="e">
        <f>LUONGNGAY!$K$35</f>
        <v>#VALUE!</v>
      </c>
      <c r="G461" s="494">
        <v>0.47</v>
      </c>
      <c r="H461" s="429" t="e">
        <f t="shared" si="6"/>
        <v>#VALUE!</v>
      </c>
    </row>
    <row r="462" spans="1:8" ht="26.25" customHeight="1">
      <c r="A462" s="494">
        <v>11</v>
      </c>
      <c r="B462" s="495" t="s">
        <v>87</v>
      </c>
      <c r="C462" s="494" t="s">
        <v>481</v>
      </c>
      <c r="D462" s="494" t="s">
        <v>842</v>
      </c>
      <c r="E462" s="499" t="s">
        <v>723</v>
      </c>
      <c r="F462" s="506" t="e">
        <f>LUONGNGAY!$K$36</f>
        <v>#VALUE!</v>
      </c>
      <c r="G462" s="494">
        <v>3.3000000000000002E-2</v>
      </c>
      <c r="H462" s="429" t="e">
        <f t="shared" si="6"/>
        <v>#VALUE!</v>
      </c>
    </row>
    <row r="463" spans="1:8" ht="26.25" customHeight="1">
      <c r="A463" s="494">
        <v>12</v>
      </c>
      <c r="B463" s="495" t="s">
        <v>88</v>
      </c>
      <c r="C463" s="494"/>
      <c r="D463" s="494"/>
      <c r="E463" s="494"/>
      <c r="G463" s="494"/>
      <c r="H463" s="429">
        <f t="shared" si="6"/>
        <v>0</v>
      </c>
    </row>
    <row r="464" spans="1:8" ht="26.25" customHeight="1">
      <c r="A464" s="494" t="s">
        <v>897</v>
      </c>
      <c r="B464" s="495" t="s">
        <v>775</v>
      </c>
      <c r="C464" s="494"/>
      <c r="D464" s="494"/>
      <c r="E464" s="494"/>
      <c r="G464" s="494"/>
      <c r="H464" s="429">
        <f t="shared" si="6"/>
        <v>0</v>
      </c>
    </row>
    <row r="465" spans="1:9" ht="26.25" customHeight="1">
      <c r="A465" s="494" t="s">
        <v>898</v>
      </c>
      <c r="B465" s="495" t="s">
        <v>777</v>
      </c>
      <c r="C465" s="494" t="s">
        <v>778</v>
      </c>
      <c r="D465" s="494" t="s">
        <v>779</v>
      </c>
      <c r="E465" s="499" t="s">
        <v>723</v>
      </c>
      <c r="F465" s="506" t="e">
        <f>LUONGNGAY!$K$34</f>
        <v>#VALUE!</v>
      </c>
      <c r="G465" s="494">
        <v>1.6E-2</v>
      </c>
      <c r="H465" s="429" t="e">
        <f t="shared" si="6"/>
        <v>#VALUE!</v>
      </c>
    </row>
    <row r="466" spans="1:9" ht="26.25" customHeight="1">
      <c r="A466" s="494" t="s">
        <v>899</v>
      </c>
      <c r="B466" s="495" t="s">
        <v>781</v>
      </c>
      <c r="C466" s="494" t="s">
        <v>778</v>
      </c>
      <c r="D466" s="494" t="s">
        <v>779</v>
      </c>
      <c r="E466" s="499" t="s">
        <v>723</v>
      </c>
      <c r="F466" s="506" t="e">
        <f>LUONGNGAY!$K$34</f>
        <v>#VALUE!</v>
      </c>
      <c r="G466" s="494">
        <v>8.0000000000000002E-3</v>
      </c>
      <c r="H466" s="429" t="e">
        <f t="shared" si="6"/>
        <v>#VALUE!</v>
      </c>
    </row>
    <row r="467" spans="1:9" ht="30.75" customHeight="1">
      <c r="A467" s="494" t="s">
        <v>900</v>
      </c>
      <c r="B467" s="495" t="s">
        <v>861</v>
      </c>
      <c r="C467" s="494" t="s">
        <v>778</v>
      </c>
      <c r="D467" s="494" t="s">
        <v>779</v>
      </c>
      <c r="E467" s="499" t="s">
        <v>723</v>
      </c>
      <c r="F467" s="506" t="e">
        <f>LUONGNGAY!$K$34</f>
        <v>#VALUE!</v>
      </c>
      <c r="G467" s="494">
        <v>4.0000000000000001E-3</v>
      </c>
      <c r="H467" s="429" t="e">
        <f t="shared" si="6"/>
        <v>#VALUE!</v>
      </c>
    </row>
    <row r="468" spans="1:9" ht="30.75" customHeight="1">
      <c r="A468" s="494" t="s">
        <v>901</v>
      </c>
      <c r="B468" s="495" t="s">
        <v>863</v>
      </c>
      <c r="C468" s="494" t="s">
        <v>481</v>
      </c>
      <c r="D468" s="494" t="s">
        <v>779</v>
      </c>
      <c r="E468" s="499" t="s">
        <v>723</v>
      </c>
      <c r="F468" s="506" t="e">
        <f>LUONGNGAY!$K$34</f>
        <v>#VALUE!</v>
      </c>
      <c r="G468" s="494">
        <v>0.01</v>
      </c>
      <c r="H468" s="429" t="e">
        <f t="shared" si="6"/>
        <v>#VALUE!</v>
      </c>
    </row>
    <row r="469" spans="1:9" ht="30.75" customHeight="1">
      <c r="A469" s="494">
        <v>13</v>
      </c>
      <c r="B469" s="495" t="s">
        <v>625</v>
      </c>
      <c r="C469" s="494" t="s">
        <v>261</v>
      </c>
      <c r="D469" s="494" t="s">
        <v>847</v>
      </c>
      <c r="E469" s="499" t="s">
        <v>723</v>
      </c>
      <c r="F469" s="506" t="e">
        <f>LUONGNGAY!$K$35</f>
        <v>#VALUE!</v>
      </c>
      <c r="G469" s="494">
        <v>0.2</v>
      </c>
      <c r="H469" s="429" t="e">
        <f t="shared" si="6"/>
        <v>#VALUE!</v>
      </c>
    </row>
    <row r="470" spans="1:9" ht="22.5" customHeight="1">
      <c r="A470" s="494">
        <v>14</v>
      </c>
      <c r="B470" s="495" t="s">
        <v>875</v>
      </c>
      <c r="C470" s="494" t="s">
        <v>261</v>
      </c>
      <c r="D470" s="494" t="s">
        <v>847</v>
      </c>
      <c r="E470" s="499" t="s">
        <v>723</v>
      </c>
      <c r="F470" s="506" t="e">
        <f>LUONGNGAY!$K$35</f>
        <v>#VALUE!</v>
      </c>
      <c r="G470" s="494">
        <v>0.2</v>
      </c>
      <c r="H470" s="429" t="e">
        <f t="shared" si="6"/>
        <v>#VALUE!</v>
      </c>
    </row>
    <row r="471" spans="1:9" ht="22.5" customHeight="1">
      <c r="A471" s="500" t="s">
        <v>1005</v>
      </c>
      <c r="B471" s="493" t="s">
        <v>913</v>
      </c>
      <c r="C471" s="494"/>
      <c r="D471" s="494"/>
      <c r="E471" s="494"/>
      <c r="G471" s="494"/>
      <c r="H471" s="429">
        <f t="shared" si="6"/>
        <v>0</v>
      </c>
    </row>
    <row r="472" spans="1:9" ht="22.5" customHeight="1">
      <c r="A472" s="494">
        <v>1</v>
      </c>
      <c r="B472" s="495" t="s">
        <v>626</v>
      </c>
      <c r="C472" s="494" t="s">
        <v>261</v>
      </c>
      <c r="D472" s="494" t="s">
        <v>842</v>
      </c>
      <c r="E472" s="499" t="s">
        <v>723</v>
      </c>
      <c r="F472" s="506" t="e">
        <f>LUONGNGAY!$K$36</f>
        <v>#VALUE!</v>
      </c>
      <c r="G472" s="494">
        <v>0.1</v>
      </c>
      <c r="H472" s="429" t="e">
        <f t="shared" si="6"/>
        <v>#VALUE!</v>
      </c>
    </row>
    <row r="473" spans="1:9" ht="22.5" customHeight="1">
      <c r="A473" s="500" t="s">
        <v>755</v>
      </c>
      <c r="B473" s="493" t="s">
        <v>914</v>
      </c>
      <c r="C473" s="494"/>
      <c r="D473" s="494"/>
      <c r="E473" s="494"/>
      <c r="G473" s="494"/>
      <c r="H473" s="429">
        <f t="shared" si="6"/>
        <v>0</v>
      </c>
    </row>
    <row r="474" spans="1:9" ht="30.75" customHeight="1">
      <c r="A474" s="494">
        <v>1</v>
      </c>
      <c r="B474" s="495" t="s">
        <v>627</v>
      </c>
      <c r="C474" s="494" t="s">
        <v>261</v>
      </c>
      <c r="D474" s="494" t="s">
        <v>847</v>
      </c>
      <c r="E474" s="499" t="s">
        <v>723</v>
      </c>
      <c r="F474" s="506" t="e">
        <f>LUONGNGAY!$K$35</f>
        <v>#VALUE!</v>
      </c>
      <c r="G474" s="494">
        <v>0.04</v>
      </c>
      <c r="H474" s="429" t="e">
        <f t="shared" si="6"/>
        <v>#VALUE!</v>
      </c>
    </row>
    <row r="475" spans="1:9" ht="22.5" customHeight="1">
      <c r="A475" s="437"/>
      <c r="B475" s="445"/>
      <c r="C475" s="460"/>
      <c r="D475" s="460"/>
      <c r="E475" s="460"/>
      <c r="F475" s="461"/>
      <c r="G475" s="462"/>
      <c r="H475" s="460"/>
      <c r="I475" s="460"/>
    </row>
    <row r="476" spans="1:9" ht="34.15" customHeight="1">
      <c r="A476" s="1151" t="s">
        <v>710</v>
      </c>
      <c r="B476" s="1151"/>
      <c r="C476" s="1151"/>
      <c r="D476" s="1151"/>
      <c r="E476" s="1151"/>
      <c r="F476" s="1151"/>
      <c r="G476" s="1151"/>
      <c r="H476" s="1151"/>
    </row>
    <row r="477" spans="1:9">
      <c r="A477" s="414"/>
      <c r="B477" s="415"/>
      <c r="E477" s="417"/>
      <c r="F477" s="418"/>
      <c r="G477" s="417"/>
      <c r="H477" s="419"/>
    </row>
    <row r="478" spans="1:9" ht="49.5" customHeight="1">
      <c r="A478" s="422" t="s">
        <v>979</v>
      </c>
      <c r="B478" s="422" t="s">
        <v>198</v>
      </c>
      <c r="C478" s="423" t="s">
        <v>479</v>
      </c>
      <c r="D478" s="423" t="s">
        <v>478</v>
      </c>
      <c r="E478" s="423" t="s">
        <v>199</v>
      </c>
      <c r="F478" s="424" t="s">
        <v>483</v>
      </c>
      <c r="G478" s="423" t="s">
        <v>482</v>
      </c>
      <c r="H478" s="423" t="s">
        <v>200</v>
      </c>
    </row>
    <row r="479" spans="1:9" ht="27" customHeight="1">
      <c r="A479" s="500" t="s">
        <v>1000</v>
      </c>
      <c r="B479" s="493" t="s">
        <v>912</v>
      </c>
      <c r="C479" s="494"/>
      <c r="D479" s="494"/>
      <c r="E479" s="494"/>
      <c r="F479" s="501"/>
      <c r="G479" s="494"/>
      <c r="H479" s="494"/>
    </row>
    <row r="480" spans="1:9" ht="27" customHeight="1">
      <c r="A480" s="494">
        <v>1</v>
      </c>
      <c r="B480" s="495" t="s">
        <v>844</v>
      </c>
      <c r="C480" s="494"/>
      <c r="D480" s="494"/>
      <c r="E480" s="494"/>
      <c r="F480" s="501"/>
      <c r="G480" s="494"/>
      <c r="H480" s="494"/>
    </row>
    <row r="481" spans="1:8" ht="27" customHeight="1">
      <c r="A481" s="494" t="s">
        <v>733</v>
      </c>
      <c r="B481" s="495" t="s">
        <v>846</v>
      </c>
      <c r="C481" s="494" t="s">
        <v>261</v>
      </c>
      <c r="D481" s="494" t="s">
        <v>847</v>
      </c>
      <c r="E481" s="499" t="s">
        <v>723</v>
      </c>
      <c r="F481" s="506" t="e">
        <f>LUONGNGAY!$K$35</f>
        <v>#VALUE!</v>
      </c>
      <c r="G481" s="494">
        <v>0.26</v>
      </c>
      <c r="H481" s="429" t="e">
        <f>F481*G481</f>
        <v>#VALUE!</v>
      </c>
    </row>
    <row r="482" spans="1:8" ht="27" customHeight="1">
      <c r="A482" s="494" t="s">
        <v>741</v>
      </c>
      <c r="B482" s="495" t="s">
        <v>849</v>
      </c>
      <c r="C482" s="494" t="s">
        <v>261</v>
      </c>
      <c r="D482" s="494" t="s">
        <v>847</v>
      </c>
      <c r="E482" s="499" t="s">
        <v>723</v>
      </c>
      <c r="F482" s="506" t="e">
        <f>LUONGNGAY!$K$35</f>
        <v>#VALUE!</v>
      </c>
      <c r="G482" s="494">
        <v>0.19</v>
      </c>
      <c r="H482" s="429" t="e">
        <f t="shared" ref="H482:H521" si="7">F482*G482</f>
        <v>#VALUE!</v>
      </c>
    </row>
    <row r="483" spans="1:8" ht="27" customHeight="1">
      <c r="A483" s="494">
        <v>2</v>
      </c>
      <c r="B483" s="495" t="s">
        <v>850</v>
      </c>
      <c r="C483" s="494" t="s">
        <v>261</v>
      </c>
      <c r="D483" s="494" t="s">
        <v>847</v>
      </c>
      <c r="E483" s="499" t="s">
        <v>723</v>
      </c>
      <c r="F483" s="506" t="e">
        <f>LUONGNGAY!$K$35</f>
        <v>#VALUE!</v>
      </c>
      <c r="G483" s="494">
        <v>0.65</v>
      </c>
      <c r="H483" s="429" t="e">
        <f t="shared" si="7"/>
        <v>#VALUE!</v>
      </c>
    </row>
    <row r="484" spans="1:8" ht="27" customHeight="1">
      <c r="A484" s="494">
        <v>3</v>
      </c>
      <c r="B484" s="495" t="s">
        <v>881</v>
      </c>
      <c r="C484" s="494" t="s">
        <v>481</v>
      </c>
      <c r="D484" s="494" t="s">
        <v>842</v>
      </c>
      <c r="E484" s="499" t="s">
        <v>723</v>
      </c>
      <c r="F484" s="506" t="e">
        <f>LUONGNGAY!$K$36</f>
        <v>#VALUE!</v>
      </c>
      <c r="G484" s="494">
        <v>0.16700000000000001</v>
      </c>
      <c r="H484" s="429" t="e">
        <f t="shared" si="7"/>
        <v>#VALUE!</v>
      </c>
    </row>
    <row r="485" spans="1:8" ht="27" customHeight="1">
      <c r="A485" s="494">
        <v>4</v>
      </c>
      <c r="B485" s="495" t="s">
        <v>882</v>
      </c>
      <c r="C485" s="494"/>
      <c r="D485" s="494"/>
      <c r="E485" s="494"/>
      <c r="G485" s="494"/>
      <c r="H485" s="429">
        <f t="shared" si="7"/>
        <v>0</v>
      </c>
    </row>
    <row r="486" spans="1:8" ht="27" customHeight="1">
      <c r="A486" s="494" t="s">
        <v>124</v>
      </c>
      <c r="B486" s="495" t="s">
        <v>883</v>
      </c>
      <c r="C486" s="494" t="s">
        <v>261</v>
      </c>
      <c r="D486" s="494" t="s">
        <v>628</v>
      </c>
      <c r="E486" s="499" t="s">
        <v>723</v>
      </c>
      <c r="F486" s="506" t="e">
        <f>(LUONGNGAY!$K$36+LUONGNGAY!$K$35)/2</f>
        <v>#VALUE!</v>
      </c>
      <c r="G486" s="494">
        <f>1.3*2</f>
        <v>2.6</v>
      </c>
      <c r="H486" s="429" t="e">
        <f t="shared" si="7"/>
        <v>#VALUE!</v>
      </c>
    </row>
    <row r="487" spans="1:8" ht="36" customHeight="1">
      <c r="A487" s="1159" t="s">
        <v>125</v>
      </c>
      <c r="B487" s="1160" t="s">
        <v>884</v>
      </c>
      <c r="C487" s="1159" t="s">
        <v>261</v>
      </c>
      <c r="D487" s="1152" t="s">
        <v>628</v>
      </c>
      <c r="E487" s="494">
        <v>1</v>
      </c>
      <c r="F487" s="506" t="e">
        <f>(LUONGNGAY!$K$36+LUONGNGAY!$K$35)/2</f>
        <v>#VALUE!</v>
      </c>
      <c r="G487" s="494">
        <f>1.3*2</f>
        <v>2.6</v>
      </c>
      <c r="H487" s="429" t="e">
        <f t="shared" si="7"/>
        <v>#VALUE!</v>
      </c>
    </row>
    <row r="488" spans="1:8" ht="36" customHeight="1">
      <c r="A488" s="1159"/>
      <c r="B488" s="1160"/>
      <c r="C488" s="1159"/>
      <c r="D488" s="1153"/>
      <c r="E488" s="494">
        <f>2*2</f>
        <v>4</v>
      </c>
      <c r="F488" s="506" t="e">
        <f>(LUONGNGAY!$K$36+LUONGNGAY!$K$35)/2</f>
        <v>#VALUE!</v>
      </c>
      <c r="G488" s="494">
        <f>1.43*2</f>
        <v>2.86</v>
      </c>
      <c r="H488" s="429" t="e">
        <f t="shared" si="7"/>
        <v>#VALUE!</v>
      </c>
    </row>
    <row r="489" spans="1:8" ht="36" customHeight="1">
      <c r="A489" s="1159"/>
      <c r="B489" s="1160"/>
      <c r="C489" s="1159"/>
      <c r="D489" s="1153"/>
      <c r="E489" s="494">
        <f>3*2</f>
        <v>6</v>
      </c>
      <c r="F489" s="506" t="e">
        <f>(LUONGNGAY!$K$36+LUONGNGAY!$K$35)/2</f>
        <v>#VALUE!</v>
      </c>
      <c r="G489" s="494">
        <f>1.573*2</f>
        <v>3.1459999999999999</v>
      </c>
      <c r="H489" s="429" t="e">
        <f t="shared" si="7"/>
        <v>#VALUE!</v>
      </c>
    </row>
    <row r="490" spans="1:8" ht="36" customHeight="1">
      <c r="A490" s="1159"/>
      <c r="B490" s="1160"/>
      <c r="C490" s="1159"/>
      <c r="D490" s="1153"/>
      <c r="E490" s="494">
        <f>4*2</f>
        <v>8</v>
      </c>
      <c r="F490" s="506" t="e">
        <f>(LUONGNGAY!$K$36+LUONGNGAY!$K$35)/2</f>
        <v>#VALUE!</v>
      </c>
      <c r="G490" s="494">
        <f>1.73*2</f>
        <v>3.46</v>
      </c>
      <c r="H490" s="429" t="e">
        <f t="shared" si="7"/>
        <v>#VALUE!</v>
      </c>
    </row>
    <row r="491" spans="1:8" ht="36" customHeight="1">
      <c r="A491" s="1159"/>
      <c r="B491" s="1160"/>
      <c r="C491" s="1159"/>
      <c r="D491" s="1154"/>
      <c r="E491" s="494">
        <f>5*2</f>
        <v>10</v>
      </c>
      <c r="F491" s="506" t="e">
        <f>(LUONGNGAY!$K$36+LUONGNGAY!$K$35)/2</f>
        <v>#VALUE!</v>
      </c>
      <c r="G491" s="494">
        <f>1.9*2</f>
        <v>3.8</v>
      </c>
      <c r="H491" s="429" t="e">
        <f t="shared" si="7"/>
        <v>#VALUE!</v>
      </c>
    </row>
    <row r="492" spans="1:8" ht="36" customHeight="1">
      <c r="A492" s="494" t="s">
        <v>885</v>
      </c>
      <c r="B492" s="495" t="s">
        <v>886</v>
      </c>
      <c r="C492" s="494" t="s">
        <v>481</v>
      </c>
      <c r="D492" s="494" t="s">
        <v>842</v>
      </c>
      <c r="E492" s="499" t="s">
        <v>723</v>
      </c>
      <c r="F492" s="506" t="e">
        <f>LUONGNGAY!$K$36</f>
        <v>#VALUE!</v>
      </c>
      <c r="G492" s="494">
        <v>3.0000000000000001E-3</v>
      </c>
      <c r="H492" s="429" t="e">
        <f t="shared" si="7"/>
        <v>#VALUE!</v>
      </c>
    </row>
    <row r="493" spans="1:8" ht="36" customHeight="1">
      <c r="A493" s="494" t="s">
        <v>887</v>
      </c>
      <c r="B493" s="495" t="s">
        <v>888</v>
      </c>
      <c r="C493" s="494"/>
      <c r="D493" s="494"/>
      <c r="E493" s="494"/>
      <c r="G493" s="494"/>
      <c r="H493" s="429">
        <f t="shared" si="7"/>
        <v>0</v>
      </c>
    </row>
    <row r="494" spans="1:8" ht="36" customHeight="1">
      <c r="A494" s="494" t="s">
        <v>889</v>
      </c>
      <c r="B494" s="495" t="s">
        <v>846</v>
      </c>
      <c r="C494" s="494" t="s">
        <v>261</v>
      </c>
      <c r="D494" s="494" t="s">
        <v>847</v>
      </c>
      <c r="E494" s="499" t="s">
        <v>723</v>
      </c>
      <c r="F494" s="506" t="e">
        <f>LUONGNGAY!$K$35</f>
        <v>#VALUE!</v>
      </c>
      <c r="G494" s="494">
        <v>1.3</v>
      </c>
      <c r="H494" s="429" t="e">
        <f t="shared" si="7"/>
        <v>#VALUE!</v>
      </c>
    </row>
    <row r="495" spans="1:8" ht="36" customHeight="1">
      <c r="A495" s="494" t="s">
        <v>890</v>
      </c>
      <c r="B495" s="495" t="s">
        <v>891</v>
      </c>
      <c r="C495" s="494" t="s">
        <v>261</v>
      </c>
      <c r="D495" s="494" t="s">
        <v>847</v>
      </c>
      <c r="E495" s="499" t="s">
        <v>723</v>
      </c>
      <c r="F495" s="506" t="e">
        <f>LUONGNGAY!$K$35</f>
        <v>#VALUE!</v>
      </c>
      <c r="G495" s="494">
        <v>1.3</v>
      </c>
      <c r="H495" s="429" t="e">
        <f t="shared" si="7"/>
        <v>#VALUE!</v>
      </c>
    </row>
    <row r="496" spans="1:8" ht="36" customHeight="1">
      <c r="A496" s="494" t="s">
        <v>892</v>
      </c>
      <c r="B496" s="495" t="s">
        <v>893</v>
      </c>
      <c r="C496" s="494"/>
      <c r="D496" s="494"/>
      <c r="E496" s="494"/>
      <c r="G496" s="494"/>
      <c r="H496" s="429">
        <f t="shared" si="7"/>
        <v>0</v>
      </c>
    </row>
    <row r="497" spans="1:8" ht="36" customHeight="1">
      <c r="A497" s="494" t="s">
        <v>894</v>
      </c>
      <c r="B497" s="495" t="s">
        <v>587</v>
      </c>
      <c r="C497" s="494" t="s">
        <v>481</v>
      </c>
      <c r="D497" s="494" t="s">
        <v>847</v>
      </c>
      <c r="E497" s="499" t="s">
        <v>723</v>
      </c>
      <c r="F497" s="506" t="e">
        <f>LUONGNGAY!$K$35</f>
        <v>#VALUE!</v>
      </c>
      <c r="G497" s="494">
        <v>0.1</v>
      </c>
      <c r="H497" s="429" t="e">
        <f t="shared" si="7"/>
        <v>#VALUE!</v>
      </c>
    </row>
    <row r="498" spans="1:8" ht="36" customHeight="1">
      <c r="A498" s="494" t="s">
        <v>895</v>
      </c>
      <c r="B498" s="495" t="s">
        <v>588</v>
      </c>
      <c r="C498" s="494" t="s">
        <v>481</v>
      </c>
      <c r="D498" s="494" t="s">
        <v>847</v>
      </c>
      <c r="E498" s="499" t="s">
        <v>723</v>
      </c>
      <c r="F498" s="506" t="e">
        <f>LUONGNGAY!$K$35</f>
        <v>#VALUE!</v>
      </c>
      <c r="G498" s="494">
        <v>0.2</v>
      </c>
      <c r="H498" s="429" t="e">
        <f t="shared" si="7"/>
        <v>#VALUE!</v>
      </c>
    </row>
    <row r="499" spans="1:8" ht="36" customHeight="1">
      <c r="A499" s="494">
        <v>5</v>
      </c>
      <c r="B499" s="495" t="s">
        <v>589</v>
      </c>
      <c r="C499" s="494"/>
      <c r="D499" s="494"/>
      <c r="E499" s="494"/>
      <c r="G499" s="494"/>
      <c r="H499" s="429">
        <f t="shared" si="7"/>
        <v>0</v>
      </c>
    </row>
    <row r="500" spans="1:8" ht="36" customHeight="1">
      <c r="A500" s="494" t="s">
        <v>461</v>
      </c>
      <c r="B500" s="495" t="s">
        <v>590</v>
      </c>
      <c r="C500" s="494" t="s">
        <v>261</v>
      </c>
      <c r="D500" s="494" t="s">
        <v>842</v>
      </c>
      <c r="E500" s="499" t="s">
        <v>723</v>
      </c>
      <c r="F500" s="506" t="e">
        <f>LUONGNGAY!$K$36</f>
        <v>#VALUE!</v>
      </c>
      <c r="G500" s="494">
        <v>0.32500000000000001</v>
      </c>
      <c r="H500" s="429" t="e">
        <f t="shared" si="7"/>
        <v>#VALUE!</v>
      </c>
    </row>
    <row r="501" spans="1:8" ht="36" customHeight="1">
      <c r="A501" s="494" t="s">
        <v>462</v>
      </c>
      <c r="B501" s="495" t="s">
        <v>591</v>
      </c>
      <c r="C501" s="494" t="s">
        <v>261</v>
      </c>
      <c r="D501" s="494" t="s">
        <v>842</v>
      </c>
      <c r="E501" s="499" t="s">
        <v>723</v>
      </c>
      <c r="F501" s="506" t="e">
        <f>LUONGNGAY!$K$36</f>
        <v>#VALUE!</v>
      </c>
      <c r="G501" s="494">
        <v>0.26</v>
      </c>
      <c r="H501" s="429" t="e">
        <f t="shared" si="7"/>
        <v>#VALUE!</v>
      </c>
    </row>
    <row r="502" spans="1:8" ht="36" customHeight="1">
      <c r="A502" s="494">
        <v>6</v>
      </c>
      <c r="B502" s="495" t="s">
        <v>78</v>
      </c>
      <c r="C502" s="494" t="s">
        <v>481</v>
      </c>
      <c r="D502" s="494" t="s">
        <v>842</v>
      </c>
      <c r="E502" s="499" t="s">
        <v>723</v>
      </c>
      <c r="F502" s="506" t="e">
        <f>LUONGNGAY!$K$36</f>
        <v>#VALUE!</v>
      </c>
      <c r="G502" s="494">
        <v>3.3000000000000002E-2</v>
      </c>
      <c r="H502" s="429" t="e">
        <f t="shared" si="7"/>
        <v>#VALUE!</v>
      </c>
    </row>
    <row r="503" spans="1:8" ht="36" customHeight="1">
      <c r="A503" s="494">
        <v>7</v>
      </c>
      <c r="B503" s="495" t="s">
        <v>260</v>
      </c>
      <c r="C503" s="494" t="s">
        <v>261</v>
      </c>
      <c r="D503" s="494" t="s">
        <v>842</v>
      </c>
      <c r="E503" s="499" t="s">
        <v>723</v>
      </c>
      <c r="F503" s="506" t="e">
        <f>LUONGNGAY!$K$36</f>
        <v>#VALUE!</v>
      </c>
      <c r="G503" s="494">
        <v>0.2</v>
      </c>
      <c r="H503" s="429" t="e">
        <f t="shared" si="7"/>
        <v>#VALUE!</v>
      </c>
    </row>
    <row r="504" spans="1:8" ht="36" customHeight="1">
      <c r="A504" s="494">
        <v>8</v>
      </c>
      <c r="B504" s="495" t="s">
        <v>80</v>
      </c>
      <c r="C504" s="494"/>
      <c r="D504" s="494"/>
      <c r="E504" s="494"/>
      <c r="G504" s="494"/>
      <c r="H504" s="429">
        <f t="shared" si="7"/>
        <v>0</v>
      </c>
    </row>
    <row r="505" spans="1:8" ht="36" customHeight="1">
      <c r="A505" s="494" t="s">
        <v>191</v>
      </c>
      <c r="B505" s="495" t="s">
        <v>82</v>
      </c>
      <c r="C505" s="494" t="s">
        <v>559</v>
      </c>
      <c r="D505" s="494" t="s">
        <v>847</v>
      </c>
      <c r="E505" s="499" t="s">
        <v>723</v>
      </c>
      <c r="F505" s="506" t="e">
        <f>LUONGNGAY!$K$35</f>
        <v>#VALUE!</v>
      </c>
      <c r="G505" s="494">
        <v>0.1</v>
      </c>
      <c r="H505" s="429" t="e">
        <f t="shared" si="7"/>
        <v>#VALUE!</v>
      </c>
    </row>
    <row r="506" spans="1:8" ht="36" customHeight="1">
      <c r="A506" s="494" t="s">
        <v>192</v>
      </c>
      <c r="B506" s="495" t="s">
        <v>84</v>
      </c>
      <c r="C506" s="494" t="s">
        <v>559</v>
      </c>
      <c r="D506" s="494" t="s">
        <v>847</v>
      </c>
      <c r="E506" s="499" t="s">
        <v>723</v>
      </c>
      <c r="F506" s="506" t="e">
        <f>LUONGNGAY!$K$35</f>
        <v>#VALUE!</v>
      </c>
      <c r="G506" s="494">
        <v>0.2</v>
      </c>
      <c r="H506" s="429" t="e">
        <f t="shared" si="7"/>
        <v>#VALUE!</v>
      </c>
    </row>
    <row r="507" spans="1:8" ht="36" customHeight="1">
      <c r="A507" s="494">
        <v>9</v>
      </c>
      <c r="B507" s="495" t="s">
        <v>85</v>
      </c>
      <c r="C507" s="494" t="s">
        <v>261</v>
      </c>
      <c r="D507" s="494" t="s">
        <v>847</v>
      </c>
      <c r="E507" s="499" t="s">
        <v>723</v>
      </c>
      <c r="F507" s="506" t="e">
        <f>LUONGNGAY!$K$35</f>
        <v>#VALUE!</v>
      </c>
      <c r="G507" s="494">
        <v>0.65</v>
      </c>
      <c r="H507" s="429" t="e">
        <f t="shared" si="7"/>
        <v>#VALUE!</v>
      </c>
    </row>
    <row r="508" spans="1:8" ht="36" customHeight="1">
      <c r="A508" s="494">
        <v>10</v>
      </c>
      <c r="B508" s="495" t="s">
        <v>896</v>
      </c>
      <c r="C508" s="494" t="s">
        <v>261</v>
      </c>
      <c r="D508" s="494" t="s">
        <v>847</v>
      </c>
      <c r="E508" s="499" t="s">
        <v>723</v>
      </c>
      <c r="F508" s="506" t="e">
        <f>LUONGNGAY!$K$35</f>
        <v>#VALUE!</v>
      </c>
      <c r="G508" s="494">
        <v>0.61099999999999999</v>
      </c>
      <c r="H508" s="429" t="e">
        <f t="shared" si="7"/>
        <v>#VALUE!</v>
      </c>
    </row>
    <row r="509" spans="1:8" ht="36" customHeight="1">
      <c r="A509" s="494">
        <v>11</v>
      </c>
      <c r="B509" s="495" t="s">
        <v>87</v>
      </c>
      <c r="C509" s="494" t="s">
        <v>481</v>
      </c>
      <c r="D509" s="494" t="s">
        <v>842</v>
      </c>
      <c r="E509" s="499" t="s">
        <v>723</v>
      </c>
      <c r="F509" s="506" t="e">
        <f>LUONGNGAY!$K$36</f>
        <v>#VALUE!</v>
      </c>
      <c r="G509" s="494">
        <v>3.3000000000000002E-2</v>
      </c>
      <c r="H509" s="429" t="e">
        <f t="shared" si="7"/>
        <v>#VALUE!</v>
      </c>
    </row>
    <row r="510" spans="1:8" ht="36" customHeight="1">
      <c r="A510" s="494">
        <v>12</v>
      </c>
      <c r="B510" s="495" t="s">
        <v>88</v>
      </c>
      <c r="C510" s="494"/>
      <c r="D510" s="494"/>
      <c r="E510" s="494"/>
      <c r="G510" s="494"/>
      <c r="H510" s="429">
        <f t="shared" si="7"/>
        <v>0</v>
      </c>
    </row>
    <row r="511" spans="1:8" ht="36" customHeight="1">
      <c r="A511" s="494" t="s">
        <v>897</v>
      </c>
      <c r="B511" s="495" t="s">
        <v>775</v>
      </c>
      <c r="C511" s="494"/>
      <c r="D511" s="494"/>
      <c r="E511" s="494"/>
      <c r="G511" s="494"/>
      <c r="H511" s="429">
        <f t="shared" si="7"/>
        <v>0</v>
      </c>
    </row>
    <row r="512" spans="1:8" ht="24" customHeight="1">
      <c r="A512" s="494" t="s">
        <v>898</v>
      </c>
      <c r="B512" s="495" t="s">
        <v>777</v>
      </c>
      <c r="C512" s="494" t="s">
        <v>778</v>
      </c>
      <c r="D512" s="494" t="s">
        <v>779</v>
      </c>
      <c r="E512" s="499" t="s">
        <v>723</v>
      </c>
      <c r="F512" s="506" t="e">
        <f>LUONGNGAY!$K$34</f>
        <v>#VALUE!</v>
      </c>
      <c r="G512" s="494">
        <v>0.02</v>
      </c>
      <c r="H512" s="429" t="e">
        <f t="shared" si="7"/>
        <v>#VALUE!</v>
      </c>
    </row>
    <row r="513" spans="1:9" ht="24" customHeight="1">
      <c r="A513" s="494" t="s">
        <v>899</v>
      </c>
      <c r="B513" s="495" t="s">
        <v>781</v>
      </c>
      <c r="C513" s="494" t="s">
        <v>778</v>
      </c>
      <c r="D513" s="494" t="s">
        <v>779</v>
      </c>
      <c r="E513" s="499" t="s">
        <v>723</v>
      </c>
      <c r="F513" s="506" t="e">
        <f>LUONGNGAY!$K$34</f>
        <v>#VALUE!</v>
      </c>
      <c r="G513" s="494">
        <v>0.01</v>
      </c>
      <c r="H513" s="429" t="e">
        <f t="shared" si="7"/>
        <v>#VALUE!</v>
      </c>
    </row>
    <row r="514" spans="1:9" ht="29.25" customHeight="1">
      <c r="A514" s="494" t="s">
        <v>900</v>
      </c>
      <c r="B514" s="495" t="s">
        <v>861</v>
      </c>
      <c r="C514" s="494" t="s">
        <v>778</v>
      </c>
      <c r="D514" s="494" t="s">
        <v>779</v>
      </c>
      <c r="E514" s="499" t="s">
        <v>723</v>
      </c>
      <c r="F514" s="506" t="e">
        <f>LUONGNGAY!$K$34</f>
        <v>#VALUE!</v>
      </c>
      <c r="G514" s="494">
        <v>5.0000000000000001E-3</v>
      </c>
      <c r="H514" s="429" t="e">
        <f t="shared" si="7"/>
        <v>#VALUE!</v>
      </c>
    </row>
    <row r="515" spans="1:9" ht="30" customHeight="1">
      <c r="A515" s="494" t="s">
        <v>901</v>
      </c>
      <c r="B515" s="495" t="s">
        <v>863</v>
      </c>
      <c r="C515" s="494" t="s">
        <v>481</v>
      </c>
      <c r="D515" s="494" t="s">
        <v>779</v>
      </c>
      <c r="E515" s="499" t="s">
        <v>723</v>
      </c>
      <c r="F515" s="506" t="e">
        <f>LUONGNGAY!$K$34</f>
        <v>#VALUE!</v>
      </c>
      <c r="G515" s="494">
        <v>1.2999999999999999E-2</v>
      </c>
      <c r="H515" s="429" t="e">
        <f t="shared" si="7"/>
        <v>#VALUE!</v>
      </c>
    </row>
    <row r="516" spans="1:9" ht="30" customHeight="1">
      <c r="A516" s="494">
        <v>13</v>
      </c>
      <c r="B516" s="495" t="s">
        <v>625</v>
      </c>
      <c r="C516" s="494" t="s">
        <v>261</v>
      </c>
      <c r="D516" s="494" t="s">
        <v>847</v>
      </c>
      <c r="E516" s="499" t="s">
        <v>723</v>
      </c>
      <c r="F516" s="506" t="e">
        <f>LUONGNGAY!$K$35</f>
        <v>#VALUE!</v>
      </c>
      <c r="G516" s="494">
        <v>0.26</v>
      </c>
      <c r="H516" s="429" t="e">
        <f t="shared" si="7"/>
        <v>#VALUE!</v>
      </c>
    </row>
    <row r="517" spans="1:9" ht="24" customHeight="1">
      <c r="A517" s="494">
        <v>14</v>
      </c>
      <c r="B517" s="495" t="s">
        <v>875</v>
      </c>
      <c r="C517" s="494" t="s">
        <v>261</v>
      </c>
      <c r="D517" s="494" t="s">
        <v>847</v>
      </c>
      <c r="E517" s="499" t="s">
        <v>723</v>
      </c>
      <c r="F517" s="506" t="e">
        <f>LUONGNGAY!$K$35</f>
        <v>#VALUE!</v>
      </c>
      <c r="G517" s="494">
        <v>0.26</v>
      </c>
      <c r="H517" s="429" t="e">
        <f t="shared" si="7"/>
        <v>#VALUE!</v>
      </c>
    </row>
    <row r="518" spans="1:9" ht="24" customHeight="1">
      <c r="A518" s="500" t="s">
        <v>1005</v>
      </c>
      <c r="B518" s="493" t="s">
        <v>913</v>
      </c>
      <c r="C518" s="494"/>
      <c r="D518" s="494"/>
      <c r="E518" s="494"/>
      <c r="G518" s="494"/>
      <c r="H518" s="429">
        <f t="shared" si="7"/>
        <v>0</v>
      </c>
    </row>
    <row r="519" spans="1:9" ht="24" customHeight="1">
      <c r="A519" s="494">
        <v>1</v>
      </c>
      <c r="B519" s="495" t="s">
        <v>626</v>
      </c>
      <c r="C519" s="494" t="s">
        <v>261</v>
      </c>
      <c r="D519" s="494" t="s">
        <v>842</v>
      </c>
      <c r="E519" s="499" t="s">
        <v>723</v>
      </c>
      <c r="F519" s="506" t="e">
        <f>LUONGNGAY!$K$36</f>
        <v>#VALUE!</v>
      </c>
      <c r="G519" s="494">
        <v>0.13</v>
      </c>
      <c r="H519" s="429" t="e">
        <f t="shared" si="7"/>
        <v>#VALUE!</v>
      </c>
    </row>
    <row r="520" spans="1:9" ht="24" customHeight="1">
      <c r="A520" s="500" t="s">
        <v>755</v>
      </c>
      <c r="B520" s="493" t="s">
        <v>914</v>
      </c>
      <c r="C520" s="494"/>
      <c r="D520" s="494"/>
      <c r="E520" s="494"/>
      <c r="G520" s="494"/>
      <c r="H520" s="429">
        <f t="shared" si="7"/>
        <v>0</v>
      </c>
    </row>
    <row r="521" spans="1:9" ht="36" customHeight="1">
      <c r="A521" s="494">
        <v>1</v>
      </c>
      <c r="B521" s="495" t="s">
        <v>627</v>
      </c>
      <c r="C521" s="494" t="s">
        <v>261</v>
      </c>
      <c r="D521" s="494" t="s">
        <v>847</v>
      </c>
      <c r="E521" s="499" t="s">
        <v>723</v>
      </c>
      <c r="F521" s="506" t="e">
        <f>LUONGNGAY!$K$35</f>
        <v>#VALUE!</v>
      </c>
      <c r="G521" s="494">
        <v>5.1999999999999998E-2</v>
      </c>
      <c r="H521" s="429" t="e">
        <f t="shared" si="7"/>
        <v>#VALUE!</v>
      </c>
    </row>
    <row r="522" spans="1:9" ht="22.5" customHeight="1">
      <c r="A522" s="437"/>
      <c r="B522" s="445"/>
      <c r="C522" s="460"/>
      <c r="D522" s="460"/>
      <c r="E522" s="460"/>
      <c r="F522" s="461"/>
      <c r="G522" s="462"/>
      <c r="H522" s="460"/>
      <c r="I522" s="460"/>
    </row>
    <row r="523" spans="1:9" ht="30" customHeight="1">
      <c r="A523" s="1151" t="s">
        <v>711</v>
      </c>
      <c r="B523" s="1151"/>
      <c r="C523" s="1151"/>
      <c r="D523" s="1151"/>
      <c r="E523" s="1151"/>
      <c r="F523" s="1151"/>
      <c r="G523" s="1151"/>
      <c r="H523" s="1151"/>
    </row>
    <row r="524" spans="1:9" ht="15.75" customHeight="1">
      <c r="A524" s="414"/>
      <c r="B524" s="415"/>
      <c r="E524" s="417"/>
      <c r="F524" s="418"/>
      <c r="G524" s="417"/>
      <c r="H524" s="419"/>
    </row>
    <row r="525" spans="1:9" ht="51.75" customHeight="1">
      <c r="A525" s="422" t="s">
        <v>979</v>
      </c>
      <c r="B525" s="422" t="s">
        <v>198</v>
      </c>
      <c r="C525" s="423" t="s">
        <v>479</v>
      </c>
      <c r="D525" s="423" t="s">
        <v>478</v>
      </c>
      <c r="E525" s="423" t="s">
        <v>199</v>
      </c>
      <c r="F525" s="424" t="s">
        <v>483</v>
      </c>
      <c r="G525" s="423" t="s">
        <v>482</v>
      </c>
      <c r="H525" s="423" t="s">
        <v>200</v>
      </c>
    </row>
    <row r="526" spans="1:9" ht="26.25" customHeight="1">
      <c r="A526" s="500" t="s">
        <v>1000</v>
      </c>
      <c r="B526" s="493" t="s">
        <v>460</v>
      </c>
      <c r="C526" s="494"/>
      <c r="D526" s="494"/>
      <c r="E526" s="494"/>
      <c r="F526" s="501"/>
      <c r="G526" s="423"/>
      <c r="H526" s="423"/>
    </row>
    <row r="527" spans="1:9" ht="26.25" customHeight="1">
      <c r="A527" s="494">
        <v>1</v>
      </c>
      <c r="B527" s="495" t="s">
        <v>453</v>
      </c>
      <c r="C527" s="494"/>
      <c r="D527" s="494"/>
      <c r="E527" s="494"/>
      <c r="F527" s="501"/>
      <c r="G527" s="423"/>
      <c r="H527" s="423"/>
    </row>
    <row r="528" spans="1:9" ht="25.5" customHeight="1">
      <c r="A528" s="1158" t="s">
        <v>733</v>
      </c>
      <c r="B528" s="1178" t="s">
        <v>834</v>
      </c>
      <c r="C528" s="1158" t="s">
        <v>835</v>
      </c>
      <c r="D528" s="1158" t="s">
        <v>836</v>
      </c>
      <c r="E528" s="1198" t="s">
        <v>187</v>
      </c>
      <c r="F528" s="426" t="e">
        <f>(LUONGNGAY!$K$35+LUONGNGAY!$K$44)/2</f>
        <v>#VALUE!</v>
      </c>
      <c r="G528" s="504">
        <f>2*2</f>
        <v>4</v>
      </c>
      <c r="H528" s="429" t="e">
        <f>F528*G528</f>
        <v>#VALUE!</v>
      </c>
    </row>
    <row r="529" spans="1:8" ht="26.25" customHeight="1">
      <c r="A529" s="1158"/>
      <c r="B529" s="1178"/>
      <c r="C529" s="1158"/>
      <c r="D529" s="1158"/>
      <c r="E529" s="1198"/>
      <c r="F529" s="426">
        <f>'He so chung'!$D$11</f>
        <v>147000</v>
      </c>
      <c r="G529" s="494">
        <v>2</v>
      </c>
      <c r="H529" s="429">
        <f t="shared" ref="H529:H592" si="8">F529*G529</f>
        <v>294000</v>
      </c>
    </row>
    <row r="530" spans="1:8" ht="26.25" customHeight="1">
      <c r="A530" s="494" t="s">
        <v>741</v>
      </c>
      <c r="B530" s="495" t="s">
        <v>837</v>
      </c>
      <c r="C530" s="494" t="s">
        <v>838</v>
      </c>
      <c r="D530" s="494" t="s">
        <v>839</v>
      </c>
      <c r="E530" s="499" t="s">
        <v>187</v>
      </c>
      <c r="F530" s="426" t="e">
        <f>(LUONGNGAY!$K$36+LUONGNGAY!K35+LUONGNGAY!K44)/3</f>
        <v>#VALUE!</v>
      </c>
      <c r="G530" s="494">
        <v>16</v>
      </c>
      <c r="H530" s="429" t="e">
        <f t="shared" si="8"/>
        <v>#VALUE!</v>
      </c>
    </row>
    <row r="531" spans="1:8" ht="26.25" customHeight="1">
      <c r="A531" s="1158" t="s">
        <v>734</v>
      </c>
      <c r="B531" s="1178" t="s">
        <v>100</v>
      </c>
      <c r="C531" s="1158" t="s">
        <v>841</v>
      </c>
      <c r="D531" s="1158" t="s">
        <v>842</v>
      </c>
      <c r="E531" s="1198" t="s">
        <v>187</v>
      </c>
      <c r="F531" s="506" t="e">
        <f>LUONGNGAY!$K$36</f>
        <v>#VALUE!</v>
      </c>
      <c r="G531" s="504">
        <v>2.5</v>
      </c>
      <c r="H531" s="429" t="e">
        <f t="shared" si="8"/>
        <v>#VALUE!</v>
      </c>
    </row>
    <row r="532" spans="1:8" ht="26.25" customHeight="1">
      <c r="A532" s="1158"/>
      <c r="B532" s="1178"/>
      <c r="C532" s="1158"/>
      <c r="D532" s="1158"/>
      <c r="E532" s="1198"/>
      <c r="F532" s="426">
        <f>'He so chung'!$D$11</f>
        <v>147000</v>
      </c>
      <c r="G532" s="494">
        <v>2.5</v>
      </c>
      <c r="H532" s="429">
        <f t="shared" si="8"/>
        <v>367500</v>
      </c>
    </row>
    <row r="533" spans="1:8" ht="26.25" customHeight="1">
      <c r="A533" s="494" t="s">
        <v>843</v>
      </c>
      <c r="B533" s="495" t="s">
        <v>101</v>
      </c>
      <c r="C533" s="494"/>
      <c r="D533" s="494"/>
      <c r="E533" s="494"/>
      <c r="F533" s="424"/>
      <c r="G533" s="494"/>
      <c r="H533" s="429">
        <f t="shared" si="8"/>
        <v>0</v>
      </c>
    </row>
    <row r="534" spans="1:8" ht="26.25" customHeight="1">
      <c r="A534" s="494" t="s">
        <v>845</v>
      </c>
      <c r="B534" s="495" t="s">
        <v>846</v>
      </c>
      <c r="C534" s="494" t="s">
        <v>261</v>
      </c>
      <c r="D534" s="494" t="s">
        <v>847</v>
      </c>
      <c r="E534" s="499" t="s">
        <v>187</v>
      </c>
      <c r="F534" s="506" t="e">
        <f>LUONGNGAY!$K$35</f>
        <v>#VALUE!</v>
      </c>
      <c r="G534" s="494">
        <v>0.05</v>
      </c>
      <c r="H534" s="429" t="e">
        <f t="shared" si="8"/>
        <v>#VALUE!</v>
      </c>
    </row>
    <row r="535" spans="1:8" ht="26.25" customHeight="1">
      <c r="A535" s="494" t="s">
        <v>848</v>
      </c>
      <c r="B535" s="495" t="s">
        <v>849</v>
      </c>
      <c r="C535" s="494" t="s">
        <v>261</v>
      </c>
      <c r="D535" s="494" t="s">
        <v>847</v>
      </c>
      <c r="E535" s="499" t="s">
        <v>187</v>
      </c>
      <c r="F535" s="506" t="e">
        <f>LUONGNGAY!$K$35</f>
        <v>#VALUE!</v>
      </c>
      <c r="G535" s="494">
        <v>2.5000000000000001E-2</v>
      </c>
      <c r="H535" s="429" t="e">
        <f t="shared" si="8"/>
        <v>#VALUE!</v>
      </c>
    </row>
    <row r="536" spans="1:8" ht="26.25" customHeight="1">
      <c r="A536" s="494">
        <v>2</v>
      </c>
      <c r="B536" s="495" t="s">
        <v>797</v>
      </c>
      <c r="C536" s="494" t="s">
        <v>261</v>
      </c>
      <c r="D536" s="494" t="s">
        <v>847</v>
      </c>
      <c r="E536" s="499" t="s">
        <v>187</v>
      </c>
      <c r="F536" s="506" t="e">
        <f>LUONGNGAY!$K$35</f>
        <v>#VALUE!</v>
      </c>
      <c r="G536" s="494">
        <v>0.05</v>
      </c>
      <c r="H536" s="429" t="e">
        <f t="shared" si="8"/>
        <v>#VALUE!</v>
      </c>
    </row>
    <row r="537" spans="1:8" ht="26.25" customHeight="1">
      <c r="A537" s="494">
        <v>3</v>
      </c>
      <c r="B537" s="495" t="s">
        <v>851</v>
      </c>
      <c r="C537" s="494" t="s">
        <v>481</v>
      </c>
      <c r="D537" s="494" t="s">
        <v>842</v>
      </c>
      <c r="E537" s="499" t="s">
        <v>187</v>
      </c>
      <c r="F537" s="506" t="e">
        <f>LUONGNGAY!$K$36</f>
        <v>#VALUE!</v>
      </c>
      <c r="G537" s="494">
        <v>0.107</v>
      </c>
      <c r="H537" s="429" t="e">
        <f t="shared" si="8"/>
        <v>#VALUE!</v>
      </c>
    </row>
    <row r="538" spans="1:8" ht="26.25" customHeight="1">
      <c r="A538" s="1158">
        <v>4</v>
      </c>
      <c r="B538" s="1178" t="s">
        <v>102</v>
      </c>
      <c r="C538" s="1158" t="s">
        <v>261</v>
      </c>
      <c r="D538" s="1158" t="s">
        <v>836</v>
      </c>
      <c r="E538" s="1158">
        <v>1</v>
      </c>
      <c r="F538" s="426" t="e">
        <f>(LUONGNGAY!$K$35+LUONGNGAY!$K$44)/2</f>
        <v>#VALUE!</v>
      </c>
      <c r="G538" s="504">
        <f>0.125*2</f>
        <v>0.25</v>
      </c>
      <c r="H538" s="429" t="e">
        <f t="shared" si="8"/>
        <v>#VALUE!</v>
      </c>
    </row>
    <row r="539" spans="1:8" ht="26.25" customHeight="1">
      <c r="A539" s="1158"/>
      <c r="B539" s="1178"/>
      <c r="C539" s="1158"/>
      <c r="D539" s="1158"/>
      <c r="E539" s="1158"/>
      <c r="F539" s="426">
        <f>'He so chung'!$D$11</f>
        <v>147000</v>
      </c>
      <c r="G539" s="494">
        <v>0.125</v>
      </c>
      <c r="H539" s="429">
        <f t="shared" si="8"/>
        <v>18375</v>
      </c>
    </row>
    <row r="540" spans="1:8" ht="26.25" customHeight="1">
      <c r="A540" s="1158"/>
      <c r="B540" s="1178"/>
      <c r="C540" s="1158"/>
      <c r="D540" s="1158"/>
      <c r="E540" s="1158">
        <v>2</v>
      </c>
      <c r="F540" s="426" t="e">
        <f>(LUONGNGAY!$K$35+LUONGNGAY!$K$44)/2</f>
        <v>#VALUE!</v>
      </c>
      <c r="G540" s="504">
        <f>0.15*2</f>
        <v>0.3</v>
      </c>
      <c r="H540" s="429" t="e">
        <f t="shared" si="8"/>
        <v>#VALUE!</v>
      </c>
    </row>
    <row r="541" spans="1:8" ht="26.25" customHeight="1">
      <c r="A541" s="1158"/>
      <c r="B541" s="1178"/>
      <c r="C541" s="1158"/>
      <c r="D541" s="1158"/>
      <c r="E541" s="1158"/>
      <c r="F541" s="426">
        <f>'He so chung'!$D$11</f>
        <v>147000</v>
      </c>
      <c r="G541" s="494">
        <v>0.15</v>
      </c>
      <c r="H541" s="429">
        <f t="shared" si="8"/>
        <v>22050</v>
      </c>
    </row>
    <row r="542" spans="1:8" ht="26.25" customHeight="1">
      <c r="A542" s="1158"/>
      <c r="B542" s="1178"/>
      <c r="C542" s="1158"/>
      <c r="D542" s="1158"/>
      <c r="E542" s="1158">
        <v>3</v>
      </c>
      <c r="F542" s="426" t="e">
        <f>(LUONGNGAY!$K$35+LUONGNGAY!$K$44)/2</f>
        <v>#VALUE!</v>
      </c>
      <c r="G542" s="504">
        <f>0.18*2</f>
        <v>0.36</v>
      </c>
      <c r="H542" s="429" t="e">
        <f t="shared" si="8"/>
        <v>#VALUE!</v>
      </c>
    </row>
    <row r="543" spans="1:8" ht="26.25" customHeight="1">
      <c r="A543" s="1158"/>
      <c r="B543" s="1178"/>
      <c r="C543" s="1158"/>
      <c r="D543" s="1158"/>
      <c r="E543" s="1158"/>
      <c r="F543" s="426">
        <f>'He so chung'!$D$11</f>
        <v>147000</v>
      </c>
      <c r="G543" s="494">
        <v>0.18</v>
      </c>
      <c r="H543" s="429">
        <f t="shared" si="8"/>
        <v>26460</v>
      </c>
    </row>
    <row r="544" spans="1:8" ht="26.25" customHeight="1">
      <c r="A544" s="494">
        <v>5</v>
      </c>
      <c r="B544" s="495" t="s">
        <v>167</v>
      </c>
      <c r="C544" s="494"/>
      <c r="D544" s="494"/>
      <c r="E544" s="494"/>
      <c r="F544" s="424"/>
      <c r="G544" s="494"/>
      <c r="H544" s="429">
        <f t="shared" si="8"/>
        <v>0</v>
      </c>
    </row>
    <row r="545" spans="1:8" ht="26.25" customHeight="1">
      <c r="A545" s="494" t="s">
        <v>461</v>
      </c>
      <c r="B545" s="495" t="s">
        <v>846</v>
      </c>
      <c r="C545" s="494" t="s">
        <v>261</v>
      </c>
      <c r="D545" s="494" t="s">
        <v>842</v>
      </c>
      <c r="E545" s="499" t="s">
        <v>187</v>
      </c>
      <c r="F545" s="506" t="e">
        <f>LUONGNGAY!$K$36</f>
        <v>#VALUE!</v>
      </c>
      <c r="G545" s="494">
        <v>1.4999999999999999E-2</v>
      </c>
      <c r="H545" s="429" t="e">
        <f t="shared" si="8"/>
        <v>#VALUE!</v>
      </c>
    </row>
    <row r="546" spans="1:8" ht="26.25" customHeight="1">
      <c r="A546" s="494" t="s">
        <v>462</v>
      </c>
      <c r="B546" s="495" t="s">
        <v>849</v>
      </c>
      <c r="C546" s="494" t="s">
        <v>261</v>
      </c>
      <c r="D546" s="494" t="s">
        <v>842</v>
      </c>
      <c r="E546" s="499" t="s">
        <v>187</v>
      </c>
      <c r="F546" s="506" t="e">
        <f>LUONGNGAY!$K$36</f>
        <v>#VALUE!</v>
      </c>
      <c r="G546" s="494">
        <v>0.01</v>
      </c>
      <c r="H546" s="429" t="e">
        <f t="shared" si="8"/>
        <v>#VALUE!</v>
      </c>
    </row>
    <row r="547" spans="1:8" ht="26.25" customHeight="1">
      <c r="A547" s="494">
        <v>6</v>
      </c>
      <c r="B547" s="495" t="s">
        <v>103</v>
      </c>
      <c r="C547" s="494"/>
      <c r="D547" s="494"/>
      <c r="E547" s="494"/>
      <c r="F547" s="424"/>
      <c r="G547" s="494"/>
      <c r="H547" s="429">
        <f t="shared" si="8"/>
        <v>0</v>
      </c>
    </row>
    <row r="548" spans="1:8" ht="26.25" customHeight="1">
      <c r="A548" s="494" t="s">
        <v>661</v>
      </c>
      <c r="B548" s="495" t="s">
        <v>846</v>
      </c>
      <c r="C548" s="494" t="s">
        <v>261</v>
      </c>
      <c r="D548" s="494" t="s">
        <v>842</v>
      </c>
      <c r="E548" s="499" t="s">
        <v>187</v>
      </c>
      <c r="F548" s="506" t="e">
        <f>LUONGNGAY!$K$36</f>
        <v>#VALUE!</v>
      </c>
      <c r="G548" s="494">
        <v>0.05</v>
      </c>
      <c r="H548" s="429" t="e">
        <f t="shared" si="8"/>
        <v>#VALUE!</v>
      </c>
    </row>
    <row r="549" spans="1:8" ht="26.25" customHeight="1">
      <c r="A549" s="494" t="s">
        <v>662</v>
      </c>
      <c r="B549" s="495" t="s">
        <v>849</v>
      </c>
      <c r="C549" s="494" t="s">
        <v>261</v>
      </c>
      <c r="D549" s="494" t="s">
        <v>842</v>
      </c>
      <c r="E549" s="499" t="s">
        <v>187</v>
      </c>
      <c r="F549" s="506" t="e">
        <f>LUONGNGAY!$K$36</f>
        <v>#VALUE!</v>
      </c>
      <c r="G549" s="494">
        <v>0.04</v>
      </c>
      <c r="H549" s="429" t="e">
        <f t="shared" si="8"/>
        <v>#VALUE!</v>
      </c>
    </row>
    <row r="550" spans="1:8" ht="26.25" customHeight="1">
      <c r="A550" s="494">
        <v>7</v>
      </c>
      <c r="B550" s="495" t="s">
        <v>793</v>
      </c>
      <c r="C550" s="494" t="s">
        <v>481</v>
      </c>
      <c r="D550" s="494" t="s">
        <v>842</v>
      </c>
      <c r="E550" s="499" t="s">
        <v>187</v>
      </c>
      <c r="F550" s="506" t="e">
        <f>LUONGNGAY!$K$36</f>
        <v>#VALUE!</v>
      </c>
      <c r="G550" s="494">
        <v>3.0000000000000001E-3</v>
      </c>
      <c r="H550" s="429" t="e">
        <f t="shared" si="8"/>
        <v>#VALUE!</v>
      </c>
    </row>
    <row r="551" spans="1:8" ht="26.25" customHeight="1">
      <c r="A551" s="494">
        <v>8</v>
      </c>
      <c r="B551" s="495" t="s">
        <v>508</v>
      </c>
      <c r="C551" s="494"/>
      <c r="D551" s="494"/>
      <c r="E551" s="494"/>
      <c r="F551" s="424"/>
      <c r="G551" s="494"/>
      <c r="H551" s="429">
        <f t="shared" si="8"/>
        <v>0</v>
      </c>
    </row>
    <row r="552" spans="1:8" ht="26.25" customHeight="1">
      <c r="A552" s="494" t="s">
        <v>191</v>
      </c>
      <c r="B552" s="495" t="s">
        <v>846</v>
      </c>
      <c r="C552" s="494" t="s">
        <v>261</v>
      </c>
      <c r="D552" s="494" t="s">
        <v>842</v>
      </c>
      <c r="E552" s="499" t="s">
        <v>187</v>
      </c>
      <c r="F552" s="506" t="e">
        <f>LUONGNGAY!$K$36</f>
        <v>#VALUE!</v>
      </c>
      <c r="G552" s="494">
        <v>5.0000000000000001E-3</v>
      </c>
      <c r="H552" s="429" t="e">
        <f t="shared" si="8"/>
        <v>#VALUE!</v>
      </c>
    </row>
    <row r="553" spans="1:8" ht="26.25" customHeight="1">
      <c r="A553" s="494" t="s">
        <v>192</v>
      </c>
      <c r="B553" s="495" t="s">
        <v>849</v>
      </c>
      <c r="C553" s="494" t="s">
        <v>261</v>
      </c>
      <c r="D553" s="494" t="s">
        <v>842</v>
      </c>
      <c r="E553" s="499" t="s">
        <v>187</v>
      </c>
      <c r="F553" s="506" t="e">
        <f>LUONGNGAY!$K$36</f>
        <v>#VALUE!</v>
      </c>
      <c r="G553" s="494">
        <v>4.0000000000000001E-3</v>
      </c>
      <c r="H553" s="429" t="e">
        <f t="shared" si="8"/>
        <v>#VALUE!</v>
      </c>
    </row>
    <row r="554" spans="1:8" ht="26.25" customHeight="1">
      <c r="A554" s="494">
        <v>9</v>
      </c>
      <c r="B554" s="495" t="s">
        <v>794</v>
      </c>
      <c r="C554" s="494" t="s">
        <v>261</v>
      </c>
      <c r="D554" s="494" t="s">
        <v>847</v>
      </c>
      <c r="E554" s="499" t="s">
        <v>187</v>
      </c>
      <c r="F554" s="506" t="e">
        <f>LUONGNGAY!$K$35</f>
        <v>#VALUE!</v>
      </c>
      <c r="G554" s="494">
        <v>0.02</v>
      </c>
      <c r="H554" s="429" t="e">
        <f t="shared" si="8"/>
        <v>#VALUE!</v>
      </c>
    </row>
    <row r="555" spans="1:8" ht="26.25" customHeight="1">
      <c r="A555" s="494">
        <v>10</v>
      </c>
      <c r="B555" s="495" t="s">
        <v>581</v>
      </c>
      <c r="C555" s="494" t="s">
        <v>261</v>
      </c>
      <c r="D555" s="494" t="s">
        <v>847</v>
      </c>
      <c r="E555" s="499" t="s">
        <v>187</v>
      </c>
      <c r="F555" s="506" t="e">
        <f>LUONGNGAY!$K$35</f>
        <v>#VALUE!</v>
      </c>
      <c r="G555" s="494">
        <v>0.02</v>
      </c>
      <c r="H555" s="429" t="e">
        <f t="shared" si="8"/>
        <v>#VALUE!</v>
      </c>
    </row>
    <row r="556" spans="1:8" ht="26.25" customHeight="1">
      <c r="A556" s="500" t="s">
        <v>1005</v>
      </c>
      <c r="B556" s="493" t="s">
        <v>582</v>
      </c>
      <c r="C556" s="494"/>
      <c r="D556" s="494"/>
      <c r="E556" s="494"/>
      <c r="F556" s="424"/>
      <c r="G556" s="494"/>
      <c r="H556" s="429">
        <f t="shared" si="8"/>
        <v>0</v>
      </c>
    </row>
    <row r="557" spans="1:8" ht="26.25" customHeight="1">
      <c r="A557" s="494">
        <v>1</v>
      </c>
      <c r="B557" s="495" t="s">
        <v>509</v>
      </c>
      <c r="C557" s="494"/>
      <c r="D557" s="494"/>
      <c r="E557" s="494"/>
      <c r="F557" s="424"/>
      <c r="G557" s="494"/>
      <c r="H557" s="429">
        <f t="shared" si="8"/>
        <v>0</v>
      </c>
    </row>
    <row r="558" spans="1:8" ht="26.25" customHeight="1">
      <c r="A558" s="494" t="s">
        <v>733</v>
      </c>
      <c r="B558" s="495" t="s">
        <v>846</v>
      </c>
      <c r="C558" s="494" t="s">
        <v>261</v>
      </c>
      <c r="D558" s="494" t="s">
        <v>847</v>
      </c>
      <c r="E558" s="499" t="s">
        <v>187</v>
      </c>
      <c r="F558" s="506" t="e">
        <f>LUONGNGAY!$K$35</f>
        <v>#VALUE!</v>
      </c>
      <c r="G558" s="494">
        <v>2.5000000000000001E-2</v>
      </c>
      <c r="H558" s="429" t="e">
        <f t="shared" si="8"/>
        <v>#VALUE!</v>
      </c>
    </row>
    <row r="559" spans="1:8" ht="26.25" customHeight="1">
      <c r="A559" s="494" t="s">
        <v>741</v>
      </c>
      <c r="B559" s="495" t="s">
        <v>849</v>
      </c>
      <c r="C559" s="494" t="s">
        <v>261</v>
      </c>
      <c r="D559" s="494" t="s">
        <v>847</v>
      </c>
      <c r="E559" s="499" t="s">
        <v>187</v>
      </c>
      <c r="F559" s="506" t="e">
        <f>LUONGNGAY!$K$35</f>
        <v>#VALUE!</v>
      </c>
      <c r="G559" s="494">
        <v>0.02</v>
      </c>
      <c r="H559" s="429" t="e">
        <f t="shared" si="8"/>
        <v>#VALUE!</v>
      </c>
    </row>
    <row r="560" spans="1:8" ht="26.25" customHeight="1">
      <c r="A560" s="494">
        <v>2</v>
      </c>
      <c r="B560" s="495" t="s">
        <v>104</v>
      </c>
      <c r="C560" s="494" t="s">
        <v>261</v>
      </c>
      <c r="D560" s="494" t="s">
        <v>842</v>
      </c>
      <c r="E560" s="499" t="s">
        <v>187</v>
      </c>
      <c r="F560" s="506" t="e">
        <f>LUONGNGAY!$K$36</f>
        <v>#VALUE!</v>
      </c>
      <c r="G560" s="494">
        <v>0.1</v>
      </c>
      <c r="H560" s="429" t="e">
        <f t="shared" si="8"/>
        <v>#VALUE!</v>
      </c>
    </row>
    <row r="561" spans="1:8" ht="26.25" customHeight="1">
      <c r="A561" s="494">
        <v>3</v>
      </c>
      <c r="B561" s="495" t="s">
        <v>2</v>
      </c>
      <c r="C561" s="494" t="s">
        <v>481</v>
      </c>
      <c r="D561" s="494" t="s">
        <v>842</v>
      </c>
      <c r="E561" s="499" t="s">
        <v>187</v>
      </c>
      <c r="F561" s="506" t="e">
        <f>LUONGNGAY!$K$36</f>
        <v>#VALUE!</v>
      </c>
      <c r="G561" s="494">
        <v>6.0000000000000001E-3</v>
      </c>
      <c r="H561" s="429" t="e">
        <f t="shared" si="8"/>
        <v>#VALUE!</v>
      </c>
    </row>
    <row r="562" spans="1:8" ht="26.25" customHeight="1">
      <c r="A562" s="494">
        <v>4</v>
      </c>
      <c r="B562" s="495" t="s">
        <v>23</v>
      </c>
      <c r="C562" s="494"/>
      <c r="D562" s="494"/>
      <c r="E562" s="494"/>
      <c r="F562" s="424"/>
      <c r="G562" s="494"/>
      <c r="H562" s="429">
        <f t="shared" si="8"/>
        <v>0</v>
      </c>
    </row>
    <row r="563" spans="1:8" ht="26.25" customHeight="1">
      <c r="A563" s="494" t="s">
        <v>124</v>
      </c>
      <c r="B563" s="495" t="s">
        <v>587</v>
      </c>
      <c r="C563" s="494" t="s">
        <v>261</v>
      </c>
      <c r="D563" s="494" t="s">
        <v>847</v>
      </c>
      <c r="E563" s="499" t="s">
        <v>187</v>
      </c>
      <c r="F563" s="506" t="e">
        <f>LUONGNGAY!$K$35</f>
        <v>#VALUE!</v>
      </c>
      <c r="G563" s="494">
        <v>2.5000000000000001E-2</v>
      </c>
      <c r="H563" s="429" t="e">
        <f t="shared" si="8"/>
        <v>#VALUE!</v>
      </c>
    </row>
    <row r="564" spans="1:8" ht="26.25" customHeight="1">
      <c r="A564" s="494" t="s">
        <v>125</v>
      </c>
      <c r="B564" s="495" t="s">
        <v>588</v>
      </c>
      <c r="C564" s="494" t="s">
        <v>261</v>
      </c>
      <c r="D564" s="494" t="s">
        <v>847</v>
      </c>
      <c r="E564" s="499" t="s">
        <v>187</v>
      </c>
      <c r="F564" s="506" t="e">
        <f>LUONGNGAY!$K$35</f>
        <v>#VALUE!</v>
      </c>
      <c r="G564" s="494">
        <v>0.05</v>
      </c>
      <c r="H564" s="429" t="e">
        <f t="shared" si="8"/>
        <v>#VALUE!</v>
      </c>
    </row>
    <row r="565" spans="1:8" ht="26.25" customHeight="1">
      <c r="A565" s="494">
        <v>5</v>
      </c>
      <c r="B565" s="495" t="s">
        <v>105</v>
      </c>
      <c r="C565" s="494"/>
      <c r="D565" s="494"/>
      <c r="E565" s="494"/>
      <c r="F565" s="424"/>
      <c r="G565" s="494"/>
      <c r="H565" s="429">
        <f t="shared" si="8"/>
        <v>0</v>
      </c>
    </row>
    <row r="566" spans="1:8" ht="26.25" customHeight="1">
      <c r="A566" s="494" t="s">
        <v>461</v>
      </c>
      <c r="B566" s="495" t="s">
        <v>590</v>
      </c>
      <c r="C566" s="494" t="s">
        <v>261</v>
      </c>
      <c r="D566" s="494" t="s">
        <v>842</v>
      </c>
      <c r="E566" s="499" t="s">
        <v>187</v>
      </c>
      <c r="F566" s="506" t="e">
        <f>LUONGNGAY!$K$36</f>
        <v>#VALUE!</v>
      </c>
      <c r="G566" s="494">
        <v>0.03</v>
      </c>
      <c r="H566" s="429" t="e">
        <f t="shared" si="8"/>
        <v>#VALUE!</v>
      </c>
    </row>
    <row r="567" spans="1:8" ht="26.25" customHeight="1">
      <c r="A567" s="494" t="s">
        <v>462</v>
      </c>
      <c r="B567" s="495" t="s">
        <v>591</v>
      </c>
      <c r="C567" s="494" t="s">
        <v>261</v>
      </c>
      <c r="D567" s="494" t="s">
        <v>842</v>
      </c>
      <c r="E567" s="499" t="s">
        <v>187</v>
      </c>
      <c r="F567" s="506" t="e">
        <f>LUONGNGAY!$K$36</f>
        <v>#VALUE!</v>
      </c>
      <c r="G567" s="494">
        <v>0.04</v>
      </c>
      <c r="H567" s="429" t="e">
        <f t="shared" si="8"/>
        <v>#VALUE!</v>
      </c>
    </row>
    <row r="568" spans="1:8" ht="26.25" customHeight="1">
      <c r="A568" s="494">
        <v>6</v>
      </c>
      <c r="B568" s="495" t="s">
        <v>106</v>
      </c>
      <c r="C568" s="494"/>
      <c r="D568" s="494"/>
      <c r="E568" s="494"/>
      <c r="F568" s="424"/>
      <c r="G568" s="494"/>
      <c r="H568" s="429">
        <f t="shared" si="8"/>
        <v>0</v>
      </c>
    </row>
    <row r="569" spans="1:8" ht="26.25" customHeight="1">
      <c r="A569" s="494" t="s">
        <v>661</v>
      </c>
      <c r="B569" s="495" t="s">
        <v>593</v>
      </c>
      <c r="C569" s="494" t="s">
        <v>261</v>
      </c>
      <c r="D569" s="494" t="s">
        <v>847</v>
      </c>
      <c r="E569" s="499" t="s">
        <v>187</v>
      </c>
      <c r="F569" s="506" t="e">
        <f>LUONGNGAY!$K$35</f>
        <v>#VALUE!</v>
      </c>
      <c r="G569" s="494">
        <v>0.04</v>
      </c>
      <c r="H569" s="429" t="e">
        <f t="shared" si="8"/>
        <v>#VALUE!</v>
      </c>
    </row>
    <row r="570" spans="1:8" ht="26.25" customHeight="1">
      <c r="A570" s="494" t="s">
        <v>662</v>
      </c>
      <c r="B570" s="495" t="s">
        <v>594</v>
      </c>
      <c r="C570" s="494" t="s">
        <v>261</v>
      </c>
      <c r="D570" s="494" t="s">
        <v>847</v>
      </c>
      <c r="E570" s="499" t="s">
        <v>187</v>
      </c>
      <c r="F570" s="506" t="e">
        <f>LUONGNGAY!$K$35</f>
        <v>#VALUE!</v>
      </c>
      <c r="G570" s="494">
        <v>0.03</v>
      </c>
      <c r="H570" s="429" t="e">
        <f t="shared" si="8"/>
        <v>#VALUE!</v>
      </c>
    </row>
    <row r="571" spans="1:8" ht="26.25" customHeight="1">
      <c r="A571" s="494">
        <v>7</v>
      </c>
      <c r="B571" s="495" t="s">
        <v>78</v>
      </c>
      <c r="C571" s="494" t="s">
        <v>481</v>
      </c>
      <c r="D571" s="494" t="s">
        <v>842</v>
      </c>
      <c r="E571" s="499" t="s">
        <v>187</v>
      </c>
      <c r="F571" s="506" t="e">
        <f>LUONGNGAY!$K$36</f>
        <v>#VALUE!</v>
      </c>
      <c r="G571" s="494">
        <v>3.3000000000000002E-2</v>
      </c>
      <c r="H571" s="429" t="e">
        <f t="shared" si="8"/>
        <v>#VALUE!</v>
      </c>
    </row>
    <row r="572" spans="1:8" ht="26.25" customHeight="1">
      <c r="A572" s="494">
        <v>8</v>
      </c>
      <c r="B572" s="495" t="s">
        <v>260</v>
      </c>
      <c r="C572" s="494" t="s">
        <v>261</v>
      </c>
      <c r="D572" s="494" t="s">
        <v>842</v>
      </c>
      <c r="E572" s="499" t="s">
        <v>187</v>
      </c>
      <c r="F572" s="506" t="e">
        <f>LUONGNGAY!$K$36</f>
        <v>#VALUE!</v>
      </c>
      <c r="G572" s="494">
        <v>0.2</v>
      </c>
      <c r="H572" s="429" t="e">
        <f t="shared" si="8"/>
        <v>#VALUE!</v>
      </c>
    </row>
    <row r="573" spans="1:8" ht="26.25" customHeight="1">
      <c r="A573" s="494">
        <v>9</v>
      </c>
      <c r="B573" s="495" t="s">
        <v>80</v>
      </c>
      <c r="C573" s="494"/>
      <c r="D573" s="494"/>
      <c r="E573" s="494"/>
      <c r="F573" s="424"/>
      <c r="G573" s="494"/>
      <c r="H573" s="429">
        <f t="shared" si="8"/>
        <v>0</v>
      </c>
    </row>
    <row r="574" spans="1:8" ht="26.25" customHeight="1">
      <c r="A574" s="494" t="s">
        <v>663</v>
      </c>
      <c r="B574" s="495" t="s">
        <v>82</v>
      </c>
      <c r="C574" s="494" t="s">
        <v>559</v>
      </c>
      <c r="D574" s="494" t="s">
        <v>847</v>
      </c>
      <c r="E574" s="499" t="s">
        <v>187</v>
      </c>
      <c r="F574" s="506" t="e">
        <f>LUONGNGAY!$K$35</f>
        <v>#VALUE!</v>
      </c>
      <c r="G574" s="494">
        <v>0.05</v>
      </c>
      <c r="H574" s="429" t="e">
        <f t="shared" si="8"/>
        <v>#VALUE!</v>
      </c>
    </row>
    <row r="575" spans="1:8" ht="26.25" customHeight="1">
      <c r="A575" s="494" t="s">
        <v>664</v>
      </c>
      <c r="B575" s="495" t="s">
        <v>84</v>
      </c>
      <c r="C575" s="494" t="s">
        <v>559</v>
      </c>
      <c r="D575" s="494" t="s">
        <v>847</v>
      </c>
      <c r="E575" s="499" t="s">
        <v>187</v>
      </c>
      <c r="F575" s="506" t="e">
        <f>LUONGNGAY!$K$35</f>
        <v>#VALUE!</v>
      </c>
      <c r="G575" s="494">
        <v>0.1</v>
      </c>
      <c r="H575" s="429" t="e">
        <f t="shared" si="8"/>
        <v>#VALUE!</v>
      </c>
    </row>
    <row r="576" spans="1:8" ht="26.25" customHeight="1">
      <c r="A576" s="494">
        <v>10</v>
      </c>
      <c r="B576" s="495" t="s">
        <v>85</v>
      </c>
      <c r="C576" s="494" t="s">
        <v>261</v>
      </c>
      <c r="D576" s="494" t="s">
        <v>847</v>
      </c>
      <c r="E576" s="499" t="s">
        <v>187</v>
      </c>
      <c r="F576" s="506" t="e">
        <f>LUONGNGAY!$K$35</f>
        <v>#VALUE!</v>
      </c>
      <c r="G576" s="494">
        <v>0.04</v>
      </c>
      <c r="H576" s="429" t="e">
        <f t="shared" si="8"/>
        <v>#VALUE!</v>
      </c>
    </row>
    <row r="577" spans="1:8" ht="26.25" customHeight="1">
      <c r="A577" s="494">
        <v>11</v>
      </c>
      <c r="B577" s="495" t="s">
        <v>107</v>
      </c>
      <c r="C577" s="494"/>
      <c r="D577" s="494"/>
      <c r="E577" s="494"/>
      <c r="F577" s="424"/>
      <c r="G577" s="494"/>
      <c r="H577" s="429">
        <f t="shared" si="8"/>
        <v>0</v>
      </c>
    </row>
    <row r="578" spans="1:8" ht="26.25" customHeight="1">
      <c r="A578" s="494" t="s">
        <v>719</v>
      </c>
      <c r="B578" s="495" t="s">
        <v>108</v>
      </c>
      <c r="C578" s="494" t="s">
        <v>261</v>
      </c>
      <c r="D578" s="494" t="s">
        <v>847</v>
      </c>
      <c r="E578" s="499" t="s">
        <v>187</v>
      </c>
      <c r="F578" s="506" t="e">
        <f>LUONGNGAY!$K$35</f>
        <v>#VALUE!</v>
      </c>
      <c r="G578" s="494">
        <v>0.05</v>
      </c>
      <c r="H578" s="429" t="e">
        <f t="shared" si="8"/>
        <v>#VALUE!</v>
      </c>
    </row>
    <row r="579" spans="1:8" ht="26.25" customHeight="1">
      <c r="A579" s="494" t="s">
        <v>720</v>
      </c>
      <c r="B579" s="495" t="s">
        <v>109</v>
      </c>
      <c r="C579" s="494" t="s">
        <v>261</v>
      </c>
      <c r="D579" s="494" t="s">
        <v>847</v>
      </c>
      <c r="E579" s="499" t="s">
        <v>187</v>
      </c>
      <c r="F579" s="506" t="e">
        <f>LUONGNGAY!$K$35</f>
        <v>#VALUE!</v>
      </c>
      <c r="G579" s="494">
        <v>0.05</v>
      </c>
      <c r="H579" s="429" t="e">
        <f t="shared" si="8"/>
        <v>#VALUE!</v>
      </c>
    </row>
    <row r="580" spans="1:8" ht="26.25" customHeight="1">
      <c r="A580" s="494">
        <v>12</v>
      </c>
      <c r="B580" s="495" t="s">
        <v>87</v>
      </c>
      <c r="C580" s="494" t="s">
        <v>481</v>
      </c>
      <c r="D580" s="494" t="s">
        <v>842</v>
      </c>
      <c r="E580" s="499" t="s">
        <v>187</v>
      </c>
      <c r="F580" s="506" t="e">
        <f>LUONGNGAY!$K$36</f>
        <v>#VALUE!</v>
      </c>
      <c r="G580" s="494">
        <v>3.3000000000000002E-2</v>
      </c>
      <c r="H580" s="429" t="e">
        <f t="shared" si="8"/>
        <v>#VALUE!</v>
      </c>
    </row>
    <row r="581" spans="1:8" ht="26.25" customHeight="1">
      <c r="A581" s="494">
        <v>13</v>
      </c>
      <c r="B581" s="495" t="s">
        <v>88</v>
      </c>
      <c r="C581" s="494"/>
      <c r="D581" s="494"/>
      <c r="E581" s="494"/>
      <c r="F581" s="424"/>
      <c r="G581" s="494"/>
      <c r="H581" s="429">
        <f t="shared" si="8"/>
        <v>0</v>
      </c>
    </row>
    <row r="582" spans="1:8" ht="26.25" customHeight="1">
      <c r="A582" s="494" t="s">
        <v>110</v>
      </c>
      <c r="B582" s="495" t="s">
        <v>775</v>
      </c>
      <c r="C582" s="494"/>
      <c r="D582" s="494"/>
      <c r="E582" s="494"/>
      <c r="F582" s="424"/>
      <c r="G582" s="494"/>
      <c r="H582" s="429">
        <f t="shared" si="8"/>
        <v>0</v>
      </c>
    </row>
    <row r="583" spans="1:8" ht="26.25" customHeight="1">
      <c r="A583" s="494" t="s">
        <v>111</v>
      </c>
      <c r="B583" s="495" t="s">
        <v>777</v>
      </c>
      <c r="C583" s="494" t="s">
        <v>778</v>
      </c>
      <c r="D583" s="494" t="s">
        <v>779</v>
      </c>
      <c r="E583" s="499" t="s">
        <v>187</v>
      </c>
      <c r="F583" s="426" t="e">
        <f>LUONGNGAY!$K$34</f>
        <v>#VALUE!</v>
      </c>
      <c r="G583" s="494">
        <v>1.6E-2</v>
      </c>
      <c r="H583" s="429" t="e">
        <f>F583*G583</f>
        <v>#VALUE!</v>
      </c>
    </row>
    <row r="584" spans="1:8" ht="26.25" customHeight="1">
      <c r="A584" s="494" t="s">
        <v>112</v>
      </c>
      <c r="B584" s="495" t="s">
        <v>781</v>
      </c>
      <c r="C584" s="494" t="s">
        <v>778</v>
      </c>
      <c r="D584" s="494" t="s">
        <v>779</v>
      </c>
      <c r="E584" s="499" t="s">
        <v>187</v>
      </c>
      <c r="F584" s="426" t="e">
        <f>LUONGNGAY!$K$34</f>
        <v>#VALUE!</v>
      </c>
      <c r="G584" s="494">
        <v>8.0000000000000002E-3</v>
      </c>
      <c r="H584" s="429" t="e">
        <f t="shared" si="8"/>
        <v>#VALUE!</v>
      </c>
    </row>
    <row r="585" spans="1:8" ht="26.25" customHeight="1">
      <c r="A585" s="494" t="s">
        <v>113</v>
      </c>
      <c r="B585" s="495" t="s">
        <v>861</v>
      </c>
      <c r="C585" s="494" t="s">
        <v>778</v>
      </c>
      <c r="D585" s="494" t="s">
        <v>779</v>
      </c>
      <c r="E585" s="499" t="s">
        <v>187</v>
      </c>
      <c r="F585" s="426" t="e">
        <f>LUONGNGAY!$K$34</f>
        <v>#VALUE!</v>
      </c>
      <c r="G585" s="494">
        <v>4.0000000000000001E-3</v>
      </c>
      <c r="H585" s="429" t="e">
        <f t="shared" si="8"/>
        <v>#VALUE!</v>
      </c>
    </row>
    <row r="586" spans="1:8" ht="26.25" customHeight="1">
      <c r="A586" s="494" t="s">
        <v>114</v>
      </c>
      <c r="B586" s="495" t="s">
        <v>863</v>
      </c>
      <c r="C586" s="494" t="s">
        <v>481</v>
      </c>
      <c r="D586" s="494" t="s">
        <v>779</v>
      </c>
      <c r="E586" s="499" t="s">
        <v>187</v>
      </c>
      <c r="F586" s="426" t="e">
        <f>LUONGNGAY!$K$34</f>
        <v>#VALUE!</v>
      </c>
      <c r="G586" s="494">
        <v>0.01</v>
      </c>
      <c r="H586" s="429" t="e">
        <f t="shared" si="8"/>
        <v>#VALUE!</v>
      </c>
    </row>
    <row r="587" spans="1:8" ht="26.25" customHeight="1">
      <c r="A587" s="494">
        <v>14</v>
      </c>
      <c r="B587" s="495" t="s">
        <v>878</v>
      </c>
      <c r="C587" s="494" t="s">
        <v>261</v>
      </c>
      <c r="D587" s="494" t="s">
        <v>847</v>
      </c>
      <c r="E587" s="499" t="s">
        <v>187</v>
      </c>
      <c r="F587" s="506" t="e">
        <f>LUONGNGAY!$K$35</f>
        <v>#VALUE!</v>
      </c>
      <c r="G587" s="494">
        <v>0.02</v>
      </c>
      <c r="H587" s="429" t="e">
        <f t="shared" si="8"/>
        <v>#VALUE!</v>
      </c>
    </row>
    <row r="588" spans="1:8" ht="26.25" customHeight="1">
      <c r="A588" s="494">
        <v>15</v>
      </c>
      <c r="B588" s="495" t="s">
        <v>115</v>
      </c>
      <c r="C588" s="494" t="s">
        <v>116</v>
      </c>
      <c r="D588" s="494" t="s">
        <v>847</v>
      </c>
      <c r="E588" s="499" t="s">
        <v>187</v>
      </c>
      <c r="F588" s="506" t="e">
        <f>LUONGNGAY!$K$35</f>
        <v>#VALUE!</v>
      </c>
      <c r="G588" s="494">
        <v>8</v>
      </c>
      <c r="H588" s="429" t="e">
        <f t="shared" si="8"/>
        <v>#VALUE!</v>
      </c>
    </row>
    <row r="589" spans="1:8" ht="26.25" customHeight="1">
      <c r="A589" s="500" t="s">
        <v>755</v>
      </c>
      <c r="B589" s="493" t="s">
        <v>339</v>
      </c>
      <c r="C589" s="494"/>
      <c r="D589" s="494"/>
      <c r="E589" s="494"/>
      <c r="F589" s="424"/>
      <c r="G589" s="494"/>
      <c r="H589" s="429">
        <f t="shared" si="8"/>
        <v>0</v>
      </c>
    </row>
    <row r="590" spans="1:8" ht="26.25" customHeight="1">
      <c r="A590" s="494">
        <v>1</v>
      </c>
      <c r="B590" s="495" t="s">
        <v>530</v>
      </c>
      <c r="C590" s="494"/>
      <c r="D590" s="494"/>
      <c r="E590" s="494"/>
      <c r="F590" s="424"/>
      <c r="G590" s="494"/>
      <c r="H590" s="429">
        <f t="shared" si="8"/>
        <v>0</v>
      </c>
    </row>
    <row r="591" spans="1:8" ht="26.25" customHeight="1">
      <c r="A591" s="494" t="s">
        <v>733</v>
      </c>
      <c r="B591" s="495" t="s">
        <v>340</v>
      </c>
      <c r="C591" s="494" t="s">
        <v>527</v>
      </c>
      <c r="D591" s="494" t="s">
        <v>342</v>
      </c>
      <c r="E591" s="499" t="s">
        <v>187</v>
      </c>
      <c r="F591" s="463" t="e">
        <f>LUONGNGAY!$K$37</f>
        <v>#VALUE!</v>
      </c>
      <c r="G591" s="494">
        <v>300</v>
      </c>
      <c r="H591" s="429" t="e">
        <f t="shared" si="8"/>
        <v>#VALUE!</v>
      </c>
    </row>
    <row r="592" spans="1:8" ht="26.25" customHeight="1">
      <c r="A592" s="494" t="s">
        <v>741</v>
      </c>
      <c r="B592" s="495" t="s">
        <v>343</v>
      </c>
      <c r="C592" s="494" t="s">
        <v>481</v>
      </c>
      <c r="D592" s="494" t="s">
        <v>342</v>
      </c>
      <c r="E592" s="499" t="s">
        <v>187</v>
      </c>
      <c r="F592" s="463" t="e">
        <f>LUONGNGAY!$K$37</f>
        <v>#VALUE!</v>
      </c>
      <c r="G592" s="494">
        <v>0.01</v>
      </c>
      <c r="H592" s="429" t="e">
        <f t="shared" si="8"/>
        <v>#VALUE!</v>
      </c>
    </row>
    <row r="593" spans="1:8" ht="26.25" customHeight="1">
      <c r="A593" s="494">
        <v>2</v>
      </c>
      <c r="B593" s="495" t="s">
        <v>344</v>
      </c>
      <c r="C593" s="494"/>
      <c r="D593" s="494"/>
      <c r="E593" s="494"/>
      <c r="F593" s="424"/>
      <c r="G593" s="494"/>
      <c r="H593" s="429">
        <f>F593*G593</f>
        <v>0</v>
      </c>
    </row>
    <row r="594" spans="1:8" ht="26.25" customHeight="1">
      <c r="A594" s="494" t="s">
        <v>742</v>
      </c>
      <c r="B594" s="495" t="s">
        <v>345</v>
      </c>
      <c r="C594" s="494" t="s">
        <v>57</v>
      </c>
      <c r="D594" s="494" t="s">
        <v>342</v>
      </c>
      <c r="E594" s="499" t="s">
        <v>187</v>
      </c>
      <c r="F594" s="463" t="e">
        <f>LUONGNGAY!$K$37</f>
        <v>#VALUE!</v>
      </c>
      <c r="G594" s="494">
        <v>2.5000000000000001E-2</v>
      </c>
      <c r="H594" s="429" t="e">
        <f>F594*G594</f>
        <v>#VALUE!</v>
      </c>
    </row>
    <row r="595" spans="1:8" ht="26.25" customHeight="1">
      <c r="A595" s="494" t="s">
        <v>743</v>
      </c>
      <c r="B595" s="495" t="s">
        <v>117</v>
      </c>
      <c r="C595" s="494" t="s">
        <v>527</v>
      </c>
      <c r="D595" s="494" t="s">
        <v>342</v>
      </c>
      <c r="E595" s="499" t="s">
        <v>187</v>
      </c>
      <c r="F595" s="463" t="e">
        <f>LUONGNGAY!$K$37</f>
        <v>#VALUE!</v>
      </c>
      <c r="G595" s="494">
        <v>2</v>
      </c>
      <c r="H595" s="429" t="e">
        <f>F595*G595</f>
        <v>#VALUE!</v>
      </c>
    </row>
    <row r="596" spans="1:8" ht="26.25" customHeight="1">
      <c r="A596" s="494">
        <v>3</v>
      </c>
      <c r="B596" s="495" t="s">
        <v>118</v>
      </c>
      <c r="C596" s="494" t="s">
        <v>116</v>
      </c>
      <c r="D596" s="494" t="s">
        <v>342</v>
      </c>
      <c r="E596" s="499" t="s">
        <v>187</v>
      </c>
      <c r="F596" s="463" t="e">
        <f>LUONGNGAY!$K$37</f>
        <v>#VALUE!</v>
      </c>
      <c r="G596" s="494">
        <v>8</v>
      </c>
      <c r="H596" s="429" t="e">
        <f>F596*G596</f>
        <v>#VALUE!</v>
      </c>
    </row>
    <row r="597" spans="1:8" ht="18" customHeight="1">
      <c r="A597" s="462"/>
      <c r="B597" s="445"/>
      <c r="C597" s="439"/>
      <c r="D597" s="439"/>
      <c r="E597" s="462"/>
      <c r="F597" s="440"/>
      <c r="G597" s="464"/>
      <c r="H597" s="442"/>
    </row>
    <row r="598" spans="1:8" ht="45" customHeight="1">
      <c r="A598" s="1151" t="s">
        <v>817</v>
      </c>
      <c r="B598" s="1151"/>
      <c r="C598" s="1151"/>
      <c r="D598" s="1151"/>
      <c r="E598" s="1151"/>
      <c r="F598" s="1151"/>
      <c r="G598" s="1151"/>
      <c r="H598" s="1151"/>
    </row>
    <row r="599" spans="1:8" ht="15.75" customHeight="1">
      <c r="A599" s="414"/>
      <c r="B599" s="415"/>
      <c r="E599" s="417"/>
      <c r="F599" s="418"/>
      <c r="G599" s="417"/>
      <c r="H599" s="419"/>
    </row>
    <row r="600" spans="1:8" ht="51.75" customHeight="1">
      <c r="A600" s="422" t="s">
        <v>979</v>
      </c>
      <c r="B600" s="422" t="s">
        <v>198</v>
      </c>
      <c r="C600" s="423" t="s">
        <v>479</v>
      </c>
      <c r="D600" s="423" t="s">
        <v>478</v>
      </c>
      <c r="E600" s="423" t="s">
        <v>199</v>
      </c>
      <c r="F600" s="424" t="s">
        <v>483</v>
      </c>
      <c r="G600" s="423" t="s">
        <v>482</v>
      </c>
      <c r="H600" s="423" t="s">
        <v>200</v>
      </c>
    </row>
    <row r="601" spans="1:8" ht="24.75" customHeight="1">
      <c r="A601" s="510">
        <v>1</v>
      </c>
      <c r="B601" s="511" t="s">
        <v>453</v>
      </c>
      <c r="C601" s="510"/>
      <c r="D601" s="510"/>
      <c r="E601" s="510"/>
      <c r="F601" s="510"/>
      <c r="G601" s="465"/>
      <c r="H601" s="465"/>
    </row>
    <row r="602" spans="1:8" ht="24.75" customHeight="1">
      <c r="A602" s="1189" t="s">
        <v>733</v>
      </c>
      <c r="B602" s="1194" t="s">
        <v>834</v>
      </c>
      <c r="C602" s="1189" t="s">
        <v>641</v>
      </c>
      <c r="D602" s="512" t="s">
        <v>350</v>
      </c>
      <c r="E602" s="513" t="s">
        <v>722</v>
      </c>
      <c r="F602" s="463" t="e">
        <f>(LUONGNGAY!$K$35+LUONGNGAY!$K$44)/2</f>
        <v>#VALUE!</v>
      </c>
      <c r="G602" s="514">
        <v>2</v>
      </c>
      <c r="H602" s="466" t="e">
        <f>F602*G602</f>
        <v>#VALUE!</v>
      </c>
    </row>
    <row r="603" spans="1:8" ht="24.75" customHeight="1">
      <c r="A603" s="1189"/>
      <c r="B603" s="1194"/>
      <c r="C603" s="1189"/>
      <c r="D603" s="515" t="s">
        <v>354</v>
      </c>
      <c r="E603" s="513"/>
      <c r="F603" s="426">
        <f>'He so chung'!$D$11</f>
        <v>147000</v>
      </c>
      <c r="G603" s="516">
        <v>2</v>
      </c>
      <c r="H603" s="466">
        <f t="shared" ref="H603:H666" si="9">F603*G603</f>
        <v>294000</v>
      </c>
    </row>
    <row r="604" spans="1:8" ht="24.75" customHeight="1">
      <c r="A604" s="1189" t="s">
        <v>741</v>
      </c>
      <c r="B604" s="1194" t="s">
        <v>505</v>
      </c>
      <c r="C604" s="1189" t="s">
        <v>838</v>
      </c>
      <c r="D604" s="512" t="s">
        <v>351</v>
      </c>
      <c r="E604" s="1157" t="s">
        <v>722</v>
      </c>
      <c r="F604" s="1200" t="e">
        <f>(LUONGNGAY!$K$36+LUONGNGAY!$K$35+LUONGNGAY!$K$44)/3</f>
        <v>#VALUE!</v>
      </c>
      <c r="G604" s="1195">
        <f>16*3</f>
        <v>48</v>
      </c>
      <c r="H604" s="1155" t="e">
        <f t="shared" si="9"/>
        <v>#VALUE!</v>
      </c>
    </row>
    <row r="605" spans="1:8" ht="24.75" customHeight="1">
      <c r="A605" s="1189"/>
      <c r="B605" s="1194"/>
      <c r="C605" s="1189"/>
      <c r="D605" s="515" t="s">
        <v>352</v>
      </c>
      <c r="E605" s="1157"/>
      <c r="F605" s="1201"/>
      <c r="G605" s="1196"/>
      <c r="H605" s="1156"/>
    </row>
    <row r="606" spans="1:8" ht="24.75" customHeight="1">
      <c r="A606" s="1189" t="s">
        <v>734</v>
      </c>
      <c r="B606" s="1194" t="s">
        <v>840</v>
      </c>
      <c r="C606" s="1189" t="s">
        <v>841</v>
      </c>
      <c r="D606" s="1189" t="s">
        <v>842</v>
      </c>
      <c r="E606" s="1157" t="s">
        <v>722</v>
      </c>
      <c r="F606" s="506" t="e">
        <f>LUONGNGAY!$K$36</f>
        <v>#VALUE!</v>
      </c>
      <c r="G606" s="514">
        <v>2.5</v>
      </c>
      <c r="H606" s="466" t="e">
        <f t="shared" si="9"/>
        <v>#VALUE!</v>
      </c>
    </row>
    <row r="607" spans="1:8" ht="24.75" customHeight="1">
      <c r="A607" s="1189"/>
      <c r="B607" s="1194"/>
      <c r="C607" s="1189"/>
      <c r="D607" s="1189"/>
      <c r="E607" s="1157"/>
      <c r="F607" s="426">
        <f>'He so chung'!$D$11</f>
        <v>147000</v>
      </c>
      <c r="G607" s="516">
        <v>2.5</v>
      </c>
      <c r="H607" s="466">
        <f t="shared" si="9"/>
        <v>367500</v>
      </c>
    </row>
    <row r="608" spans="1:8" ht="24.75" customHeight="1">
      <c r="A608" s="516" t="s">
        <v>843</v>
      </c>
      <c r="B608" s="517" t="s">
        <v>101</v>
      </c>
      <c r="C608" s="516"/>
      <c r="D608" s="516"/>
      <c r="E608" s="516"/>
      <c r="F608" s="467"/>
      <c r="G608" s="516"/>
      <c r="H608" s="466">
        <f t="shared" si="9"/>
        <v>0</v>
      </c>
    </row>
    <row r="609" spans="1:8" ht="24.75" customHeight="1">
      <c r="A609" s="516" t="s">
        <v>845</v>
      </c>
      <c r="B609" s="517" t="s">
        <v>846</v>
      </c>
      <c r="C609" s="516" t="s">
        <v>261</v>
      </c>
      <c r="D609" s="516" t="s">
        <v>847</v>
      </c>
      <c r="E609" s="518" t="s">
        <v>722</v>
      </c>
      <c r="F609" s="506" t="e">
        <f>LUONGNGAY!$K$35</f>
        <v>#VALUE!</v>
      </c>
      <c r="G609" s="516">
        <v>0.05</v>
      </c>
      <c r="H609" s="466" t="e">
        <f t="shared" si="9"/>
        <v>#VALUE!</v>
      </c>
    </row>
    <row r="610" spans="1:8" ht="24.75" customHeight="1">
      <c r="A610" s="516" t="s">
        <v>848</v>
      </c>
      <c r="B610" s="517" t="s">
        <v>849</v>
      </c>
      <c r="C610" s="516" t="s">
        <v>261</v>
      </c>
      <c r="D610" s="516" t="s">
        <v>847</v>
      </c>
      <c r="E610" s="518" t="s">
        <v>722</v>
      </c>
      <c r="F610" s="506" t="e">
        <f>LUONGNGAY!$K$35</f>
        <v>#VALUE!</v>
      </c>
      <c r="G610" s="516">
        <v>2.5000000000000001E-2</v>
      </c>
      <c r="H610" s="466" t="e">
        <f t="shared" si="9"/>
        <v>#VALUE!</v>
      </c>
    </row>
    <row r="611" spans="1:8" ht="24.75" customHeight="1">
      <c r="A611" s="516">
        <v>2</v>
      </c>
      <c r="B611" s="517" t="s">
        <v>797</v>
      </c>
      <c r="C611" s="516" t="s">
        <v>261</v>
      </c>
      <c r="D611" s="516" t="s">
        <v>847</v>
      </c>
      <c r="E611" s="518" t="s">
        <v>722</v>
      </c>
      <c r="F611" s="506" t="e">
        <f>LUONGNGAY!$K$35</f>
        <v>#VALUE!</v>
      </c>
      <c r="G611" s="516">
        <v>0.05</v>
      </c>
      <c r="H611" s="466" t="e">
        <f t="shared" si="9"/>
        <v>#VALUE!</v>
      </c>
    </row>
    <row r="612" spans="1:8" ht="24.75" customHeight="1">
      <c r="A612" s="516">
        <v>3</v>
      </c>
      <c r="B612" s="517" t="s">
        <v>851</v>
      </c>
      <c r="C612" s="516" t="s">
        <v>481</v>
      </c>
      <c r="D612" s="516" t="s">
        <v>842</v>
      </c>
      <c r="E612" s="518" t="s">
        <v>722</v>
      </c>
      <c r="F612" s="506" t="e">
        <f>LUONGNGAY!$K$36</f>
        <v>#VALUE!</v>
      </c>
      <c r="G612" s="516">
        <v>0.107</v>
      </c>
      <c r="H612" s="466" t="e">
        <f t="shared" si="9"/>
        <v>#VALUE!</v>
      </c>
    </row>
    <row r="613" spans="1:8" ht="24.75" customHeight="1">
      <c r="A613" s="1164">
        <v>4</v>
      </c>
      <c r="B613" s="1161" t="s">
        <v>102</v>
      </c>
      <c r="C613" s="1164" t="s">
        <v>261</v>
      </c>
      <c r="D613" s="468"/>
      <c r="E613" s="1197">
        <v>2</v>
      </c>
      <c r="F613" s="506" t="e">
        <f>(LUONGNGAY!$K$35+LUONGNGAY!$K$44)/2</f>
        <v>#VALUE!</v>
      </c>
      <c r="G613" s="514">
        <f>0.15*2</f>
        <v>0.3</v>
      </c>
      <c r="H613" s="466" t="e">
        <f t="shared" si="9"/>
        <v>#VALUE!</v>
      </c>
    </row>
    <row r="614" spans="1:8" ht="24.75" customHeight="1">
      <c r="A614" s="1165"/>
      <c r="B614" s="1162"/>
      <c r="C614" s="1165"/>
      <c r="D614" s="469"/>
      <c r="E614" s="1197"/>
      <c r="F614" s="426">
        <f>'He so chung'!$D$11</f>
        <v>147000</v>
      </c>
      <c r="G614" s="516">
        <v>0.15</v>
      </c>
      <c r="H614" s="466">
        <f t="shared" si="9"/>
        <v>22050</v>
      </c>
    </row>
    <row r="615" spans="1:8" ht="24.75" customHeight="1">
      <c r="A615" s="1165"/>
      <c r="B615" s="1162"/>
      <c r="C615" s="1165"/>
      <c r="D615" s="519" t="s">
        <v>353</v>
      </c>
      <c r="E615" s="1197">
        <v>3</v>
      </c>
      <c r="F615" s="506" t="e">
        <f>(LUONGNGAY!$K$35+LUONGNGAY!$K$44)/2</f>
        <v>#VALUE!</v>
      </c>
      <c r="G615" s="514">
        <f>0.18*2</f>
        <v>0.36</v>
      </c>
      <c r="H615" s="466" t="e">
        <f>F615*G615</f>
        <v>#VALUE!</v>
      </c>
    </row>
    <row r="616" spans="1:8" ht="24.75" customHeight="1">
      <c r="A616" s="1165"/>
      <c r="B616" s="1162"/>
      <c r="C616" s="1165"/>
      <c r="D616" s="519" t="s">
        <v>354</v>
      </c>
      <c r="E616" s="1197"/>
      <c r="F616" s="426">
        <f>'He so chung'!$D$11</f>
        <v>147000</v>
      </c>
      <c r="G616" s="516">
        <f>0.18</f>
        <v>0.18</v>
      </c>
      <c r="H616" s="466">
        <f t="shared" si="9"/>
        <v>26460</v>
      </c>
    </row>
    <row r="617" spans="1:8" ht="24.75" customHeight="1">
      <c r="A617" s="1165"/>
      <c r="B617" s="1162"/>
      <c r="C617" s="1165"/>
      <c r="D617" s="520"/>
      <c r="E617" s="1197">
        <v>4</v>
      </c>
      <c r="F617" s="506" t="e">
        <f>(LUONGNGAY!$K$35+LUONGNGAY!$K$44)/2</f>
        <v>#VALUE!</v>
      </c>
      <c r="G617" s="514">
        <f>0.216*2</f>
        <v>0.432</v>
      </c>
      <c r="H617" s="466" t="e">
        <f t="shared" si="9"/>
        <v>#VALUE!</v>
      </c>
    </row>
    <row r="618" spans="1:8" ht="24.75" customHeight="1">
      <c r="A618" s="1165"/>
      <c r="B618" s="1162"/>
      <c r="C618" s="1165"/>
      <c r="D618" s="520"/>
      <c r="E618" s="1197"/>
      <c r="F618" s="426">
        <f>'He so chung'!$D$11</f>
        <v>147000</v>
      </c>
      <c r="G618" s="516">
        <v>0.216</v>
      </c>
      <c r="H618" s="466">
        <f t="shared" si="9"/>
        <v>31752</v>
      </c>
    </row>
    <row r="619" spans="1:8" ht="24.75" customHeight="1">
      <c r="A619" s="1165"/>
      <c r="B619" s="1162"/>
      <c r="C619" s="1165"/>
      <c r="D619" s="520"/>
      <c r="E619" s="1197">
        <v>5</v>
      </c>
      <c r="F619" s="506" t="e">
        <f>(LUONGNGAY!$K$35+LUONGNGAY!$K$44)/2</f>
        <v>#VALUE!</v>
      </c>
      <c r="G619" s="514">
        <f>0.259*2</f>
        <v>0.51800000000000002</v>
      </c>
      <c r="H619" s="466" t="e">
        <f t="shared" si="9"/>
        <v>#VALUE!</v>
      </c>
    </row>
    <row r="620" spans="1:8" ht="24.75" customHeight="1">
      <c r="A620" s="1166"/>
      <c r="B620" s="1163"/>
      <c r="C620" s="1166"/>
      <c r="D620" s="521"/>
      <c r="E620" s="1197"/>
      <c r="F620" s="426">
        <f>'He so chung'!$D$11</f>
        <v>147000</v>
      </c>
      <c r="G620" s="516">
        <v>0.25900000000000001</v>
      </c>
      <c r="H620" s="466">
        <f t="shared" si="9"/>
        <v>38073</v>
      </c>
    </row>
    <row r="621" spans="1:8" ht="24.75" customHeight="1">
      <c r="A621" s="516">
        <v>5</v>
      </c>
      <c r="B621" s="517" t="s">
        <v>167</v>
      </c>
      <c r="C621" s="516"/>
      <c r="D621" s="516"/>
      <c r="E621" s="516"/>
      <c r="F621" s="467"/>
      <c r="G621" s="516"/>
      <c r="H621" s="466">
        <f t="shared" si="9"/>
        <v>0</v>
      </c>
    </row>
    <row r="622" spans="1:8" ht="24.75" customHeight="1">
      <c r="A622" s="516" t="s">
        <v>461</v>
      </c>
      <c r="B622" s="517" t="s">
        <v>846</v>
      </c>
      <c r="C622" s="516" t="s">
        <v>261</v>
      </c>
      <c r="D622" s="516" t="s">
        <v>842</v>
      </c>
      <c r="E622" s="518" t="s">
        <v>722</v>
      </c>
      <c r="F622" s="506" t="e">
        <f>LUONGNGAY!$K$36</f>
        <v>#VALUE!</v>
      </c>
      <c r="G622" s="516">
        <v>1.4999999999999999E-2</v>
      </c>
      <c r="H622" s="466" t="e">
        <f t="shared" si="9"/>
        <v>#VALUE!</v>
      </c>
    </row>
    <row r="623" spans="1:8" ht="24.75" customHeight="1">
      <c r="A623" s="516" t="s">
        <v>462</v>
      </c>
      <c r="B623" s="517" t="s">
        <v>849</v>
      </c>
      <c r="C623" s="516" t="s">
        <v>261</v>
      </c>
      <c r="D623" s="516" t="s">
        <v>842</v>
      </c>
      <c r="E623" s="518" t="s">
        <v>722</v>
      </c>
      <c r="F623" s="506" t="e">
        <f>LUONGNGAY!$K$36</f>
        <v>#VALUE!</v>
      </c>
      <c r="G623" s="516">
        <v>0.01</v>
      </c>
      <c r="H623" s="466" t="e">
        <f t="shared" si="9"/>
        <v>#VALUE!</v>
      </c>
    </row>
    <row r="624" spans="1:8" ht="24.75" customHeight="1">
      <c r="A624" s="516">
        <v>6</v>
      </c>
      <c r="B624" s="517" t="s">
        <v>103</v>
      </c>
      <c r="C624" s="516"/>
      <c r="D624" s="516"/>
      <c r="E624" s="516"/>
      <c r="F624" s="467"/>
      <c r="G624" s="516"/>
      <c r="H624" s="466">
        <f t="shared" si="9"/>
        <v>0</v>
      </c>
    </row>
    <row r="625" spans="1:8" ht="24.75" customHeight="1">
      <c r="A625" s="516" t="s">
        <v>661</v>
      </c>
      <c r="B625" s="517" t="s">
        <v>846</v>
      </c>
      <c r="C625" s="516" t="s">
        <v>261</v>
      </c>
      <c r="D625" s="516" t="s">
        <v>842</v>
      </c>
      <c r="E625" s="518" t="s">
        <v>722</v>
      </c>
      <c r="F625" s="506" t="e">
        <f>LUONGNGAY!$K$36</f>
        <v>#VALUE!</v>
      </c>
      <c r="G625" s="516">
        <v>0.05</v>
      </c>
      <c r="H625" s="466" t="e">
        <f t="shared" si="9"/>
        <v>#VALUE!</v>
      </c>
    </row>
    <row r="626" spans="1:8" ht="24.75" customHeight="1">
      <c r="A626" s="516" t="s">
        <v>662</v>
      </c>
      <c r="B626" s="517" t="s">
        <v>849</v>
      </c>
      <c r="C626" s="516" t="s">
        <v>261</v>
      </c>
      <c r="D626" s="516" t="s">
        <v>842</v>
      </c>
      <c r="E626" s="518" t="s">
        <v>722</v>
      </c>
      <c r="F626" s="506" t="e">
        <f>LUONGNGAY!$K$36</f>
        <v>#VALUE!</v>
      </c>
      <c r="G626" s="516">
        <v>0.04</v>
      </c>
      <c r="H626" s="466" t="e">
        <f t="shared" si="9"/>
        <v>#VALUE!</v>
      </c>
    </row>
    <row r="627" spans="1:8" ht="24.75" customHeight="1">
      <c r="A627" s="516">
        <v>7</v>
      </c>
      <c r="B627" s="517" t="s">
        <v>793</v>
      </c>
      <c r="C627" s="516" t="s">
        <v>481</v>
      </c>
      <c r="D627" s="516" t="s">
        <v>842</v>
      </c>
      <c r="E627" s="518" t="s">
        <v>722</v>
      </c>
      <c r="F627" s="506" t="e">
        <f>LUONGNGAY!$K$36</f>
        <v>#VALUE!</v>
      </c>
      <c r="G627" s="516">
        <v>3.0000000000000001E-3</v>
      </c>
      <c r="H627" s="466" t="e">
        <f t="shared" si="9"/>
        <v>#VALUE!</v>
      </c>
    </row>
    <row r="628" spans="1:8" ht="24.75" customHeight="1">
      <c r="A628" s="516">
        <v>8</v>
      </c>
      <c r="B628" s="517" t="s">
        <v>508</v>
      </c>
      <c r="C628" s="516"/>
      <c r="D628" s="516"/>
      <c r="E628" s="516"/>
      <c r="F628" s="467"/>
      <c r="G628" s="516"/>
      <c r="H628" s="466">
        <f t="shared" si="9"/>
        <v>0</v>
      </c>
    </row>
    <row r="629" spans="1:8" ht="24.75" customHeight="1">
      <c r="A629" s="516" t="s">
        <v>191</v>
      </c>
      <c r="B629" s="517" t="s">
        <v>846</v>
      </c>
      <c r="C629" s="516" t="s">
        <v>261</v>
      </c>
      <c r="D629" s="516" t="s">
        <v>842</v>
      </c>
      <c r="E629" s="518" t="s">
        <v>722</v>
      </c>
      <c r="F629" s="506" t="e">
        <f>LUONGNGAY!$K$36</f>
        <v>#VALUE!</v>
      </c>
      <c r="G629" s="516">
        <v>5.0000000000000001E-3</v>
      </c>
      <c r="H629" s="466" t="e">
        <f t="shared" si="9"/>
        <v>#VALUE!</v>
      </c>
    </row>
    <row r="630" spans="1:8" ht="24.75" customHeight="1">
      <c r="A630" s="516" t="s">
        <v>192</v>
      </c>
      <c r="B630" s="517" t="s">
        <v>849</v>
      </c>
      <c r="C630" s="516" t="s">
        <v>261</v>
      </c>
      <c r="D630" s="516" t="s">
        <v>842</v>
      </c>
      <c r="E630" s="518" t="s">
        <v>722</v>
      </c>
      <c r="F630" s="506" t="e">
        <f>LUONGNGAY!$K$36</f>
        <v>#VALUE!</v>
      </c>
      <c r="G630" s="516">
        <v>4.0000000000000001E-3</v>
      </c>
      <c r="H630" s="466" t="e">
        <f t="shared" si="9"/>
        <v>#VALUE!</v>
      </c>
    </row>
    <row r="631" spans="1:8" ht="24.75" customHeight="1">
      <c r="A631" s="516">
        <v>9</v>
      </c>
      <c r="B631" s="517" t="s">
        <v>355</v>
      </c>
      <c r="C631" s="516" t="s">
        <v>261</v>
      </c>
      <c r="D631" s="516" t="s">
        <v>847</v>
      </c>
      <c r="E631" s="518" t="s">
        <v>722</v>
      </c>
      <c r="F631" s="506" t="e">
        <f>LUONGNGAY!$K$35</f>
        <v>#VALUE!</v>
      </c>
      <c r="G631" s="516">
        <v>0.02</v>
      </c>
      <c r="H631" s="466" t="e">
        <f t="shared" si="9"/>
        <v>#VALUE!</v>
      </c>
    </row>
    <row r="632" spans="1:8" ht="24.75" customHeight="1">
      <c r="A632" s="516">
        <v>10</v>
      </c>
      <c r="B632" s="517" t="s">
        <v>581</v>
      </c>
      <c r="C632" s="516" t="s">
        <v>261</v>
      </c>
      <c r="D632" s="516" t="s">
        <v>847</v>
      </c>
      <c r="E632" s="518" t="s">
        <v>722</v>
      </c>
      <c r="F632" s="506" t="e">
        <f>LUONGNGAY!$K$35</f>
        <v>#VALUE!</v>
      </c>
      <c r="G632" s="516">
        <v>0.02</v>
      </c>
      <c r="H632" s="466" t="e">
        <f t="shared" si="9"/>
        <v>#VALUE!</v>
      </c>
    </row>
    <row r="633" spans="1:8" ht="24.75" customHeight="1">
      <c r="A633" s="522" t="s">
        <v>1005</v>
      </c>
      <c r="B633" s="523" t="s">
        <v>356</v>
      </c>
      <c r="C633" s="516"/>
      <c r="D633" s="516"/>
      <c r="E633" s="516"/>
      <c r="F633" s="467"/>
      <c r="G633" s="516"/>
      <c r="H633" s="466">
        <f t="shared" si="9"/>
        <v>0</v>
      </c>
    </row>
    <row r="634" spans="1:8" ht="24.75" customHeight="1">
      <c r="A634" s="516">
        <v>1</v>
      </c>
      <c r="B634" s="517" t="s">
        <v>357</v>
      </c>
      <c r="C634" s="516"/>
      <c r="D634" s="516"/>
      <c r="E634" s="516"/>
      <c r="F634" s="467"/>
      <c r="G634" s="516"/>
      <c r="H634" s="466">
        <f t="shared" si="9"/>
        <v>0</v>
      </c>
    </row>
    <row r="635" spans="1:8" ht="24.75" customHeight="1">
      <c r="A635" s="516" t="s">
        <v>733</v>
      </c>
      <c r="B635" s="517" t="s">
        <v>846</v>
      </c>
      <c r="C635" s="516" t="s">
        <v>261</v>
      </c>
      <c r="D635" s="516" t="s">
        <v>847</v>
      </c>
      <c r="E635" s="518" t="s">
        <v>722</v>
      </c>
      <c r="F635" s="506" t="e">
        <f>LUONGNGAY!$K$35</f>
        <v>#VALUE!</v>
      </c>
      <c r="G635" s="516">
        <v>2.5000000000000001E-2</v>
      </c>
      <c r="H635" s="466" t="e">
        <f t="shared" si="9"/>
        <v>#VALUE!</v>
      </c>
    </row>
    <row r="636" spans="1:8" ht="24.75" customHeight="1">
      <c r="A636" s="516" t="s">
        <v>741</v>
      </c>
      <c r="B636" s="517" t="s">
        <v>849</v>
      </c>
      <c r="C636" s="516" t="s">
        <v>261</v>
      </c>
      <c r="D636" s="516" t="s">
        <v>847</v>
      </c>
      <c r="E636" s="518" t="s">
        <v>722</v>
      </c>
      <c r="F636" s="506" t="e">
        <f>LUONGNGAY!$K$35</f>
        <v>#VALUE!</v>
      </c>
      <c r="G636" s="516">
        <v>0.02</v>
      </c>
      <c r="H636" s="466" t="e">
        <f t="shared" si="9"/>
        <v>#VALUE!</v>
      </c>
    </row>
    <row r="637" spans="1:8" ht="24.75" customHeight="1">
      <c r="A637" s="516">
        <v>2</v>
      </c>
      <c r="B637" s="517" t="s">
        <v>104</v>
      </c>
      <c r="C637" s="516" t="s">
        <v>261</v>
      </c>
      <c r="D637" s="516" t="s">
        <v>842</v>
      </c>
      <c r="E637" s="518" t="s">
        <v>722</v>
      </c>
      <c r="F637" s="506" t="e">
        <f>LUONGNGAY!$K$36</f>
        <v>#VALUE!</v>
      </c>
      <c r="G637" s="516">
        <v>0.1</v>
      </c>
      <c r="H637" s="466" t="e">
        <f t="shared" si="9"/>
        <v>#VALUE!</v>
      </c>
    </row>
    <row r="638" spans="1:8" ht="24.75" customHeight="1">
      <c r="A638" s="516">
        <v>3</v>
      </c>
      <c r="B638" s="517" t="s">
        <v>2</v>
      </c>
      <c r="C638" s="516" t="s">
        <v>481</v>
      </c>
      <c r="D638" s="516" t="s">
        <v>842</v>
      </c>
      <c r="E638" s="518" t="s">
        <v>722</v>
      </c>
      <c r="F638" s="506" t="e">
        <f>LUONGNGAY!$K$36</f>
        <v>#VALUE!</v>
      </c>
      <c r="G638" s="516">
        <v>6.0000000000000001E-3</v>
      </c>
      <c r="H638" s="466" t="e">
        <f t="shared" si="9"/>
        <v>#VALUE!</v>
      </c>
    </row>
    <row r="639" spans="1:8" ht="24.75" customHeight="1">
      <c r="A639" s="516">
        <v>4</v>
      </c>
      <c r="B639" s="517" t="s">
        <v>23</v>
      </c>
      <c r="C639" s="516"/>
      <c r="D639" s="516"/>
      <c r="E639" s="516"/>
      <c r="F639" s="467"/>
      <c r="G639" s="516"/>
      <c r="H639" s="466">
        <f t="shared" si="9"/>
        <v>0</v>
      </c>
    </row>
    <row r="640" spans="1:8" ht="24.75" customHeight="1">
      <c r="A640" s="516" t="s">
        <v>124</v>
      </c>
      <c r="B640" s="517" t="s">
        <v>587</v>
      </c>
      <c r="C640" s="516" t="s">
        <v>261</v>
      </c>
      <c r="D640" s="516" t="s">
        <v>847</v>
      </c>
      <c r="E640" s="518" t="s">
        <v>722</v>
      </c>
      <c r="F640" s="506" t="e">
        <f>LUONGNGAY!$K$35</f>
        <v>#VALUE!</v>
      </c>
      <c r="G640" s="516">
        <v>2.5000000000000001E-2</v>
      </c>
      <c r="H640" s="466" t="e">
        <f t="shared" si="9"/>
        <v>#VALUE!</v>
      </c>
    </row>
    <row r="641" spans="1:8" ht="24.75" customHeight="1">
      <c r="A641" s="516" t="s">
        <v>125</v>
      </c>
      <c r="B641" s="517" t="s">
        <v>588</v>
      </c>
      <c r="C641" s="516" t="s">
        <v>261</v>
      </c>
      <c r="D641" s="516" t="s">
        <v>847</v>
      </c>
      <c r="E641" s="518" t="s">
        <v>722</v>
      </c>
      <c r="F641" s="506" t="e">
        <f>LUONGNGAY!$K$35</f>
        <v>#VALUE!</v>
      </c>
      <c r="G641" s="516">
        <v>0.05</v>
      </c>
      <c r="H641" s="466" t="e">
        <f t="shared" si="9"/>
        <v>#VALUE!</v>
      </c>
    </row>
    <row r="642" spans="1:8" ht="24.75" customHeight="1">
      <c r="A642" s="516">
        <v>5</v>
      </c>
      <c r="B642" s="517" t="s">
        <v>105</v>
      </c>
      <c r="C642" s="516"/>
      <c r="D642" s="516"/>
      <c r="E642" s="516"/>
      <c r="F642" s="467"/>
      <c r="G642" s="516"/>
      <c r="H642" s="466">
        <f t="shared" si="9"/>
        <v>0</v>
      </c>
    </row>
    <row r="643" spans="1:8" ht="24.75" customHeight="1">
      <c r="A643" s="516" t="s">
        <v>461</v>
      </c>
      <c r="B643" s="517" t="s">
        <v>590</v>
      </c>
      <c r="C643" s="516" t="s">
        <v>261</v>
      </c>
      <c r="D643" s="516" t="s">
        <v>842</v>
      </c>
      <c r="E643" s="518" t="s">
        <v>722</v>
      </c>
      <c r="F643" s="506" t="e">
        <f>LUONGNGAY!$K$36</f>
        <v>#VALUE!</v>
      </c>
      <c r="G643" s="516">
        <v>0.03</v>
      </c>
      <c r="H643" s="466" t="e">
        <f t="shared" si="9"/>
        <v>#VALUE!</v>
      </c>
    </row>
    <row r="644" spans="1:8" ht="24.75" customHeight="1">
      <c r="A644" s="516" t="s">
        <v>462</v>
      </c>
      <c r="B644" s="517" t="s">
        <v>591</v>
      </c>
      <c r="C644" s="516" t="s">
        <v>261</v>
      </c>
      <c r="D644" s="516" t="s">
        <v>842</v>
      </c>
      <c r="E644" s="518" t="s">
        <v>722</v>
      </c>
      <c r="F644" s="506" t="e">
        <f>LUONGNGAY!$K$36</f>
        <v>#VALUE!</v>
      </c>
      <c r="G644" s="516">
        <v>0.04</v>
      </c>
      <c r="H644" s="466" t="e">
        <f t="shared" si="9"/>
        <v>#VALUE!</v>
      </c>
    </row>
    <row r="645" spans="1:8" ht="24.75" customHeight="1">
      <c r="A645" s="516">
        <v>6</v>
      </c>
      <c r="B645" s="517" t="s">
        <v>106</v>
      </c>
      <c r="C645" s="516"/>
      <c r="D645" s="516"/>
      <c r="E645" s="516"/>
      <c r="F645" s="467"/>
      <c r="G645" s="516"/>
      <c r="H645" s="466">
        <f t="shared" si="9"/>
        <v>0</v>
      </c>
    </row>
    <row r="646" spans="1:8" ht="24.75" customHeight="1">
      <c r="A646" s="516" t="s">
        <v>661</v>
      </c>
      <c r="B646" s="517" t="s">
        <v>3</v>
      </c>
      <c r="C646" s="516" t="s">
        <v>261</v>
      </c>
      <c r="D646" s="516" t="s">
        <v>847</v>
      </c>
      <c r="E646" s="518" t="s">
        <v>722</v>
      </c>
      <c r="F646" s="506" t="e">
        <f>LUONGNGAY!$K$35</f>
        <v>#VALUE!</v>
      </c>
      <c r="G646" s="516">
        <v>0.04</v>
      </c>
      <c r="H646" s="466" t="e">
        <f t="shared" si="9"/>
        <v>#VALUE!</v>
      </c>
    </row>
    <row r="647" spans="1:8" ht="24.75" customHeight="1">
      <c r="A647" s="516" t="s">
        <v>662</v>
      </c>
      <c r="B647" s="517" t="s">
        <v>594</v>
      </c>
      <c r="C647" s="516" t="s">
        <v>261</v>
      </c>
      <c r="D647" s="516" t="s">
        <v>847</v>
      </c>
      <c r="E647" s="518" t="s">
        <v>722</v>
      </c>
      <c r="F647" s="506" t="e">
        <f>LUONGNGAY!$K$35</f>
        <v>#VALUE!</v>
      </c>
      <c r="G647" s="516">
        <v>0.03</v>
      </c>
      <c r="H647" s="466" t="e">
        <f t="shared" si="9"/>
        <v>#VALUE!</v>
      </c>
    </row>
    <row r="648" spans="1:8" ht="24.75" customHeight="1">
      <c r="A648" s="516">
        <v>7</v>
      </c>
      <c r="B648" s="517" t="s">
        <v>78</v>
      </c>
      <c r="C648" s="516" t="s">
        <v>481</v>
      </c>
      <c r="D648" s="516" t="s">
        <v>842</v>
      </c>
      <c r="E648" s="518" t="s">
        <v>722</v>
      </c>
      <c r="F648" s="506" t="e">
        <f>LUONGNGAY!$K$36</f>
        <v>#VALUE!</v>
      </c>
      <c r="G648" s="516">
        <v>3.3000000000000002E-2</v>
      </c>
      <c r="H648" s="466" t="e">
        <f t="shared" si="9"/>
        <v>#VALUE!</v>
      </c>
    </row>
    <row r="649" spans="1:8" ht="24.75" customHeight="1">
      <c r="A649" s="516">
        <v>8</v>
      </c>
      <c r="B649" s="517" t="s">
        <v>260</v>
      </c>
      <c r="C649" s="516" t="s">
        <v>261</v>
      </c>
      <c r="D649" s="516" t="s">
        <v>842</v>
      </c>
      <c r="E649" s="518" t="s">
        <v>722</v>
      </c>
      <c r="F649" s="506" t="e">
        <f>LUONGNGAY!$K$36</f>
        <v>#VALUE!</v>
      </c>
      <c r="G649" s="516">
        <v>0.2</v>
      </c>
      <c r="H649" s="466" t="e">
        <f t="shared" si="9"/>
        <v>#VALUE!</v>
      </c>
    </row>
    <row r="650" spans="1:8" ht="24.75" customHeight="1">
      <c r="A650" s="516">
        <v>9</v>
      </c>
      <c r="B650" s="517" t="s">
        <v>80</v>
      </c>
      <c r="C650" s="516"/>
      <c r="D650" s="516"/>
      <c r="E650" s="516"/>
      <c r="F650" s="467"/>
      <c r="G650" s="516"/>
      <c r="H650" s="466">
        <f t="shared" si="9"/>
        <v>0</v>
      </c>
    </row>
    <row r="651" spans="1:8" ht="24.75" customHeight="1">
      <c r="A651" s="516" t="s">
        <v>663</v>
      </c>
      <c r="B651" s="517" t="s">
        <v>82</v>
      </c>
      <c r="C651" s="516" t="s">
        <v>559</v>
      </c>
      <c r="D651" s="516" t="s">
        <v>847</v>
      </c>
      <c r="E651" s="518" t="s">
        <v>722</v>
      </c>
      <c r="F651" s="506" t="e">
        <f>LUONGNGAY!$K$35</f>
        <v>#VALUE!</v>
      </c>
      <c r="G651" s="516">
        <v>0.05</v>
      </c>
      <c r="H651" s="466" t="e">
        <f t="shared" si="9"/>
        <v>#VALUE!</v>
      </c>
    </row>
    <row r="652" spans="1:8" ht="24.75" customHeight="1">
      <c r="A652" s="516" t="s">
        <v>664</v>
      </c>
      <c r="B652" s="517" t="s">
        <v>84</v>
      </c>
      <c r="C652" s="516" t="s">
        <v>559</v>
      </c>
      <c r="D652" s="516" t="s">
        <v>847</v>
      </c>
      <c r="E652" s="518" t="s">
        <v>722</v>
      </c>
      <c r="F652" s="506" t="e">
        <f>LUONGNGAY!$K$35</f>
        <v>#VALUE!</v>
      </c>
      <c r="G652" s="516">
        <v>0.1</v>
      </c>
      <c r="H652" s="466" t="e">
        <f t="shared" si="9"/>
        <v>#VALUE!</v>
      </c>
    </row>
    <row r="653" spans="1:8" ht="24.75" customHeight="1">
      <c r="A653" s="516">
        <v>10</v>
      </c>
      <c r="B653" s="517" t="s">
        <v>85</v>
      </c>
      <c r="C653" s="516" t="s">
        <v>261</v>
      </c>
      <c r="D653" s="516" t="s">
        <v>847</v>
      </c>
      <c r="E653" s="518" t="s">
        <v>722</v>
      </c>
      <c r="F653" s="506" t="e">
        <f>LUONGNGAY!$K$35</f>
        <v>#VALUE!</v>
      </c>
      <c r="G653" s="516">
        <v>0.04</v>
      </c>
      <c r="H653" s="466" t="e">
        <f t="shared" si="9"/>
        <v>#VALUE!</v>
      </c>
    </row>
    <row r="654" spans="1:8" ht="24.75" customHeight="1">
      <c r="A654" s="516">
        <v>11</v>
      </c>
      <c r="B654" s="517" t="s">
        <v>107</v>
      </c>
      <c r="C654" s="516"/>
      <c r="D654" s="516"/>
      <c r="E654" s="516"/>
      <c r="F654" s="467"/>
      <c r="G654" s="516"/>
      <c r="H654" s="466">
        <f t="shared" si="9"/>
        <v>0</v>
      </c>
    </row>
    <row r="655" spans="1:8" ht="24.75" customHeight="1">
      <c r="A655" s="516" t="s">
        <v>719</v>
      </c>
      <c r="B655" s="517" t="s">
        <v>108</v>
      </c>
      <c r="C655" s="516" t="s">
        <v>261</v>
      </c>
      <c r="D655" s="516" t="s">
        <v>847</v>
      </c>
      <c r="E655" s="518" t="s">
        <v>722</v>
      </c>
      <c r="F655" s="506" t="e">
        <f>LUONGNGAY!$K$35</f>
        <v>#VALUE!</v>
      </c>
      <c r="G655" s="516">
        <v>0.05</v>
      </c>
      <c r="H655" s="466" t="e">
        <f t="shared" si="9"/>
        <v>#VALUE!</v>
      </c>
    </row>
    <row r="656" spans="1:8" ht="24.75" customHeight="1">
      <c r="A656" s="516" t="s">
        <v>720</v>
      </c>
      <c r="B656" s="517" t="s">
        <v>109</v>
      </c>
      <c r="C656" s="516" t="s">
        <v>261</v>
      </c>
      <c r="D656" s="516" t="s">
        <v>847</v>
      </c>
      <c r="E656" s="518" t="s">
        <v>722</v>
      </c>
      <c r="F656" s="506" t="e">
        <f>LUONGNGAY!$K$35</f>
        <v>#VALUE!</v>
      </c>
      <c r="G656" s="516">
        <v>0.05</v>
      </c>
      <c r="H656" s="466" t="e">
        <f t="shared" si="9"/>
        <v>#VALUE!</v>
      </c>
    </row>
    <row r="657" spans="1:8" ht="24.75" customHeight="1">
      <c r="A657" s="516">
        <v>12</v>
      </c>
      <c r="B657" s="517" t="s">
        <v>87</v>
      </c>
      <c r="C657" s="516" t="s">
        <v>481</v>
      </c>
      <c r="D657" s="516" t="s">
        <v>842</v>
      </c>
      <c r="E657" s="518" t="s">
        <v>722</v>
      </c>
      <c r="F657" s="506" t="e">
        <f>LUONGNGAY!$K$36</f>
        <v>#VALUE!</v>
      </c>
      <c r="G657" s="516">
        <v>3.3000000000000002E-2</v>
      </c>
      <c r="H657" s="466" t="e">
        <f t="shared" si="9"/>
        <v>#VALUE!</v>
      </c>
    </row>
    <row r="658" spans="1:8" ht="24.75" customHeight="1">
      <c r="A658" s="516">
        <v>13</v>
      </c>
      <c r="B658" s="517" t="s">
        <v>88</v>
      </c>
      <c r="C658" s="516"/>
      <c r="D658" s="516"/>
      <c r="E658" s="516"/>
      <c r="F658" s="467"/>
      <c r="G658" s="516"/>
      <c r="H658" s="466">
        <f t="shared" si="9"/>
        <v>0</v>
      </c>
    </row>
    <row r="659" spans="1:8" ht="24.75" customHeight="1">
      <c r="A659" s="516" t="s">
        <v>110</v>
      </c>
      <c r="B659" s="517" t="s">
        <v>775</v>
      </c>
      <c r="C659" s="516"/>
      <c r="D659" s="516"/>
      <c r="E659" s="516"/>
      <c r="F659" s="467"/>
      <c r="G659" s="516"/>
      <c r="H659" s="466">
        <f t="shared" si="9"/>
        <v>0</v>
      </c>
    </row>
    <row r="660" spans="1:8" ht="24.75" customHeight="1">
      <c r="A660" s="516" t="s">
        <v>111</v>
      </c>
      <c r="B660" s="517" t="s">
        <v>777</v>
      </c>
      <c r="C660" s="516" t="s">
        <v>778</v>
      </c>
      <c r="D660" s="516" t="s">
        <v>779</v>
      </c>
      <c r="E660" s="518" t="s">
        <v>722</v>
      </c>
      <c r="F660" s="426" t="e">
        <f>LUONGNGAY!$K$34</f>
        <v>#VALUE!</v>
      </c>
      <c r="G660" s="516">
        <v>1.6E-2</v>
      </c>
      <c r="H660" s="466" t="e">
        <f t="shared" si="9"/>
        <v>#VALUE!</v>
      </c>
    </row>
    <row r="661" spans="1:8" ht="24.75" customHeight="1">
      <c r="A661" s="516" t="s">
        <v>112</v>
      </c>
      <c r="B661" s="517" t="s">
        <v>781</v>
      </c>
      <c r="C661" s="516" t="s">
        <v>778</v>
      </c>
      <c r="D661" s="516" t="s">
        <v>779</v>
      </c>
      <c r="E661" s="518" t="s">
        <v>722</v>
      </c>
      <c r="F661" s="426" t="e">
        <f>LUONGNGAY!$K$34</f>
        <v>#VALUE!</v>
      </c>
      <c r="G661" s="516">
        <v>8.0000000000000002E-3</v>
      </c>
      <c r="H661" s="466" t="e">
        <f t="shared" si="9"/>
        <v>#VALUE!</v>
      </c>
    </row>
    <row r="662" spans="1:8" ht="24.75" customHeight="1">
      <c r="A662" s="516" t="s">
        <v>113</v>
      </c>
      <c r="B662" s="517" t="s">
        <v>861</v>
      </c>
      <c r="C662" s="516" t="s">
        <v>778</v>
      </c>
      <c r="D662" s="516" t="s">
        <v>779</v>
      </c>
      <c r="E662" s="518" t="s">
        <v>722</v>
      </c>
      <c r="F662" s="426" t="e">
        <f>LUONGNGAY!$K$34</f>
        <v>#VALUE!</v>
      </c>
      <c r="G662" s="516">
        <v>4.0000000000000001E-3</v>
      </c>
      <c r="H662" s="466" t="e">
        <f t="shared" si="9"/>
        <v>#VALUE!</v>
      </c>
    </row>
    <row r="663" spans="1:8" ht="24.75" customHeight="1">
      <c r="A663" s="516" t="s">
        <v>114</v>
      </c>
      <c r="B663" s="517" t="s">
        <v>863</v>
      </c>
      <c r="C663" s="516" t="s">
        <v>481</v>
      </c>
      <c r="D663" s="516" t="s">
        <v>779</v>
      </c>
      <c r="E663" s="518" t="s">
        <v>722</v>
      </c>
      <c r="F663" s="426" t="e">
        <f>LUONGNGAY!$K$34</f>
        <v>#VALUE!</v>
      </c>
      <c r="G663" s="516">
        <v>0.01</v>
      </c>
      <c r="H663" s="466" t="e">
        <f t="shared" si="9"/>
        <v>#VALUE!</v>
      </c>
    </row>
    <row r="664" spans="1:8" ht="24.75" customHeight="1">
      <c r="A664" s="516">
        <v>14</v>
      </c>
      <c r="B664" s="517" t="s">
        <v>524</v>
      </c>
      <c r="C664" s="516" t="s">
        <v>261</v>
      </c>
      <c r="D664" s="516" t="s">
        <v>847</v>
      </c>
      <c r="E664" s="518" t="s">
        <v>722</v>
      </c>
      <c r="F664" s="506" t="e">
        <f>LUONGNGAY!$K$35</f>
        <v>#VALUE!</v>
      </c>
      <c r="G664" s="516">
        <v>0.02</v>
      </c>
      <c r="H664" s="466" t="e">
        <f t="shared" si="9"/>
        <v>#VALUE!</v>
      </c>
    </row>
    <row r="665" spans="1:8" ht="24.75" customHeight="1">
      <c r="A665" s="516">
        <v>15</v>
      </c>
      <c r="B665" s="517" t="s">
        <v>525</v>
      </c>
      <c r="C665" s="516" t="s">
        <v>358</v>
      </c>
      <c r="D665" s="516" t="s">
        <v>847</v>
      </c>
      <c r="E665" s="518" t="s">
        <v>722</v>
      </c>
      <c r="F665" s="506" t="e">
        <f>LUONGNGAY!$K$35</f>
        <v>#VALUE!</v>
      </c>
      <c r="G665" s="516">
        <v>8</v>
      </c>
      <c r="H665" s="466" t="e">
        <f t="shared" si="9"/>
        <v>#VALUE!</v>
      </c>
    </row>
    <row r="666" spans="1:8" ht="24.75" customHeight="1">
      <c r="A666" s="522" t="s">
        <v>755</v>
      </c>
      <c r="B666" s="523" t="s">
        <v>359</v>
      </c>
      <c r="C666" s="516"/>
      <c r="D666" s="516"/>
      <c r="E666" s="516"/>
      <c r="F666" s="467"/>
      <c r="G666" s="516"/>
      <c r="H666" s="466">
        <f t="shared" si="9"/>
        <v>0</v>
      </c>
    </row>
    <row r="667" spans="1:8" ht="24.75" customHeight="1">
      <c r="A667" s="516">
        <v>1</v>
      </c>
      <c r="B667" s="517" t="s">
        <v>530</v>
      </c>
      <c r="C667" s="516"/>
      <c r="D667" s="516"/>
      <c r="E667" s="516"/>
      <c r="F667" s="467"/>
      <c r="G667" s="516"/>
      <c r="H667" s="466">
        <f t="shared" ref="H667:H673" si="10">F667*G667</f>
        <v>0</v>
      </c>
    </row>
    <row r="668" spans="1:8" ht="24.75" customHeight="1">
      <c r="A668" s="516" t="s">
        <v>733</v>
      </c>
      <c r="B668" s="517" t="s">
        <v>340</v>
      </c>
      <c r="C668" s="516" t="s">
        <v>341</v>
      </c>
      <c r="D668" s="516" t="s">
        <v>342</v>
      </c>
      <c r="E668" s="518" t="s">
        <v>722</v>
      </c>
      <c r="F668" s="463" t="e">
        <f>LUONGNGAY!$K$37</f>
        <v>#VALUE!</v>
      </c>
      <c r="G668" s="516">
        <v>300</v>
      </c>
      <c r="H668" s="466" t="e">
        <f t="shared" si="10"/>
        <v>#VALUE!</v>
      </c>
    </row>
    <row r="669" spans="1:8" ht="24.75" customHeight="1">
      <c r="A669" s="516" t="s">
        <v>741</v>
      </c>
      <c r="B669" s="517" t="s">
        <v>343</v>
      </c>
      <c r="C669" s="516" t="s">
        <v>481</v>
      </c>
      <c r="D669" s="516" t="s">
        <v>342</v>
      </c>
      <c r="E669" s="518" t="s">
        <v>722</v>
      </c>
      <c r="F669" s="463" t="e">
        <f>LUONGNGAY!$K$37</f>
        <v>#VALUE!</v>
      </c>
      <c r="G669" s="516">
        <v>0.01</v>
      </c>
      <c r="H669" s="466" t="e">
        <f t="shared" si="10"/>
        <v>#VALUE!</v>
      </c>
    </row>
    <row r="670" spans="1:8" ht="24.75" customHeight="1">
      <c r="A670" s="516">
        <v>2</v>
      </c>
      <c r="B670" s="517" t="s">
        <v>528</v>
      </c>
      <c r="C670" s="516"/>
      <c r="D670" s="516"/>
      <c r="E670" s="516"/>
      <c r="F670" s="467"/>
      <c r="G670" s="516"/>
      <c r="H670" s="466">
        <f t="shared" si="10"/>
        <v>0</v>
      </c>
    </row>
    <row r="671" spans="1:8" ht="24.75" customHeight="1">
      <c r="A671" s="516" t="s">
        <v>742</v>
      </c>
      <c r="B671" s="517" t="s">
        <v>345</v>
      </c>
      <c r="C671" s="516" t="s">
        <v>57</v>
      </c>
      <c r="D671" s="516" t="s">
        <v>342</v>
      </c>
      <c r="E671" s="518" t="s">
        <v>722</v>
      </c>
      <c r="F671" s="463" t="e">
        <f>LUONGNGAY!$K$37</f>
        <v>#VALUE!</v>
      </c>
      <c r="G671" s="516">
        <v>2.5000000000000001E-2</v>
      </c>
      <c r="H671" s="466" t="e">
        <f t="shared" si="10"/>
        <v>#VALUE!</v>
      </c>
    </row>
    <row r="672" spans="1:8" ht="24.75" customHeight="1">
      <c r="A672" s="516" t="s">
        <v>743</v>
      </c>
      <c r="B672" s="517" t="s">
        <v>117</v>
      </c>
      <c r="C672" s="516" t="s">
        <v>341</v>
      </c>
      <c r="D672" s="516" t="s">
        <v>342</v>
      </c>
      <c r="E672" s="518" t="s">
        <v>722</v>
      </c>
      <c r="F672" s="463" t="e">
        <f>LUONGNGAY!$K$37</f>
        <v>#VALUE!</v>
      </c>
      <c r="G672" s="516">
        <v>2</v>
      </c>
      <c r="H672" s="466" t="e">
        <f t="shared" si="10"/>
        <v>#VALUE!</v>
      </c>
    </row>
    <row r="673" spans="1:8" ht="24.75" customHeight="1">
      <c r="A673" s="516">
        <v>3</v>
      </c>
      <c r="B673" s="517" t="s">
        <v>529</v>
      </c>
      <c r="C673" s="516" t="s">
        <v>526</v>
      </c>
      <c r="D673" s="516" t="s">
        <v>342</v>
      </c>
      <c r="E673" s="518" t="s">
        <v>722</v>
      </c>
      <c r="F673" s="463" t="e">
        <f>LUONGNGAY!$K$37</f>
        <v>#VALUE!</v>
      </c>
      <c r="G673" s="516">
        <v>8</v>
      </c>
      <c r="H673" s="466" t="e">
        <f t="shared" si="10"/>
        <v>#VALUE!</v>
      </c>
    </row>
    <row r="674" spans="1:8">
      <c r="A674" s="462"/>
      <c r="B674" s="445"/>
      <c r="C674" s="439"/>
      <c r="D674" s="439"/>
      <c r="E674" s="462"/>
      <c r="F674" s="440"/>
      <c r="G674" s="464"/>
      <c r="H674" s="442"/>
    </row>
    <row r="675" spans="1:8" ht="31.15" customHeight="1">
      <c r="A675" s="1151" t="s">
        <v>818</v>
      </c>
      <c r="B675" s="1151"/>
      <c r="C675" s="1151"/>
      <c r="D675" s="1151"/>
      <c r="E675" s="1151"/>
      <c r="F675" s="1151"/>
      <c r="G675" s="1151"/>
      <c r="H675" s="1151"/>
    </row>
    <row r="676" spans="1:8">
      <c r="A676" s="414"/>
      <c r="B676" s="415"/>
      <c r="E676" s="417"/>
      <c r="F676" s="418"/>
      <c r="G676" s="417"/>
      <c r="H676" s="419"/>
    </row>
    <row r="677" spans="1:8" ht="49.5" customHeight="1">
      <c r="A677" s="422" t="s">
        <v>979</v>
      </c>
      <c r="B677" s="422" t="s">
        <v>198</v>
      </c>
      <c r="C677" s="423" t="s">
        <v>479</v>
      </c>
      <c r="D677" s="423" t="s">
        <v>478</v>
      </c>
      <c r="E677" s="423" t="s">
        <v>199</v>
      </c>
      <c r="F677" s="424" t="s">
        <v>483</v>
      </c>
      <c r="G677" s="423" t="s">
        <v>482</v>
      </c>
      <c r="H677" s="423" t="s">
        <v>200</v>
      </c>
    </row>
    <row r="678" spans="1:8" ht="28.5" customHeight="1">
      <c r="A678" s="500" t="s">
        <v>1000</v>
      </c>
      <c r="B678" s="493" t="s">
        <v>582</v>
      </c>
      <c r="C678" s="494"/>
      <c r="D678" s="494"/>
      <c r="E678" s="494"/>
      <c r="F678" s="494"/>
      <c r="G678" s="494"/>
      <c r="H678" s="494"/>
    </row>
    <row r="679" spans="1:8" ht="28.5" customHeight="1">
      <c r="A679" s="494">
        <v>1</v>
      </c>
      <c r="B679" s="495" t="s">
        <v>360</v>
      </c>
      <c r="C679" s="494"/>
      <c r="D679" s="494"/>
      <c r="E679" s="494"/>
      <c r="F679" s="494"/>
      <c r="G679" s="494"/>
      <c r="H679" s="494"/>
    </row>
    <row r="680" spans="1:8" ht="28.5" customHeight="1">
      <c r="A680" s="494" t="s">
        <v>733</v>
      </c>
      <c r="B680" s="495" t="s">
        <v>846</v>
      </c>
      <c r="C680" s="494" t="s">
        <v>261</v>
      </c>
      <c r="D680" s="494" t="s">
        <v>847</v>
      </c>
      <c r="E680" s="499" t="s">
        <v>723</v>
      </c>
      <c r="F680" s="506" t="e">
        <f>LUONGNGAY!$K$35</f>
        <v>#VALUE!</v>
      </c>
      <c r="G680" s="494">
        <v>0.15</v>
      </c>
      <c r="H680" s="466" t="e">
        <f>F680*G680</f>
        <v>#VALUE!</v>
      </c>
    </row>
    <row r="681" spans="1:8" ht="28.5" customHeight="1">
      <c r="A681" s="494" t="s">
        <v>741</v>
      </c>
      <c r="B681" s="495" t="s">
        <v>849</v>
      </c>
      <c r="C681" s="494" t="s">
        <v>261</v>
      </c>
      <c r="D681" s="494" t="s">
        <v>847</v>
      </c>
      <c r="E681" s="499" t="s">
        <v>723</v>
      </c>
      <c r="F681" s="506" t="e">
        <f>LUONGNGAY!$K$35</f>
        <v>#VALUE!</v>
      </c>
      <c r="G681" s="494">
        <v>0.1</v>
      </c>
      <c r="H681" s="466" t="e">
        <f t="shared" ref="H681:H704" si="11">F681*G681</f>
        <v>#VALUE!</v>
      </c>
    </row>
    <row r="682" spans="1:8" ht="26.25" customHeight="1">
      <c r="A682" s="494">
        <v>2</v>
      </c>
      <c r="B682" s="495" t="s">
        <v>797</v>
      </c>
      <c r="C682" s="494" t="s">
        <v>261</v>
      </c>
      <c r="D682" s="494" t="s">
        <v>847</v>
      </c>
      <c r="E682" s="499" t="s">
        <v>723</v>
      </c>
      <c r="F682" s="506" t="e">
        <f>LUONGNGAY!$K$35</f>
        <v>#VALUE!</v>
      </c>
      <c r="G682" s="494">
        <v>0.2</v>
      </c>
      <c r="H682" s="466" t="e">
        <f t="shared" si="11"/>
        <v>#VALUE!</v>
      </c>
    </row>
    <row r="683" spans="1:8" ht="26.25" customHeight="1">
      <c r="A683" s="494">
        <v>3</v>
      </c>
      <c r="B683" s="495" t="s">
        <v>851</v>
      </c>
      <c r="C683" s="494" t="s">
        <v>481</v>
      </c>
      <c r="D683" s="494" t="s">
        <v>842</v>
      </c>
      <c r="E683" s="499" t="s">
        <v>723</v>
      </c>
      <c r="F683" s="506" t="e">
        <f>LUONGNGAY!$K$36</f>
        <v>#VALUE!</v>
      </c>
      <c r="G683" s="494">
        <v>0.107</v>
      </c>
      <c r="H683" s="466" t="e">
        <f t="shared" si="11"/>
        <v>#VALUE!</v>
      </c>
    </row>
    <row r="684" spans="1:8" ht="26.25" customHeight="1">
      <c r="A684" s="494">
        <v>4</v>
      </c>
      <c r="B684" s="495" t="s">
        <v>361</v>
      </c>
      <c r="C684" s="494" t="s">
        <v>261</v>
      </c>
      <c r="D684" s="494" t="s">
        <v>842</v>
      </c>
      <c r="E684" s="499" t="s">
        <v>723</v>
      </c>
      <c r="F684" s="506" t="e">
        <f>LUONGNGAY!$K$36</f>
        <v>#VALUE!</v>
      </c>
      <c r="G684" s="494">
        <v>0.5</v>
      </c>
      <c r="H684" s="466" t="e">
        <f t="shared" si="11"/>
        <v>#VALUE!</v>
      </c>
    </row>
    <row r="685" spans="1:8" ht="26.25" customHeight="1">
      <c r="A685" s="494">
        <v>5</v>
      </c>
      <c r="B685" s="495" t="s">
        <v>2</v>
      </c>
      <c r="C685" s="494" t="s">
        <v>481</v>
      </c>
      <c r="D685" s="494" t="s">
        <v>842</v>
      </c>
      <c r="E685" s="499" t="s">
        <v>723</v>
      </c>
      <c r="F685" s="506" t="e">
        <f>LUONGNGAY!$K$36</f>
        <v>#VALUE!</v>
      </c>
      <c r="G685" s="494">
        <v>6.0000000000000001E-3</v>
      </c>
      <c r="H685" s="466" t="e">
        <f t="shared" si="11"/>
        <v>#VALUE!</v>
      </c>
    </row>
    <row r="686" spans="1:8" ht="26.25" customHeight="1">
      <c r="A686" s="494">
        <v>6</v>
      </c>
      <c r="B686" s="495" t="s">
        <v>802</v>
      </c>
      <c r="C686" s="494"/>
      <c r="D686" s="494"/>
      <c r="E686" s="494"/>
      <c r="F686" s="494"/>
      <c r="G686" s="494"/>
      <c r="H686" s="466">
        <f t="shared" si="11"/>
        <v>0</v>
      </c>
    </row>
    <row r="687" spans="1:8" ht="26.25" customHeight="1">
      <c r="A687" s="494" t="s">
        <v>661</v>
      </c>
      <c r="B687" s="495" t="s">
        <v>587</v>
      </c>
      <c r="C687" s="494" t="s">
        <v>261</v>
      </c>
      <c r="D687" s="494" t="s">
        <v>847</v>
      </c>
      <c r="E687" s="499" t="s">
        <v>723</v>
      </c>
      <c r="F687" s="506" t="e">
        <f>LUONGNGAY!$K$35</f>
        <v>#VALUE!</v>
      </c>
      <c r="G687" s="494">
        <v>0.05</v>
      </c>
      <c r="H687" s="466" t="e">
        <f t="shared" si="11"/>
        <v>#VALUE!</v>
      </c>
    </row>
    <row r="688" spans="1:8" ht="26.25" customHeight="1">
      <c r="A688" s="494" t="s">
        <v>662</v>
      </c>
      <c r="B688" s="495" t="s">
        <v>588</v>
      </c>
      <c r="C688" s="494" t="s">
        <v>261</v>
      </c>
      <c r="D688" s="494" t="s">
        <v>847</v>
      </c>
      <c r="E688" s="499" t="s">
        <v>723</v>
      </c>
      <c r="F688" s="506" t="e">
        <f>LUONGNGAY!$K$35</f>
        <v>#VALUE!</v>
      </c>
      <c r="G688" s="494">
        <v>0.1</v>
      </c>
      <c r="H688" s="466" t="e">
        <f t="shared" si="11"/>
        <v>#VALUE!</v>
      </c>
    </row>
    <row r="689" spans="1:8" ht="26.25" customHeight="1">
      <c r="A689" s="494">
        <v>7</v>
      </c>
      <c r="B689" s="495" t="s">
        <v>362</v>
      </c>
      <c r="C689" s="494" t="s">
        <v>481</v>
      </c>
      <c r="D689" s="494" t="s">
        <v>842</v>
      </c>
      <c r="E689" s="499" t="s">
        <v>723</v>
      </c>
      <c r="F689" s="506" t="e">
        <f>LUONGNGAY!$K$36</f>
        <v>#VALUE!</v>
      </c>
      <c r="G689" s="494">
        <v>0.107</v>
      </c>
      <c r="H689" s="466" t="e">
        <f t="shared" si="11"/>
        <v>#VALUE!</v>
      </c>
    </row>
    <row r="690" spans="1:8" ht="26.25" customHeight="1">
      <c r="A690" s="494">
        <v>8</v>
      </c>
      <c r="B690" s="495" t="s">
        <v>80</v>
      </c>
      <c r="C690" s="494"/>
      <c r="D690" s="494"/>
      <c r="E690" s="494"/>
      <c r="F690" s="494"/>
      <c r="G690" s="494"/>
      <c r="H690" s="466">
        <f t="shared" si="11"/>
        <v>0</v>
      </c>
    </row>
    <row r="691" spans="1:8" ht="26.25" customHeight="1">
      <c r="A691" s="494" t="s">
        <v>191</v>
      </c>
      <c r="B691" s="495" t="s">
        <v>82</v>
      </c>
      <c r="C691" s="494" t="s">
        <v>559</v>
      </c>
      <c r="D691" s="494" t="s">
        <v>847</v>
      </c>
      <c r="E691" s="499" t="s">
        <v>723</v>
      </c>
      <c r="F691" s="506" t="e">
        <f>LUONGNGAY!$K$35</f>
        <v>#VALUE!</v>
      </c>
      <c r="G691" s="494">
        <v>0.1</v>
      </c>
      <c r="H691" s="466" t="e">
        <f t="shared" si="11"/>
        <v>#VALUE!</v>
      </c>
    </row>
    <row r="692" spans="1:8" ht="26.25" customHeight="1">
      <c r="A692" s="494" t="s">
        <v>192</v>
      </c>
      <c r="B692" s="495" t="s">
        <v>84</v>
      </c>
      <c r="C692" s="494" t="s">
        <v>559</v>
      </c>
      <c r="D692" s="494" t="s">
        <v>847</v>
      </c>
      <c r="E692" s="499" t="s">
        <v>723</v>
      </c>
      <c r="F692" s="506" t="e">
        <f>LUONGNGAY!$K$35</f>
        <v>#VALUE!</v>
      </c>
      <c r="G692" s="494">
        <v>0.15</v>
      </c>
      <c r="H692" s="466" t="e">
        <f t="shared" si="11"/>
        <v>#VALUE!</v>
      </c>
    </row>
    <row r="693" spans="1:8" ht="26.25" customHeight="1">
      <c r="A693" s="494">
        <v>9</v>
      </c>
      <c r="B693" s="495" t="s">
        <v>363</v>
      </c>
      <c r="C693" s="494" t="s">
        <v>261</v>
      </c>
      <c r="D693" s="494" t="s">
        <v>842</v>
      </c>
      <c r="E693" s="499" t="s">
        <v>723</v>
      </c>
      <c r="F693" s="506" t="e">
        <f>LUONGNGAY!$K$36</f>
        <v>#VALUE!</v>
      </c>
      <c r="G693" s="494">
        <v>0.4</v>
      </c>
      <c r="H693" s="466" t="e">
        <f t="shared" si="11"/>
        <v>#VALUE!</v>
      </c>
    </row>
    <row r="694" spans="1:8" ht="26.25" customHeight="1">
      <c r="A694" s="494">
        <v>10</v>
      </c>
      <c r="B694" s="495" t="s">
        <v>364</v>
      </c>
      <c r="C694" s="494" t="s">
        <v>261</v>
      </c>
      <c r="D694" s="494" t="s">
        <v>847</v>
      </c>
      <c r="E694" s="499" t="s">
        <v>723</v>
      </c>
      <c r="F694" s="506" t="e">
        <f>LUONGNGAY!$K$35</f>
        <v>#VALUE!</v>
      </c>
      <c r="G694" s="494">
        <v>0.37</v>
      </c>
      <c r="H694" s="466" t="e">
        <f t="shared" si="11"/>
        <v>#VALUE!</v>
      </c>
    </row>
    <row r="695" spans="1:8" ht="26.25" customHeight="1">
      <c r="A695" s="494">
        <v>11</v>
      </c>
      <c r="B695" s="495" t="s">
        <v>88</v>
      </c>
      <c r="C695" s="494"/>
      <c r="D695" s="494"/>
      <c r="E695" s="494"/>
      <c r="F695" s="494"/>
      <c r="G695" s="494"/>
      <c r="H695" s="466">
        <f t="shared" si="11"/>
        <v>0</v>
      </c>
    </row>
    <row r="696" spans="1:8" ht="26.25" customHeight="1">
      <c r="A696" s="494" t="s">
        <v>719</v>
      </c>
      <c r="B696" s="495" t="s">
        <v>775</v>
      </c>
      <c r="C696" s="494"/>
      <c r="D696" s="494"/>
      <c r="E696" s="494"/>
      <c r="F696" s="494"/>
      <c r="G696" s="494"/>
      <c r="H696" s="466">
        <f t="shared" si="11"/>
        <v>0</v>
      </c>
    </row>
    <row r="697" spans="1:8" ht="26.25" customHeight="1">
      <c r="A697" s="494" t="s">
        <v>365</v>
      </c>
      <c r="B697" s="495" t="s">
        <v>777</v>
      </c>
      <c r="C697" s="494" t="s">
        <v>778</v>
      </c>
      <c r="D697" s="494" t="s">
        <v>779</v>
      </c>
      <c r="E697" s="499" t="s">
        <v>723</v>
      </c>
      <c r="F697" s="426" t="e">
        <f>LUONGNGAY!$K$34</f>
        <v>#VALUE!</v>
      </c>
      <c r="G697" s="494">
        <v>1.6E-2</v>
      </c>
      <c r="H697" s="466" t="e">
        <f t="shared" si="11"/>
        <v>#VALUE!</v>
      </c>
    </row>
    <row r="698" spans="1:8" ht="26.25" customHeight="1">
      <c r="A698" s="494" t="s">
        <v>366</v>
      </c>
      <c r="B698" s="495" t="s">
        <v>781</v>
      </c>
      <c r="C698" s="494" t="s">
        <v>778</v>
      </c>
      <c r="D698" s="494" t="s">
        <v>779</v>
      </c>
      <c r="E698" s="499" t="s">
        <v>723</v>
      </c>
      <c r="F698" s="426" t="e">
        <f>LUONGNGAY!$K$34</f>
        <v>#VALUE!</v>
      </c>
      <c r="G698" s="494">
        <v>8.0000000000000002E-3</v>
      </c>
      <c r="H698" s="466" t="e">
        <f t="shared" si="11"/>
        <v>#VALUE!</v>
      </c>
    </row>
    <row r="699" spans="1:8" ht="26.25" customHeight="1">
      <c r="A699" s="494" t="s">
        <v>720</v>
      </c>
      <c r="B699" s="495" t="s">
        <v>861</v>
      </c>
      <c r="C699" s="494" t="s">
        <v>778</v>
      </c>
      <c r="D699" s="494" t="s">
        <v>779</v>
      </c>
      <c r="E699" s="499" t="s">
        <v>723</v>
      </c>
      <c r="F699" s="426" t="e">
        <f>LUONGNGAY!$K$34</f>
        <v>#VALUE!</v>
      </c>
      <c r="G699" s="494">
        <v>4.0000000000000001E-3</v>
      </c>
      <c r="H699" s="466" t="e">
        <f t="shared" si="11"/>
        <v>#VALUE!</v>
      </c>
    </row>
    <row r="700" spans="1:8" ht="26.25" customHeight="1">
      <c r="A700" s="494" t="s">
        <v>721</v>
      </c>
      <c r="B700" s="495" t="s">
        <v>863</v>
      </c>
      <c r="C700" s="494" t="s">
        <v>481</v>
      </c>
      <c r="D700" s="494" t="s">
        <v>779</v>
      </c>
      <c r="E700" s="499" t="s">
        <v>723</v>
      </c>
      <c r="F700" s="426" t="e">
        <f>LUONGNGAY!$K$34</f>
        <v>#VALUE!</v>
      </c>
      <c r="G700" s="494">
        <v>0.01</v>
      </c>
      <c r="H700" s="466" t="e">
        <f t="shared" si="11"/>
        <v>#VALUE!</v>
      </c>
    </row>
    <row r="701" spans="1:8" ht="26.25" customHeight="1">
      <c r="A701" s="494">
        <v>12</v>
      </c>
      <c r="B701" s="495" t="s">
        <v>108</v>
      </c>
      <c r="C701" s="494" t="s">
        <v>261</v>
      </c>
      <c r="D701" s="494" t="s">
        <v>847</v>
      </c>
      <c r="E701" s="499" t="s">
        <v>723</v>
      </c>
      <c r="F701" s="506" t="e">
        <f>LUONGNGAY!$K$35</f>
        <v>#VALUE!</v>
      </c>
      <c r="G701" s="494">
        <v>0.05</v>
      </c>
      <c r="H701" s="466" t="e">
        <f t="shared" si="11"/>
        <v>#VALUE!</v>
      </c>
    </row>
    <row r="702" spans="1:8" ht="26.25" customHeight="1">
      <c r="A702" s="494">
        <v>13</v>
      </c>
      <c r="B702" s="495" t="s">
        <v>109</v>
      </c>
      <c r="C702" s="494" t="s">
        <v>261</v>
      </c>
      <c r="D702" s="494" t="s">
        <v>847</v>
      </c>
      <c r="E702" s="499" t="s">
        <v>723</v>
      </c>
      <c r="F702" s="506" t="e">
        <f>LUONGNGAY!$K$35</f>
        <v>#VALUE!</v>
      </c>
      <c r="G702" s="494">
        <v>0.05</v>
      </c>
      <c r="H702" s="466" t="e">
        <f t="shared" si="11"/>
        <v>#VALUE!</v>
      </c>
    </row>
    <row r="703" spans="1:8" ht="26.25" customHeight="1">
      <c r="A703" s="500" t="s">
        <v>1005</v>
      </c>
      <c r="B703" s="493" t="s">
        <v>460</v>
      </c>
      <c r="C703" s="494"/>
      <c r="D703" s="494"/>
      <c r="E703" s="494"/>
      <c r="F703" s="494"/>
      <c r="G703" s="494"/>
      <c r="H703" s="466">
        <f t="shared" si="11"/>
        <v>0</v>
      </c>
    </row>
    <row r="704" spans="1:8" ht="26.25" customHeight="1">
      <c r="A704" s="494">
        <v>1</v>
      </c>
      <c r="B704" s="495" t="s">
        <v>367</v>
      </c>
      <c r="C704" s="494" t="s">
        <v>261</v>
      </c>
      <c r="D704" s="494" t="s">
        <v>847</v>
      </c>
      <c r="E704" s="499" t="s">
        <v>723</v>
      </c>
      <c r="F704" s="506" t="e">
        <f>LUONGNGAY!$K$35</f>
        <v>#VALUE!</v>
      </c>
      <c r="G704" s="494">
        <v>0.02</v>
      </c>
      <c r="H704" s="466" t="e">
        <f t="shared" si="11"/>
        <v>#VALUE!</v>
      </c>
    </row>
    <row r="705" spans="1:8" ht="15" customHeight="1">
      <c r="A705" s="462"/>
      <c r="B705" s="445"/>
      <c r="C705" s="439"/>
      <c r="D705" s="439"/>
      <c r="E705" s="462"/>
      <c r="F705" s="440"/>
      <c r="G705" s="451"/>
      <c r="H705" s="442"/>
    </row>
    <row r="706" spans="1:8" ht="15" customHeight="1">
      <c r="A706" s="462"/>
      <c r="B706" s="445"/>
      <c r="C706" s="439"/>
      <c r="D706" s="439"/>
      <c r="E706" s="462"/>
      <c r="F706" s="440"/>
      <c r="G706" s="451"/>
      <c r="H706" s="442"/>
    </row>
    <row r="707" spans="1:8" ht="29.25" customHeight="1">
      <c r="A707" s="1151" t="s">
        <v>819</v>
      </c>
      <c r="B707" s="1151"/>
      <c r="C707" s="1151"/>
      <c r="D707" s="1151"/>
      <c r="E707" s="1151"/>
      <c r="F707" s="1151"/>
      <c r="G707" s="1151"/>
      <c r="H707" s="1151"/>
    </row>
    <row r="708" spans="1:8" ht="15" customHeight="1">
      <c r="A708" s="414"/>
      <c r="B708" s="415"/>
      <c r="E708" s="417"/>
      <c r="F708" s="418"/>
      <c r="G708" s="417"/>
      <c r="H708" s="419"/>
    </row>
    <row r="709" spans="1:8" ht="28.5" customHeight="1">
      <c r="A709" s="422" t="s">
        <v>979</v>
      </c>
      <c r="B709" s="422" t="s">
        <v>198</v>
      </c>
      <c r="C709" s="423" t="s">
        <v>479</v>
      </c>
      <c r="D709" s="423" t="s">
        <v>478</v>
      </c>
      <c r="E709" s="423" t="s">
        <v>199</v>
      </c>
      <c r="F709" s="424" t="s">
        <v>483</v>
      </c>
      <c r="G709" s="423" t="s">
        <v>482</v>
      </c>
      <c r="H709" s="423" t="s">
        <v>200</v>
      </c>
    </row>
    <row r="710" spans="1:8" ht="28.5" customHeight="1">
      <c r="A710" s="500" t="s">
        <v>1000</v>
      </c>
      <c r="B710" s="493" t="s">
        <v>582</v>
      </c>
      <c r="C710" s="494"/>
      <c r="D710" s="494"/>
      <c r="E710" s="494"/>
      <c r="F710" s="494"/>
      <c r="G710" s="494"/>
      <c r="H710" s="494"/>
    </row>
    <row r="711" spans="1:8" ht="28.5" customHeight="1">
      <c r="A711" s="494">
        <v>1</v>
      </c>
      <c r="B711" s="495" t="s">
        <v>360</v>
      </c>
      <c r="C711" s="494"/>
      <c r="D711" s="494"/>
      <c r="E711" s="494"/>
      <c r="F711" s="494"/>
      <c r="G711" s="494"/>
      <c r="H711" s="494"/>
    </row>
    <row r="712" spans="1:8" ht="28.5" customHeight="1">
      <c r="A712" s="494" t="s">
        <v>733</v>
      </c>
      <c r="B712" s="495" t="s">
        <v>846</v>
      </c>
      <c r="C712" s="494" t="s">
        <v>261</v>
      </c>
      <c r="D712" s="494" t="s">
        <v>847</v>
      </c>
      <c r="E712" s="499" t="s">
        <v>723</v>
      </c>
      <c r="F712" s="506" t="e">
        <f>LUONGNGAY!$K$35</f>
        <v>#VALUE!</v>
      </c>
      <c r="G712" s="494">
        <v>0.15</v>
      </c>
      <c r="H712" s="466" t="e">
        <f>F712*G712</f>
        <v>#VALUE!</v>
      </c>
    </row>
    <row r="713" spans="1:8" ht="28.5" customHeight="1">
      <c r="A713" s="494" t="s">
        <v>741</v>
      </c>
      <c r="B713" s="495" t="s">
        <v>849</v>
      </c>
      <c r="C713" s="494" t="s">
        <v>261</v>
      </c>
      <c r="D713" s="494" t="s">
        <v>847</v>
      </c>
      <c r="E713" s="499" t="s">
        <v>723</v>
      </c>
      <c r="F713" s="506" t="e">
        <f>LUONGNGAY!$K$35</f>
        <v>#VALUE!</v>
      </c>
      <c r="G713" s="494">
        <v>0.1</v>
      </c>
      <c r="H713" s="466" t="e">
        <f t="shared" ref="H713:H736" si="12">F713*G713</f>
        <v>#VALUE!</v>
      </c>
    </row>
    <row r="714" spans="1:8" ht="28.5" customHeight="1">
      <c r="A714" s="494">
        <v>2</v>
      </c>
      <c r="B714" s="495" t="s">
        <v>797</v>
      </c>
      <c r="C714" s="494" t="s">
        <v>261</v>
      </c>
      <c r="D714" s="494" t="s">
        <v>847</v>
      </c>
      <c r="E714" s="499" t="s">
        <v>723</v>
      </c>
      <c r="F714" s="506" t="e">
        <f>LUONGNGAY!$K$35</f>
        <v>#VALUE!</v>
      </c>
      <c r="G714" s="494">
        <v>0.2</v>
      </c>
      <c r="H714" s="466" t="e">
        <f t="shared" si="12"/>
        <v>#VALUE!</v>
      </c>
    </row>
    <row r="715" spans="1:8" ht="28.5" customHeight="1">
      <c r="A715" s="494">
        <v>3</v>
      </c>
      <c r="B715" s="495" t="s">
        <v>851</v>
      </c>
      <c r="C715" s="494" t="s">
        <v>481</v>
      </c>
      <c r="D715" s="494" t="s">
        <v>842</v>
      </c>
      <c r="E715" s="499" t="s">
        <v>723</v>
      </c>
      <c r="F715" s="506" t="e">
        <f>LUONGNGAY!$K$36</f>
        <v>#VALUE!</v>
      </c>
      <c r="G715" s="494">
        <v>3.3000000000000002E-2</v>
      </c>
      <c r="H715" s="466" t="e">
        <f t="shared" si="12"/>
        <v>#VALUE!</v>
      </c>
    </row>
    <row r="716" spans="1:8" ht="28.5" customHeight="1">
      <c r="A716" s="494">
        <v>4</v>
      </c>
      <c r="B716" s="495" t="s">
        <v>361</v>
      </c>
      <c r="C716" s="494" t="s">
        <v>261</v>
      </c>
      <c r="D716" s="494" t="s">
        <v>842</v>
      </c>
      <c r="E716" s="499" t="s">
        <v>723</v>
      </c>
      <c r="F716" s="506" t="e">
        <f>LUONGNGAY!$K$36</f>
        <v>#VALUE!</v>
      </c>
      <c r="G716" s="494">
        <v>0.5</v>
      </c>
      <c r="H716" s="466" t="e">
        <f t="shared" si="12"/>
        <v>#VALUE!</v>
      </c>
    </row>
    <row r="717" spans="1:8" ht="28.5" customHeight="1">
      <c r="A717" s="494">
        <v>5</v>
      </c>
      <c r="B717" s="495" t="s">
        <v>2</v>
      </c>
      <c r="C717" s="494" t="s">
        <v>481</v>
      </c>
      <c r="D717" s="494" t="s">
        <v>842</v>
      </c>
      <c r="E717" s="499" t="s">
        <v>723</v>
      </c>
      <c r="F717" s="506" t="e">
        <f>LUONGNGAY!$K$36</f>
        <v>#VALUE!</v>
      </c>
      <c r="G717" s="494">
        <v>6.0000000000000001E-3</v>
      </c>
      <c r="H717" s="466" t="e">
        <f t="shared" si="12"/>
        <v>#VALUE!</v>
      </c>
    </row>
    <row r="718" spans="1:8" ht="28.5" customHeight="1">
      <c r="A718" s="494">
        <v>6</v>
      </c>
      <c r="B718" s="495" t="s">
        <v>802</v>
      </c>
      <c r="C718" s="494"/>
      <c r="D718" s="494"/>
      <c r="E718" s="494"/>
      <c r="F718" s="494"/>
      <c r="G718" s="494"/>
      <c r="H718" s="466">
        <f t="shared" si="12"/>
        <v>0</v>
      </c>
    </row>
    <row r="719" spans="1:8" ht="28.5" customHeight="1">
      <c r="A719" s="494" t="s">
        <v>661</v>
      </c>
      <c r="B719" s="495" t="s">
        <v>587</v>
      </c>
      <c r="C719" s="494" t="s">
        <v>261</v>
      </c>
      <c r="D719" s="494" t="s">
        <v>847</v>
      </c>
      <c r="E719" s="499" t="s">
        <v>723</v>
      </c>
      <c r="F719" s="506" t="e">
        <f>LUONGNGAY!$K$35</f>
        <v>#VALUE!</v>
      </c>
      <c r="G719" s="494">
        <v>0</v>
      </c>
      <c r="H719" s="466" t="e">
        <f t="shared" si="12"/>
        <v>#VALUE!</v>
      </c>
    </row>
    <row r="720" spans="1:8" ht="28.5" customHeight="1">
      <c r="A720" s="494" t="s">
        <v>662</v>
      </c>
      <c r="B720" s="495" t="s">
        <v>588</v>
      </c>
      <c r="C720" s="494" t="s">
        <v>261</v>
      </c>
      <c r="D720" s="494" t="s">
        <v>847</v>
      </c>
      <c r="E720" s="499" t="s">
        <v>723</v>
      </c>
      <c r="F720" s="506" t="e">
        <f>LUONGNGAY!$K$35</f>
        <v>#VALUE!</v>
      </c>
      <c r="G720" s="494">
        <v>0</v>
      </c>
      <c r="H720" s="466" t="e">
        <f t="shared" si="12"/>
        <v>#VALUE!</v>
      </c>
    </row>
    <row r="721" spans="1:8" ht="28.5" customHeight="1">
      <c r="A721" s="494">
        <v>7</v>
      </c>
      <c r="B721" s="495" t="s">
        <v>362</v>
      </c>
      <c r="C721" s="494" t="s">
        <v>481</v>
      </c>
      <c r="D721" s="494" t="s">
        <v>842</v>
      </c>
      <c r="E721" s="499" t="s">
        <v>723</v>
      </c>
      <c r="F721" s="506" t="e">
        <f>LUONGNGAY!$K$36</f>
        <v>#VALUE!</v>
      </c>
      <c r="G721" s="494">
        <v>3.3000000000000002E-2</v>
      </c>
      <c r="H721" s="466" t="e">
        <f t="shared" si="12"/>
        <v>#VALUE!</v>
      </c>
    </row>
    <row r="722" spans="1:8" ht="28.5" customHeight="1">
      <c r="A722" s="494">
        <v>8</v>
      </c>
      <c r="B722" s="495" t="s">
        <v>80</v>
      </c>
      <c r="C722" s="494"/>
      <c r="D722" s="494"/>
      <c r="E722" s="494"/>
      <c r="F722" s="494"/>
      <c r="G722" s="494"/>
      <c r="H722" s="466">
        <f t="shared" si="12"/>
        <v>0</v>
      </c>
    </row>
    <row r="723" spans="1:8" ht="28.5" customHeight="1">
      <c r="A723" s="494" t="s">
        <v>191</v>
      </c>
      <c r="B723" s="495" t="s">
        <v>82</v>
      </c>
      <c r="C723" s="494" t="s">
        <v>559</v>
      </c>
      <c r="D723" s="494" t="s">
        <v>847</v>
      </c>
      <c r="E723" s="499" t="s">
        <v>723</v>
      </c>
      <c r="F723" s="506" t="e">
        <f>LUONGNGAY!$K$35</f>
        <v>#VALUE!</v>
      </c>
      <c r="G723" s="494">
        <v>0.1</v>
      </c>
      <c r="H723" s="466" t="e">
        <f t="shared" si="12"/>
        <v>#VALUE!</v>
      </c>
    </row>
    <row r="724" spans="1:8" ht="28.5" customHeight="1">
      <c r="A724" s="494" t="s">
        <v>192</v>
      </c>
      <c r="B724" s="495" t="s">
        <v>84</v>
      </c>
      <c r="C724" s="494" t="s">
        <v>559</v>
      </c>
      <c r="D724" s="494" t="s">
        <v>847</v>
      </c>
      <c r="E724" s="499" t="s">
        <v>723</v>
      </c>
      <c r="F724" s="506" t="e">
        <f>LUONGNGAY!$K$35</f>
        <v>#VALUE!</v>
      </c>
      <c r="G724" s="494">
        <v>0.2</v>
      </c>
      <c r="H724" s="466" t="e">
        <f t="shared" si="12"/>
        <v>#VALUE!</v>
      </c>
    </row>
    <row r="725" spans="1:8" ht="28.5" customHeight="1">
      <c r="A725" s="494">
        <v>9</v>
      </c>
      <c r="B725" s="495" t="s">
        <v>363</v>
      </c>
      <c r="C725" s="494" t="s">
        <v>261</v>
      </c>
      <c r="D725" s="494" t="s">
        <v>842</v>
      </c>
      <c r="E725" s="499" t="s">
        <v>723</v>
      </c>
      <c r="F725" s="506" t="e">
        <f>LUONGNGAY!$K$36</f>
        <v>#VALUE!</v>
      </c>
      <c r="G725" s="494">
        <v>0.4</v>
      </c>
      <c r="H725" s="466" t="e">
        <f t="shared" si="12"/>
        <v>#VALUE!</v>
      </c>
    </row>
    <row r="726" spans="1:8" ht="28.5" customHeight="1">
      <c r="A726" s="494">
        <v>10</v>
      </c>
      <c r="B726" s="495" t="s">
        <v>364</v>
      </c>
      <c r="C726" s="494" t="s">
        <v>261</v>
      </c>
      <c r="D726" s="494" t="s">
        <v>847</v>
      </c>
      <c r="E726" s="499" t="s">
        <v>723</v>
      </c>
      <c r="F726" s="506" t="e">
        <f>LUONGNGAY!$K$35</f>
        <v>#VALUE!</v>
      </c>
      <c r="G726" s="494">
        <v>0.37</v>
      </c>
      <c r="H726" s="466" t="e">
        <f t="shared" si="12"/>
        <v>#VALUE!</v>
      </c>
    </row>
    <row r="727" spans="1:8" ht="28.5" customHeight="1">
      <c r="A727" s="494">
        <v>11</v>
      </c>
      <c r="B727" s="495" t="s">
        <v>88</v>
      </c>
      <c r="C727" s="494"/>
      <c r="D727" s="494"/>
      <c r="E727" s="494"/>
      <c r="F727" s="494"/>
      <c r="G727" s="494"/>
      <c r="H727" s="466">
        <f t="shared" si="12"/>
        <v>0</v>
      </c>
    </row>
    <row r="728" spans="1:8" ht="28.5" customHeight="1">
      <c r="A728" s="494" t="s">
        <v>719</v>
      </c>
      <c r="B728" s="495" t="s">
        <v>775</v>
      </c>
      <c r="C728" s="494"/>
      <c r="D728" s="494"/>
      <c r="E728" s="494"/>
      <c r="F728" s="494"/>
      <c r="G728" s="494"/>
      <c r="H728" s="466">
        <f t="shared" si="12"/>
        <v>0</v>
      </c>
    </row>
    <row r="729" spans="1:8" ht="28.5" customHeight="1">
      <c r="A729" s="494" t="s">
        <v>365</v>
      </c>
      <c r="B729" s="495" t="s">
        <v>777</v>
      </c>
      <c r="C729" s="494" t="s">
        <v>778</v>
      </c>
      <c r="D729" s="494" t="s">
        <v>779</v>
      </c>
      <c r="E729" s="499" t="s">
        <v>723</v>
      </c>
      <c r="F729" s="426" t="e">
        <f>LUONGNGAY!$K$34</f>
        <v>#VALUE!</v>
      </c>
      <c r="G729" s="494">
        <v>1.6E-2</v>
      </c>
      <c r="H729" s="466" t="e">
        <f t="shared" si="12"/>
        <v>#VALUE!</v>
      </c>
    </row>
    <row r="730" spans="1:8" ht="28.5" customHeight="1">
      <c r="A730" s="494" t="s">
        <v>366</v>
      </c>
      <c r="B730" s="495" t="s">
        <v>781</v>
      </c>
      <c r="C730" s="494" t="s">
        <v>778</v>
      </c>
      <c r="D730" s="494" t="s">
        <v>779</v>
      </c>
      <c r="E730" s="499" t="s">
        <v>723</v>
      </c>
      <c r="F730" s="426" t="e">
        <f>LUONGNGAY!$K$34</f>
        <v>#VALUE!</v>
      </c>
      <c r="G730" s="494">
        <v>8.0000000000000002E-3</v>
      </c>
      <c r="H730" s="466" t="e">
        <f t="shared" si="12"/>
        <v>#VALUE!</v>
      </c>
    </row>
    <row r="731" spans="1:8" ht="28.5" customHeight="1">
      <c r="A731" s="494" t="s">
        <v>720</v>
      </c>
      <c r="B731" s="495" t="s">
        <v>861</v>
      </c>
      <c r="C731" s="494" t="s">
        <v>778</v>
      </c>
      <c r="D731" s="494" t="s">
        <v>779</v>
      </c>
      <c r="E731" s="499" t="s">
        <v>723</v>
      </c>
      <c r="F731" s="426" t="e">
        <f>LUONGNGAY!$K$34</f>
        <v>#VALUE!</v>
      </c>
      <c r="G731" s="494">
        <v>4.0000000000000001E-3</v>
      </c>
      <c r="H731" s="466" t="e">
        <f t="shared" si="12"/>
        <v>#VALUE!</v>
      </c>
    </row>
    <row r="732" spans="1:8" ht="28.5" customHeight="1">
      <c r="A732" s="494" t="s">
        <v>721</v>
      </c>
      <c r="B732" s="495" t="s">
        <v>863</v>
      </c>
      <c r="C732" s="494" t="s">
        <v>481</v>
      </c>
      <c r="D732" s="494" t="s">
        <v>779</v>
      </c>
      <c r="E732" s="499" t="s">
        <v>723</v>
      </c>
      <c r="F732" s="426" t="e">
        <f>LUONGNGAY!$K$34</f>
        <v>#VALUE!</v>
      </c>
      <c r="G732" s="494">
        <v>0.01</v>
      </c>
      <c r="H732" s="466" t="e">
        <f t="shared" si="12"/>
        <v>#VALUE!</v>
      </c>
    </row>
    <row r="733" spans="1:8" ht="28.5" customHeight="1">
      <c r="A733" s="494">
        <v>12</v>
      </c>
      <c r="B733" s="495" t="s">
        <v>108</v>
      </c>
      <c r="C733" s="494" t="s">
        <v>261</v>
      </c>
      <c r="D733" s="494" t="s">
        <v>847</v>
      </c>
      <c r="E733" s="499" t="s">
        <v>723</v>
      </c>
      <c r="F733" s="506" t="e">
        <f>LUONGNGAY!$K$35</f>
        <v>#VALUE!</v>
      </c>
      <c r="G733" s="494">
        <v>0.05</v>
      </c>
      <c r="H733" s="466" t="e">
        <f t="shared" si="12"/>
        <v>#VALUE!</v>
      </c>
    </row>
    <row r="734" spans="1:8" ht="28.5" customHeight="1">
      <c r="A734" s="494">
        <v>13</v>
      </c>
      <c r="B734" s="495" t="s">
        <v>109</v>
      </c>
      <c r="C734" s="494" t="s">
        <v>261</v>
      </c>
      <c r="D734" s="494" t="s">
        <v>847</v>
      </c>
      <c r="E734" s="499" t="s">
        <v>723</v>
      </c>
      <c r="F734" s="506" t="e">
        <f>LUONGNGAY!$K$35</f>
        <v>#VALUE!</v>
      </c>
      <c r="G734" s="494">
        <v>0.05</v>
      </c>
      <c r="H734" s="466" t="e">
        <f t="shared" si="12"/>
        <v>#VALUE!</v>
      </c>
    </row>
    <row r="735" spans="1:8" ht="28.5" customHeight="1">
      <c r="A735" s="500" t="s">
        <v>1005</v>
      </c>
      <c r="B735" s="493" t="s">
        <v>460</v>
      </c>
      <c r="C735" s="494"/>
      <c r="D735" s="494"/>
      <c r="E735" s="494"/>
      <c r="F735" s="494"/>
      <c r="G735" s="494"/>
      <c r="H735" s="466">
        <f t="shared" si="12"/>
        <v>0</v>
      </c>
    </row>
    <row r="736" spans="1:8" ht="28.5" customHeight="1">
      <c r="A736" s="494">
        <v>1</v>
      </c>
      <c r="B736" s="495" t="s">
        <v>367</v>
      </c>
      <c r="C736" s="494" t="s">
        <v>261</v>
      </c>
      <c r="D736" s="494" t="s">
        <v>847</v>
      </c>
      <c r="E736" s="499" t="s">
        <v>723</v>
      </c>
      <c r="F736" s="506" t="e">
        <f>LUONGNGAY!$K$35</f>
        <v>#VALUE!</v>
      </c>
      <c r="G736" s="494">
        <v>0.02</v>
      </c>
      <c r="H736" s="466" t="e">
        <f t="shared" si="12"/>
        <v>#VALUE!</v>
      </c>
    </row>
    <row r="737" spans="1:8" ht="15" customHeight="1">
      <c r="A737" s="462"/>
      <c r="B737" s="445"/>
      <c r="C737" s="439"/>
      <c r="D737" s="439"/>
      <c r="E737" s="462"/>
      <c r="F737" s="440"/>
      <c r="G737" s="451"/>
      <c r="H737" s="442"/>
    </row>
    <row r="738" spans="1:8" ht="34.15" customHeight="1">
      <c r="A738" s="1151" t="s">
        <v>820</v>
      </c>
      <c r="B738" s="1151"/>
      <c r="C738" s="1151"/>
      <c r="D738" s="1151"/>
      <c r="E738" s="1151"/>
      <c r="F738" s="1151"/>
      <c r="G738" s="1151"/>
      <c r="H738" s="1151"/>
    </row>
    <row r="739" spans="1:8">
      <c r="A739" s="414"/>
      <c r="B739" s="415"/>
      <c r="E739" s="417"/>
      <c r="F739" s="418"/>
      <c r="G739" s="417"/>
      <c r="H739" s="419"/>
    </row>
    <row r="740" spans="1:8" ht="49.5" customHeight="1">
      <c r="A740" s="422" t="s">
        <v>979</v>
      </c>
      <c r="B740" s="422" t="s">
        <v>198</v>
      </c>
      <c r="C740" s="423" t="s">
        <v>479</v>
      </c>
      <c r="D740" s="423" t="s">
        <v>478</v>
      </c>
      <c r="E740" s="423" t="s">
        <v>199</v>
      </c>
      <c r="F740" s="424" t="s">
        <v>483</v>
      </c>
      <c r="G740" s="423" t="s">
        <v>482</v>
      </c>
      <c r="H740" s="423" t="s">
        <v>200</v>
      </c>
    </row>
    <row r="741" spans="1:8" ht="21" customHeight="1">
      <c r="A741" s="500" t="s">
        <v>1000</v>
      </c>
      <c r="B741" s="493" t="s">
        <v>582</v>
      </c>
      <c r="C741" s="494"/>
      <c r="D741" s="494"/>
      <c r="E741" s="494"/>
      <c r="F741" s="494"/>
      <c r="G741" s="494"/>
      <c r="H741" s="494"/>
    </row>
    <row r="742" spans="1:8" ht="21" customHeight="1">
      <c r="A742" s="494">
        <v>1</v>
      </c>
      <c r="B742" s="495" t="s">
        <v>360</v>
      </c>
      <c r="C742" s="494"/>
      <c r="D742" s="494"/>
      <c r="E742" s="494"/>
      <c r="F742" s="494"/>
      <c r="G742" s="494"/>
      <c r="H742" s="494"/>
    </row>
    <row r="743" spans="1:8" ht="21" customHeight="1">
      <c r="A743" s="494" t="s">
        <v>733</v>
      </c>
      <c r="B743" s="495" t="s">
        <v>846</v>
      </c>
      <c r="C743" s="494" t="s">
        <v>261</v>
      </c>
      <c r="D743" s="494" t="s">
        <v>847</v>
      </c>
      <c r="E743" s="499" t="s">
        <v>723</v>
      </c>
      <c r="F743" s="506" t="e">
        <f>LUONGNGAY!$K$35</f>
        <v>#VALUE!</v>
      </c>
      <c r="G743" s="494">
        <v>0.19500000000000001</v>
      </c>
      <c r="H743" s="466" t="e">
        <f>F743*G743</f>
        <v>#VALUE!</v>
      </c>
    </row>
    <row r="744" spans="1:8" ht="21" customHeight="1">
      <c r="A744" s="494" t="s">
        <v>741</v>
      </c>
      <c r="B744" s="495" t="s">
        <v>849</v>
      </c>
      <c r="C744" s="494" t="s">
        <v>261</v>
      </c>
      <c r="D744" s="494" t="s">
        <v>847</v>
      </c>
      <c r="E744" s="499" t="s">
        <v>723</v>
      </c>
      <c r="F744" s="506" t="e">
        <f>LUONGNGAY!$K$35</f>
        <v>#VALUE!</v>
      </c>
      <c r="G744" s="494">
        <v>0.13</v>
      </c>
      <c r="H744" s="466" t="e">
        <f t="shared" ref="H744:H767" si="13">F744*G744</f>
        <v>#VALUE!</v>
      </c>
    </row>
    <row r="745" spans="1:8" ht="31.5" customHeight="1">
      <c r="A745" s="494">
        <v>2</v>
      </c>
      <c r="B745" s="495" t="s">
        <v>797</v>
      </c>
      <c r="C745" s="494" t="s">
        <v>261</v>
      </c>
      <c r="D745" s="494" t="s">
        <v>847</v>
      </c>
      <c r="E745" s="499" t="s">
        <v>723</v>
      </c>
      <c r="F745" s="506" t="e">
        <f>LUONGNGAY!$K$35</f>
        <v>#VALUE!</v>
      </c>
      <c r="G745" s="494">
        <v>0.26</v>
      </c>
      <c r="H745" s="466" t="e">
        <f t="shared" si="13"/>
        <v>#VALUE!</v>
      </c>
    </row>
    <row r="746" spans="1:8" ht="31.5" customHeight="1">
      <c r="A746" s="494">
        <v>3</v>
      </c>
      <c r="B746" s="495" t="s">
        <v>851</v>
      </c>
      <c r="C746" s="494" t="s">
        <v>481</v>
      </c>
      <c r="D746" s="494" t="s">
        <v>842</v>
      </c>
      <c r="E746" s="499" t="s">
        <v>723</v>
      </c>
      <c r="F746" s="506" t="e">
        <f>LUONGNGAY!$K$36</f>
        <v>#VALUE!</v>
      </c>
      <c r="G746" s="494">
        <v>0.16700000000000001</v>
      </c>
      <c r="H746" s="466" t="e">
        <f t="shared" si="13"/>
        <v>#VALUE!</v>
      </c>
    </row>
    <row r="747" spans="1:8" ht="31.5" customHeight="1">
      <c r="A747" s="494">
        <v>4</v>
      </c>
      <c r="B747" s="495" t="s">
        <v>361</v>
      </c>
      <c r="C747" s="494" t="s">
        <v>261</v>
      </c>
      <c r="D747" s="494" t="s">
        <v>842</v>
      </c>
      <c r="E747" s="499" t="s">
        <v>723</v>
      </c>
      <c r="F747" s="506" t="e">
        <f>LUONGNGAY!$K$36</f>
        <v>#VALUE!</v>
      </c>
      <c r="G747" s="494">
        <v>0.65</v>
      </c>
      <c r="H747" s="466" t="e">
        <f t="shared" si="13"/>
        <v>#VALUE!</v>
      </c>
    </row>
    <row r="748" spans="1:8" ht="31.5" customHeight="1">
      <c r="A748" s="494">
        <v>5</v>
      </c>
      <c r="B748" s="495" t="s">
        <v>2</v>
      </c>
      <c r="C748" s="494" t="s">
        <v>481</v>
      </c>
      <c r="D748" s="494" t="s">
        <v>842</v>
      </c>
      <c r="E748" s="499" t="s">
        <v>723</v>
      </c>
      <c r="F748" s="506" t="e">
        <f>LUONGNGAY!$K$36</f>
        <v>#VALUE!</v>
      </c>
      <c r="G748" s="494">
        <v>6.0000000000000001E-3</v>
      </c>
      <c r="H748" s="466" t="e">
        <f t="shared" si="13"/>
        <v>#VALUE!</v>
      </c>
    </row>
    <row r="749" spans="1:8" ht="31.5" customHeight="1">
      <c r="A749" s="494">
        <v>6</v>
      </c>
      <c r="B749" s="495" t="s">
        <v>802</v>
      </c>
      <c r="C749" s="494"/>
      <c r="D749" s="494"/>
      <c r="E749" s="494"/>
      <c r="F749" s="494"/>
      <c r="G749" s="494"/>
      <c r="H749" s="466">
        <f t="shared" si="13"/>
        <v>0</v>
      </c>
    </row>
    <row r="750" spans="1:8" ht="21" customHeight="1">
      <c r="A750" s="494" t="s">
        <v>661</v>
      </c>
      <c r="B750" s="495" t="s">
        <v>587</v>
      </c>
      <c r="C750" s="494" t="s">
        <v>261</v>
      </c>
      <c r="D750" s="494" t="s">
        <v>847</v>
      </c>
      <c r="E750" s="499" t="s">
        <v>723</v>
      </c>
      <c r="F750" s="506" t="e">
        <f>LUONGNGAY!$K$35</f>
        <v>#VALUE!</v>
      </c>
      <c r="G750" s="494">
        <v>0.05</v>
      </c>
      <c r="H750" s="466" t="e">
        <f t="shared" si="13"/>
        <v>#VALUE!</v>
      </c>
    </row>
    <row r="751" spans="1:8" ht="21" customHeight="1">
      <c r="A751" s="494" t="s">
        <v>662</v>
      </c>
      <c r="B751" s="495" t="s">
        <v>588</v>
      </c>
      <c r="C751" s="494" t="s">
        <v>261</v>
      </c>
      <c r="D751" s="494" t="s">
        <v>847</v>
      </c>
      <c r="E751" s="499" t="s">
        <v>723</v>
      </c>
      <c r="F751" s="506" t="e">
        <f>LUONGNGAY!$K$35</f>
        <v>#VALUE!</v>
      </c>
      <c r="G751" s="494">
        <v>0.1</v>
      </c>
      <c r="H751" s="466" t="e">
        <f t="shared" si="13"/>
        <v>#VALUE!</v>
      </c>
    </row>
    <row r="752" spans="1:8" ht="21" customHeight="1">
      <c r="A752" s="494">
        <v>7</v>
      </c>
      <c r="B752" s="495" t="s">
        <v>362</v>
      </c>
      <c r="C752" s="494" t="s">
        <v>481</v>
      </c>
      <c r="D752" s="494" t="s">
        <v>842</v>
      </c>
      <c r="E752" s="499" t="s">
        <v>723</v>
      </c>
      <c r="F752" s="506" t="e">
        <f>LUONGNGAY!$K$36</f>
        <v>#VALUE!</v>
      </c>
      <c r="G752" s="494">
        <v>0.16700000000000001</v>
      </c>
      <c r="H752" s="466" t="e">
        <f t="shared" si="13"/>
        <v>#VALUE!</v>
      </c>
    </row>
    <row r="753" spans="1:8" ht="21" customHeight="1">
      <c r="A753" s="494">
        <v>8</v>
      </c>
      <c r="B753" s="495" t="s">
        <v>80</v>
      </c>
      <c r="C753" s="494"/>
      <c r="D753" s="494"/>
      <c r="E753" s="494"/>
      <c r="F753" s="494"/>
      <c r="G753" s="494"/>
      <c r="H753" s="466">
        <f t="shared" si="13"/>
        <v>0</v>
      </c>
    </row>
    <row r="754" spans="1:8" ht="21" customHeight="1">
      <c r="A754" s="494" t="s">
        <v>191</v>
      </c>
      <c r="B754" s="495" t="s">
        <v>82</v>
      </c>
      <c r="C754" s="494" t="s">
        <v>559</v>
      </c>
      <c r="D754" s="494" t="s">
        <v>847</v>
      </c>
      <c r="E754" s="499" t="s">
        <v>723</v>
      </c>
      <c r="F754" s="506" t="e">
        <f>LUONGNGAY!$K$35</f>
        <v>#VALUE!</v>
      </c>
      <c r="G754" s="494">
        <v>0.1</v>
      </c>
      <c r="H754" s="466" t="e">
        <f t="shared" si="13"/>
        <v>#VALUE!</v>
      </c>
    </row>
    <row r="755" spans="1:8" ht="21" customHeight="1">
      <c r="A755" s="494" t="s">
        <v>192</v>
      </c>
      <c r="B755" s="495" t="s">
        <v>84</v>
      </c>
      <c r="C755" s="494" t="s">
        <v>559</v>
      </c>
      <c r="D755" s="494" t="s">
        <v>847</v>
      </c>
      <c r="E755" s="499" t="s">
        <v>723</v>
      </c>
      <c r="F755" s="506" t="e">
        <f>LUONGNGAY!$K$35</f>
        <v>#VALUE!</v>
      </c>
      <c r="G755" s="494">
        <v>0.2</v>
      </c>
      <c r="H755" s="466" t="e">
        <f t="shared" si="13"/>
        <v>#VALUE!</v>
      </c>
    </row>
    <row r="756" spans="1:8" ht="44.25" customHeight="1">
      <c r="A756" s="494">
        <v>9</v>
      </c>
      <c r="B756" s="495" t="s">
        <v>363</v>
      </c>
      <c r="C756" s="494" t="s">
        <v>261</v>
      </c>
      <c r="D756" s="494" t="s">
        <v>842</v>
      </c>
      <c r="E756" s="499" t="s">
        <v>723</v>
      </c>
      <c r="F756" s="506" t="e">
        <f>LUONGNGAY!$K$36</f>
        <v>#VALUE!</v>
      </c>
      <c r="G756" s="494">
        <v>0.52</v>
      </c>
      <c r="H756" s="466" t="e">
        <f t="shared" si="13"/>
        <v>#VALUE!</v>
      </c>
    </row>
    <row r="757" spans="1:8" ht="32.25" customHeight="1">
      <c r="A757" s="494">
        <v>10</v>
      </c>
      <c r="B757" s="495" t="s">
        <v>364</v>
      </c>
      <c r="C757" s="494" t="s">
        <v>261</v>
      </c>
      <c r="D757" s="494" t="s">
        <v>847</v>
      </c>
      <c r="E757" s="499" t="s">
        <v>723</v>
      </c>
      <c r="F757" s="506" t="e">
        <f>LUONGNGAY!$K$35</f>
        <v>#VALUE!</v>
      </c>
      <c r="G757" s="494">
        <v>0.44400000000000001</v>
      </c>
      <c r="H757" s="466" t="e">
        <f t="shared" si="13"/>
        <v>#VALUE!</v>
      </c>
    </row>
    <row r="758" spans="1:8" ht="21" customHeight="1">
      <c r="A758" s="494">
        <v>11</v>
      </c>
      <c r="B758" s="495" t="s">
        <v>88</v>
      </c>
      <c r="C758" s="494"/>
      <c r="D758" s="494"/>
      <c r="E758" s="494"/>
      <c r="F758" s="494"/>
      <c r="G758" s="494"/>
      <c r="H758" s="466">
        <f t="shared" si="13"/>
        <v>0</v>
      </c>
    </row>
    <row r="759" spans="1:8" ht="30" customHeight="1">
      <c r="A759" s="494" t="s">
        <v>719</v>
      </c>
      <c r="B759" s="495" t="s">
        <v>775</v>
      </c>
      <c r="C759" s="494"/>
      <c r="D759" s="494"/>
      <c r="E759" s="494"/>
      <c r="F759" s="494"/>
      <c r="G759" s="494"/>
      <c r="H759" s="466">
        <f t="shared" si="13"/>
        <v>0</v>
      </c>
    </row>
    <row r="760" spans="1:8" ht="21" customHeight="1">
      <c r="A760" s="494" t="s">
        <v>365</v>
      </c>
      <c r="B760" s="495" t="s">
        <v>777</v>
      </c>
      <c r="C760" s="494" t="s">
        <v>778</v>
      </c>
      <c r="D760" s="494" t="s">
        <v>779</v>
      </c>
      <c r="E760" s="499" t="s">
        <v>723</v>
      </c>
      <c r="F760" s="426" t="e">
        <f>LUONGNGAY!$K$34</f>
        <v>#VALUE!</v>
      </c>
      <c r="G760" s="494">
        <v>1.6E-2</v>
      </c>
      <c r="H760" s="466" t="e">
        <f t="shared" si="13"/>
        <v>#VALUE!</v>
      </c>
    </row>
    <row r="761" spans="1:8" ht="21" customHeight="1">
      <c r="A761" s="494" t="s">
        <v>366</v>
      </c>
      <c r="B761" s="495" t="s">
        <v>781</v>
      </c>
      <c r="C761" s="494" t="s">
        <v>778</v>
      </c>
      <c r="D761" s="494" t="s">
        <v>779</v>
      </c>
      <c r="E761" s="499" t="s">
        <v>723</v>
      </c>
      <c r="F761" s="426" t="e">
        <f>LUONGNGAY!$K$34</f>
        <v>#VALUE!</v>
      </c>
      <c r="G761" s="494">
        <v>8.0000000000000002E-3</v>
      </c>
      <c r="H761" s="466" t="e">
        <f t="shared" si="13"/>
        <v>#VALUE!</v>
      </c>
    </row>
    <row r="762" spans="1:8" ht="36.75" customHeight="1">
      <c r="A762" s="494" t="s">
        <v>720</v>
      </c>
      <c r="B762" s="495" t="s">
        <v>861</v>
      </c>
      <c r="C762" s="494" t="s">
        <v>778</v>
      </c>
      <c r="D762" s="494" t="s">
        <v>779</v>
      </c>
      <c r="E762" s="499" t="s">
        <v>723</v>
      </c>
      <c r="F762" s="426" t="e">
        <f>LUONGNGAY!$K$34</f>
        <v>#VALUE!</v>
      </c>
      <c r="G762" s="494">
        <v>4.0000000000000001E-3</v>
      </c>
      <c r="H762" s="466" t="e">
        <f t="shared" si="13"/>
        <v>#VALUE!</v>
      </c>
    </row>
    <row r="763" spans="1:8" ht="21" customHeight="1">
      <c r="A763" s="494" t="s">
        <v>721</v>
      </c>
      <c r="B763" s="495" t="s">
        <v>863</v>
      </c>
      <c r="C763" s="494" t="s">
        <v>481</v>
      </c>
      <c r="D763" s="494" t="s">
        <v>779</v>
      </c>
      <c r="E763" s="499" t="s">
        <v>723</v>
      </c>
      <c r="F763" s="426" t="e">
        <f>LUONGNGAY!$K$34</f>
        <v>#VALUE!</v>
      </c>
      <c r="G763" s="494">
        <v>0.01</v>
      </c>
      <c r="H763" s="466" t="e">
        <f t="shared" si="13"/>
        <v>#VALUE!</v>
      </c>
    </row>
    <row r="764" spans="1:8" ht="37.5" customHeight="1">
      <c r="A764" s="494">
        <v>12</v>
      </c>
      <c r="B764" s="495" t="s">
        <v>108</v>
      </c>
      <c r="C764" s="494" t="s">
        <v>261</v>
      </c>
      <c r="D764" s="494" t="s">
        <v>847</v>
      </c>
      <c r="E764" s="499" t="s">
        <v>723</v>
      </c>
      <c r="F764" s="506" t="e">
        <f>LUONGNGAY!$K$35</f>
        <v>#VALUE!</v>
      </c>
      <c r="G764" s="494">
        <v>6.5000000000000002E-2</v>
      </c>
      <c r="H764" s="466" t="e">
        <f t="shared" si="13"/>
        <v>#VALUE!</v>
      </c>
    </row>
    <row r="765" spans="1:8" ht="37.5" customHeight="1">
      <c r="A765" s="494">
        <v>13</v>
      </c>
      <c r="B765" s="495" t="s">
        <v>109</v>
      </c>
      <c r="C765" s="494" t="s">
        <v>261</v>
      </c>
      <c r="D765" s="494" t="s">
        <v>847</v>
      </c>
      <c r="E765" s="499" t="s">
        <v>723</v>
      </c>
      <c r="F765" s="506" t="e">
        <f>LUONGNGAY!$K$35</f>
        <v>#VALUE!</v>
      </c>
      <c r="G765" s="494">
        <v>6.5000000000000002E-2</v>
      </c>
      <c r="H765" s="466" t="e">
        <f t="shared" si="13"/>
        <v>#VALUE!</v>
      </c>
    </row>
    <row r="766" spans="1:8" ht="21" customHeight="1">
      <c r="A766" s="500" t="s">
        <v>1005</v>
      </c>
      <c r="B766" s="493" t="s">
        <v>460</v>
      </c>
      <c r="C766" s="494"/>
      <c r="D766" s="494"/>
      <c r="E766" s="494"/>
      <c r="F766" s="494"/>
      <c r="G766" s="494"/>
      <c r="H766" s="466">
        <f t="shared" si="13"/>
        <v>0</v>
      </c>
    </row>
    <row r="767" spans="1:8" ht="21" customHeight="1">
      <c r="A767" s="494">
        <v>1</v>
      </c>
      <c r="B767" s="495" t="s">
        <v>367</v>
      </c>
      <c r="C767" s="494" t="s">
        <v>261</v>
      </c>
      <c r="D767" s="494" t="s">
        <v>847</v>
      </c>
      <c r="E767" s="499" t="s">
        <v>723</v>
      </c>
      <c r="F767" s="506" t="e">
        <f>LUONGNGAY!$K$35</f>
        <v>#VALUE!</v>
      </c>
      <c r="G767" s="494">
        <v>2.5999999999999999E-2</v>
      </c>
      <c r="H767" s="466" t="e">
        <f t="shared" si="13"/>
        <v>#VALUE!</v>
      </c>
    </row>
    <row r="768" spans="1:8">
      <c r="A768" s="462"/>
      <c r="B768" s="445"/>
      <c r="C768" s="439"/>
      <c r="D768" s="439"/>
      <c r="E768" s="462"/>
      <c r="F768" s="440"/>
      <c r="G768" s="464"/>
      <c r="H768" s="442"/>
    </row>
    <row r="769" spans="1:8" ht="24.6" customHeight="1">
      <c r="A769" s="1151" t="s">
        <v>745</v>
      </c>
      <c r="B769" s="1151"/>
      <c r="C769" s="1151"/>
      <c r="D769" s="1151"/>
      <c r="E769" s="1151"/>
      <c r="F769" s="1151"/>
      <c r="G769" s="1151"/>
      <c r="H769" s="1151"/>
    </row>
    <row r="770" spans="1:8" ht="11.45" customHeight="1">
      <c r="A770" s="414"/>
      <c r="B770" s="415"/>
      <c r="E770" s="417"/>
      <c r="F770" s="418"/>
      <c r="G770" s="417"/>
      <c r="H770" s="419"/>
    </row>
    <row r="771" spans="1:8" ht="42.6" customHeight="1">
      <c r="A771" s="422" t="s">
        <v>979</v>
      </c>
      <c r="B771" s="422" t="s">
        <v>198</v>
      </c>
      <c r="C771" s="423" t="s">
        <v>479</v>
      </c>
      <c r="D771" s="423" t="s">
        <v>478</v>
      </c>
      <c r="E771" s="423" t="s">
        <v>199</v>
      </c>
      <c r="F771" s="424" t="s">
        <v>483</v>
      </c>
      <c r="G771" s="423" t="s">
        <v>482</v>
      </c>
      <c r="H771" s="423" t="s">
        <v>200</v>
      </c>
    </row>
    <row r="772" spans="1:8" ht="24.75" customHeight="1">
      <c r="A772" s="500" t="s">
        <v>1000</v>
      </c>
      <c r="B772" s="493" t="s">
        <v>339</v>
      </c>
      <c r="C772" s="494"/>
      <c r="D772" s="494"/>
      <c r="E772" s="494"/>
      <c r="F772" s="494"/>
      <c r="G772" s="494"/>
      <c r="H772" s="494"/>
    </row>
    <row r="773" spans="1:8" ht="24.75" customHeight="1">
      <c r="A773" s="494">
        <v>1</v>
      </c>
      <c r="B773" s="495" t="s">
        <v>368</v>
      </c>
      <c r="C773" s="494"/>
      <c r="D773" s="494"/>
      <c r="E773" s="494"/>
      <c r="F773" s="494"/>
      <c r="G773" s="494"/>
      <c r="H773" s="494"/>
    </row>
    <row r="774" spans="1:8" ht="24.75" customHeight="1">
      <c r="A774" s="494" t="s">
        <v>733</v>
      </c>
      <c r="B774" s="495" t="s">
        <v>846</v>
      </c>
      <c r="C774" s="494" t="s">
        <v>261</v>
      </c>
      <c r="D774" s="494" t="s">
        <v>847</v>
      </c>
      <c r="E774" s="499" t="s">
        <v>723</v>
      </c>
      <c r="F774" s="506" t="e">
        <f>LUONGNGAY!$K$35</f>
        <v>#VALUE!</v>
      </c>
      <c r="G774" s="494">
        <v>0.25</v>
      </c>
      <c r="H774" s="466" t="e">
        <f>F774*G774</f>
        <v>#VALUE!</v>
      </c>
    </row>
    <row r="775" spans="1:8" ht="24.75" customHeight="1">
      <c r="A775" s="494" t="s">
        <v>741</v>
      </c>
      <c r="B775" s="495" t="s">
        <v>849</v>
      </c>
      <c r="C775" s="494" t="s">
        <v>261</v>
      </c>
      <c r="D775" s="494" t="s">
        <v>847</v>
      </c>
      <c r="E775" s="499" t="s">
        <v>723</v>
      </c>
      <c r="F775" s="506" t="e">
        <f>LUONGNGAY!$K$35</f>
        <v>#VALUE!</v>
      </c>
      <c r="G775" s="494">
        <v>0.2</v>
      </c>
      <c r="H775" s="466" t="e">
        <f t="shared" ref="H775:H800" si="14">F775*G775</f>
        <v>#VALUE!</v>
      </c>
    </row>
    <row r="776" spans="1:8" ht="30.75" customHeight="1">
      <c r="A776" s="494">
        <v>2</v>
      </c>
      <c r="B776" s="495" t="s">
        <v>797</v>
      </c>
      <c r="C776" s="494" t="s">
        <v>261</v>
      </c>
      <c r="D776" s="494" t="s">
        <v>847</v>
      </c>
      <c r="E776" s="499" t="s">
        <v>723</v>
      </c>
      <c r="F776" s="506" t="e">
        <f>LUONGNGAY!$K$35</f>
        <v>#VALUE!</v>
      </c>
      <c r="G776" s="494">
        <v>0.2</v>
      </c>
      <c r="H776" s="466" t="e">
        <f t="shared" si="14"/>
        <v>#VALUE!</v>
      </c>
    </row>
    <row r="777" spans="1:8" ht="30.75" customHeight="1">
      <c r="A777" s="494">
        <v>3</v>
      </c>
      <c r="B777" s="495" t="s">
        <v>369</v>
      </c>
      <c r="C777" s="494" t="s">
        <v>481</v>
      </c>
      <c r="D777" s="494" t="s">
        <v>842</v>
      </c>
      <c r="E777" s="499" t="s">
        <v>723</v>
      </c>
      <c r="F777" s="506" t="e">
        <f>LUONGNGAY!$K$36</f>
        <v>#VALUE!</v>
      </c>
      <c r="G777" s="494">
        <v>0.107</v>
      </c>
      <c r="H777" s="466" t="e">
        <f t="shared" si="14"/>
        <v>#VALUE!</v>
      </c>
    </row>
    <row r="778" spans="1:8" ht="30.75" customHeight="1">
      <c r="A778" s="494">
        <v>4</v>
      </c>
      <c r="B778" s="495" t="s">
        <v>370</v>
      </c>
      <c r="C778" s="494" t="s">
        <v>261</v>
      </c>
      <c r="D778" s="494" t="s">
        <v>342</v>
      </c>
      <c r="E778" s="499" t="s">
        <v>723</v>
      </c>
      <c r="F778" s="463" t="e">
        <f>LUONGNGAY!$K$37</f>
        <v>#VALUE!</v>
      </c>
      <c r="G778" s="494">
        <v>1</v>
      </c>
      <c r="H778" s="466" t="e">
        <f t="shared" si="14"/>
        <v>#VALUE!</v>
      </c>
    </row>
    <row r="779" spans="1:8" ht="30.75" customHeight="1">
      <c r="A779" s="494">
        <v>5</v>
      </c>
      <c r="B779" s="495" t="s">
        <v>371</v>
      </c>
      <c r="C779" s="494" t="s">
        <v>481</v>
      </c>
      <c r="D779" s="494" t="s">
        <v>842</v>
      </c>
      <c r="E779" s="499" t="s">
        <v>723</v>
      </c>
      <c r="F779" s="506" t="e">
        <f>LUONGNGAY!$K$36</f>
        <v>#VALUE!</v>
      </c>
      <c r="G779" s="494">
        <v>6.0000000000000001E-3</v>
      </c>
      <c r="H779" s="466" t="e">
        <f t="shared" si="14"/>
        <v>#VALUE!</v>
      </c>
    </row>
    <row r="780" spans="1:8" ht="37.5" customHeight="1">
      <c r="A780" s="494">
        <v>6</v>
      </c>
      <c r="B780" s="495" t="s">
        <v>802</v>
      </c>
      <c r="C780" s="494"/>
      <c r="D780" s="494"/>
      <c r="E780" s="494"/>
      <c r="G780" s="494"/>
      <c r="H780" s="466">
        <f t="shared" si="14"/>
        <v>0</v>
      </c>
    </row>
    <row r="781" spans="1:8" ht="22.5" customHeight="1">
      <c r="A781" s="494" t="s">
        <v>661</v>
      </c>
      <c r="B781" s="495" t="s">
        <v>587</v>
      </c>
      <c r="C781" s="494" t="s">
        <v>261</v>
      </c>
      <c r="D781" s="494" t="s">
        <v>847</v>
      </c>
      <c r="E781" s="499" t="s">
        <v>723</v>
      </c>
      <c r="F781" s="506" t="e">
        <f>LUONGNGAY!$K$35</f>
        <v>#VALUE!</v>
      </c>
      <c r="G781" s="494">
        <v>0.05</v>
      </c>
      <c r="H781" s="466" t="e">
        <f t="shared" si="14"/>
        <v>#VALUE!</v>
      </c>
    </row>
    <row r="782" spans="1:8" ht="22.5" customHeight="1">
      <c r="A782" s="494" t="s">
        <v>662</v>
      </c>
      <c r="B782" s="495" t="s">
        <v>588</v>
      </c>
      <c r="C782" s="494" t="s">
        <v>261</v>
      </c>
      <c r="D782" s="494" t="s">
        <v>847</v>
      </c>
      <c r="E782" s="499" t="s">
        <v>723</v>
      </c>
      <c r="F782" s="506" t="e">
        <f>LUONGNGAY!$K$35</f>
        <v>#VALUE!</v>
      </c>
      <c r="G782" s="494">
        <v>0.1</v>
      </c>
      <c r="H782" s="466" t="e">
        <f t="shared" si="14"/>
        <v>#VALUE!</v>
      </c>
    </row>
    <row r="783" spans="1:8" ht="22.5" customHeight="1">
      <c r="A783" s="494">
        <v>7</v>
      </c>
      <c r="B783" s="495" t="s">
        <v>362</v>
      </c>
      <c r="C783" s="494" t="s">
        <v>481</v>
      </c>
      <c r="D783" s="494" t="s">
        <v>842</v>
      </c>
      <c r="E783" s="499" t="s">
        <v>723</v>
      </c>
      <c r="F783" s="506" t="e">
        <f>LUONGNGAY!$K$36</f>
        <v>#VALUE!</v>
      </c>
      <c r="G783" s="494">
        <v>0.107</v>
      </c>
      <c r="H783" s="466" t="e">
        <f t="shared" si="14"/>
        <v>#VALUE!</v>
      </c>
    </row>
    <row r="784" spans="1:8" ht="22.5" customHeight="1">
      <c r="A784" s="494">
        <v>8</v>
      </c>
      <c r="B784" s="495" t="s">
        <v>80</v>
      </c>
      <c r="C784" s="494"/>
      <c r="D784" s="494"/>
      <c r="E784" s="494"/>
      <c r="G784" s="494"/>
      <c r="H784" s="466">
        <f t="shared" si="14"/>
        <v>0</v>
      </c>
    </row>
    <row r="785" spans="1:8" ht="22.5" customHeight="1">
      <c r="A785" s="494" t="s">
        <v>191</v>
      </c>
      <c r="B785" s="495" t="s">
        <v>82</v>
      </c>
      <c r="C785" s="494" t="s">
        <v>559</v>
      </c>
      <c r="D785" s="494" t="s">
        <v>847</v>
      </c>
      <c r="E785" s="499" t="s">
        <v>723</v>
      </c>
      <c r="F785" s="506" t="e">
        <f>LUONGNGAY!$K$35</f>
        <v>#VALUE!</v>
      </c>
      <c r="G785" s="494">
        <v>0.1</v>
      </c>
      <c r="H785" s="466" t="e">
        <f t="shared" si="14"/>
        <v>#VALUE!</v>
      </c>
    </row>
    <row r="786" spans="1:8" ht="22.5" customHeight="1">
      <c r="A786" s="494" t="s">
        <v>192</v>
      </c>
      <c r="B786" s="495" t="s">
        <v>84</v>
      </c>
      <c r="C786" s="494" t="s">
        <v>559</v>
      </c>
      <c r="D786" s="494" t="s">
        <v>847</v>
      </c>
      <c r="E786" s="499" t="s">
        <v>723</v>
      </c>
      <c r="F786" s="506" t="e">
        <f>LUONGNGAY!$K$35</f>
        <v>#VALUE!</v>
      </c>
      <c r="G786" s="494">
        <v>0.15</v>
      </c>
      <c r="H786" s="466" t="e">
        <f t="shared" si="14"/>
        <v>#VALUE!</v>
      </c>
    </row>
    <row r="787" spans="1:8" ht="37.5" customHeight="1">
      <c r="A787" s="494">
        <v>9</v>
      </c>
      <c r="B787" s="495" t="s">
        <v>372</v>
      </c>
      <c r="C787" s="494" t="s">
        <v>261</v>
      </c>
      <c r="D787" s="494" t="s">
        <v>842</v>
      </c>
      <c r="E787" s="499" t="s">
        <v>723</v>
      </c>
      <c r="F787" s="506" t="e">
        <f>LUONGNGAY!$K$36</f>
        <v>#VALUE!</v>
      </c>
      <c r="G787" s="494">
        <v>0.5</v>
      </c>
      <c r="H787" s="466" t="e">
        <f t="shared" si="14"/>
        <v>#VALUE!</v>
      </c>
    </row>
    <row r="788" spans="1:8" ht="37.5" customHeight="1">
      <c r="A788" s="494">
        <v>10</v>
      </c>
      <c r="B788" s="495" t="s">
        <v>699</v>
      </c>
      <c r="C788" s="494" t="s">
        <v>261</v>
      </c>
      <c r="D788" s="494" t="s">
        <v>842</v>
      </c>
      <c r="E788" s="499" t="s">
        <v>723</v>
      </c>
      <c r="F788" s="506" t="e">
        <f>LUONGNGAY!$K$36</f>
        <v>#VALUE!</v>
      </c>
      <c r="G788" s="494">
        <v>0.47</v>
      </c>
      <c r="H788" s="466" t="e">
        <f t="shared" si="14"/>
        <v>#VALUE!</v>
      </c>
    </row>
    <row r="789" spans="1:8" ht="30.75" customHeight="1">
      <c r="A789" s="494">
        <v>11</v>
      </c>
      <c r="B789" s="495" t="s">
        <v>88</v>
      </c>
      <c r="C789" s="494"/>
      <c r="D789" s="494"/>
      <c r="E789" s="494"/>
      <c r="F789" s="494"/>
      <c r="G789" s="494"/>
      <c r="H789" s="466"/>
    </row>
    <row r="790" spans="1:8" ht="30.75" customHeight="1">
      <c r="A790" s="494" t="s">
        <v>719</v>
      </c>
      <c r="B790" s="495" t="s">
        <v>775</v>
      </c>
      <c r="C790" s="494"/>
      <c r="D790" s="494"/>
      <c r="E790" s="494"/>
      <c r="F790" s="494"/>
      <c r="G790" s="494"/>
      <c r="H790" s="466"/>
    </row>
    <row r="791" spans="1:8" ht="30.75" customHeight="1">
      <c r="A791" s="494" t="s">
        <v>365</v>
      </c>
      <c r="B791" s="495" t="s">
        <v>777</v>
      </c>
      <c r="C791" s="494" t="s">
        <v>778</v>
      </c>
      <c r="D791" s="494" t="s">
        <v>779</v>
      </c>
      <c r="E791" s="499" t="s">
        <v>723</v>
      </c>
      <c r="F791" s="426" t="e">
        <f>LUONGNGAY!$K$34</f>
        <v>#VALUE!</v>
      </c>
      <c r="G791" s="494">
        <v>1.6E-2</v>
      </c>
      <c r="H791" s="466" t="e">
        <f t="shared" si="14"/>
        <v>#VALUE!</v>
      </c>
    </row>
    <row r="792" spans="1:8" ht="30.75" customHeight="1">
      <c r="A792" s="494" t="s">
        <v>366</v>
      </c>
      <c r="B792" s="495" t="s">
        <v>781</v>
      </c>
      <c r="C792" s="494" t="s">
        <v>778</v>
      </c>
      <c r="D792" s="494" t="s">
        <v>779</v>
      </c>
      <c r="E792" s="499" t="s">
        <v>723</v>
      </c>
      <c r="F792" s="426" t="e">
        <f>LUONGNGAY!$K$34</f>
        <v>#VALUE!</v>
      </c>
      <c r="G792" s="494">
        <v>8.0000000000000002E-3</v>
      </c>
      <c r="H792" s="466" t="e">
        <f t="shared" si="14"/>
        <v>#VALUE!</v>
      </c>
    </row>
    <row r="793" spans="1:8" ht="30.75" customHeight="1">
      <c r="A793" s="494" t="s">
        <v>720</v>
      </c>
      <c r="B793" s="495" t="s">
        <v>861</v>
      </c>
      <c r="C793" s="494" t="s">
        <v>778</v>
      </c>
      <c r="D793" s="494" t="s">
        <v>779</v>
      </c>
      <c r="E793" s="499" t="s">
        <v>723</v>
      </c>
      <c r="F793" s="426" t="e">
        <f>LUONGNGAY!$K$34</f>
        <v>#VALUE!</v>
      </c>
      <c r="G793" s="494">
        <v>4.0000000000000001E-3</v>
      </c>
      <c r="H793" s="466" t="e">
        <f t="shared" si="14"/>
        <v>#VALUE!</v>
      </c>
    </row>
    <row r="794" spans="1:8" ht="30.75" customHeight="1">
      <c r="A794" s="494" t="s">
        <v>721</v>
      </c>
      <c r="B794" s="495" t="s">
        <v>863</v>
      </c>
      <c r="C794" s="494" t="s">
        <v>481</v>
      </c>
      <c r="D794" s="494" t="s">
        <v>779</v>
      </c>
      <c r="E794" s="499" t="s">
        <v>723</v>
      </c>
      <c r="F794" s="426" t="e">
        <f>LUONGNGAY!$K$34</f>
        <v>#VALUE!</v>
      </c>
      <c r="G794" s="494">
        <v>0.01</v>
      </c>
      <c r="H794" s="466" t="e">
        <f t="shared" si="14"/>
        <v>#VALUE!</v>
      </c>
    </row>
    <row r="795" spans="1:8" ht="51" customHeight="1">
      <c r="A795" s="494">
        <v>12</v>
      </c>
      <c r="B795" s="495" t="s">
        <v>108</v>
      </c>
      <c r="C795" s="494" t="s">
        <v>261</v>
      </c>
      <c r="D795" s="494" t="s">
        <v>847</v>
      </c>
      <c r="E795" s="499" t="s">
        <v>723</v>
      </c>
      <c r="F795" s="506" t="e">
        <f>LUONGNGAY!$K$35</f>
        <v>#VALUE!</v>
      </c>
      <c r="G795" s="494">
        <v>0.05</v>
      </c>
      <c r="H795" s="466" t="e">
        <f t="shared" si="14"/>
        <v>#VALUE!</v>
      </c>
    </row>
    <row r="796" spans="1:8" ht="30.75" customHeight="1">
      <c r="A796" s="494">
        <v>13</v>
      </c>
      <c r="B796" s="495" t="s">
        <v>109</v>
      </c>
      <c r="C796" s="494" t="s">
        <v>261</v>
      </c>
      <c r="D796" s="494" t="s">
        <v>847</v>
      </c>
      <c r="E796" s="499" t="s">
        <v>723</v>
      </c>
      <c r="F796" s="506" t="e">
        <f>LUONGNGAY!$K$35</f>
        <v>#VALUE!</v>
      </c>
      <c r="G796" s="494">
        <v>0.05</v>
      </c>
      <c r="H796" s="466" t="e">
        <f t="shared" si="14"/>
        <v>#VALUE!</v>
      </c>
    </row>
    <row r="797" spans="1:8" ht="30.75" customHeight="1">
      <c r="A797" s="500" t="s">
        <v>1005</v>
      </c>
      <c r="B797" s="493" t="s">
        <v>582</v>
      </c>
      <c r="C797" s="494"/>
      <c r="D797" s="494"/>
      <c r="E797" s="494"/>
      <c r="G797" s="494"/>
      <c r="H797" s="466">
        <f t="shared" si="14"/>
        <v>0</v>
      </c>
    </row>
    <row r="798" spans="1:8" ht="30.75" customHeight="1">
      <c r="A798" s="494">
        <v>1</v>
      </c>
      <c r="B798" s="495" t="s">
        <v>626</v>
      </c>
      <c r="C798" s="494" t="s">
        <v>261</v>
      </c>
      <c r="D798" s="494" t="s">
        <v>847</v>
      </c>
      <c r="E798" s="499" t="s">
        <v>723</v>
      </c>
      <c r="F798" s="506" t="e">
        <f>LUONGNGAY!$K$35</f>
        <v>#VALUE!</v>
      </c>
      <c r="G798" s="494">
        <v>0.02</v>
      </c>
      <c r="H798" s="466" t="e">
        <f t="shared" si="14"/>
        <v>#VALUE!</v>
      </c>
    </row>
    <row r="799" spans="1:8" ht="30.75" customHeight="1">
      <c r="A799" s="500" t="s">
        <v>755</v>
      </c>
      <c r="B799" s="493" t="s">
        <v>460</v>
      </c>
      <c r="C799" s="494"/>
      <c r="D799" s="494"/>
      <c r="E799" s="494"/>
      <c r="G799" s="494"/>
      <c r="H799" s="466">
        <f t="shared" si="14"/>
        <v>0</v>
      </c>
    </row>
    <row r="800" spans="1:8" ht="30.75" customHeight="1">
      <c r="A800" s="494">
        <v>1</v>
      </c>
      <c r="B800" s="495" t="s">
        <v>627</v>
      </c>
      <c r="C800" s="494" t="s">
        <v>261</v>
      </c>
      <c r="D800" s="494" t="s">
        <v>847</v>
      </c>
      <c r="E800" s="499" t="s">
        <v>723</v>
      </c>
      <c r="F800" s="506" t="e">
        <f>LUONGNGAY!$K$35</f>
        <v>#VALUE!</v>
      </c>
      <c r="G800" s="494">
        <v>0.02</v>
      </c>
      <c r="H800" s="466" t="e">
        <f t="shared" si="14"/>
        <v>#VALUE!</v>
      </c>
    </row>
    <row r="801" spans="1:8" ht="15" customHeight="1">
      <c r="A801" s="470"/>
      <c r="B801" s="471"/>
      <c r="C801" s="472"/>
      <c r="D801" s="472"/>
      <c r="E801" s="470"/>
      <c r="F801" s="473"/>
      <c r="G801" s="474"/>
      <c r="H801" s="475"/>
    </row>
    <row r="802" spans="1:8" ht="15" customHeight="1">
      <c r="A802" s="462"/>
      <c r="B802" s="445"/>
      <c r="C802" s="439"/>
      <c r="D802" s="439"/>
      <c r="E802" s="462"/>
      <c r="F802" s="440"/>
      <c r="G802" s="451"/>
      <c r="H802" s="442"/>
    </row>
    <row r="803" spans="1:8" ht="27.75" customHeight="1">
      <c r="A803" s="1151" t="s">
        <v>133</v>
      </c>
      <c r="B803" s="1151"/>
      <c r="C803" s="1151"/>
      <c r="D803" s="1151"/>
      <c r="E803" s="1151"/>
      <c r="F803" s="1151"/>
      <c r="G803" s="1151"/>
      <c r="H803" s="1151"/>
    </row>
    <row r="804" spans="1:8" ht="10.15" customHeight="1">
      <c r="A804" s="414"/>
      <c r="B804" s="415"/>
      <c r="E804" s="417"/>
      <c r="F804" s="418"/>
      <c r="G804" s="417"/>
      <c r="H804" s="419"/>
    </row>
    <row r="805" spans="1:8" ht="41.45" customHeight="1">
      <c r="A805" s="422" t="s">
        <v>979</v>
      </c>
      <c r="B805" s="422" t="s">
        <v>198</v>
      </c>
      <c r="C805" s="423" t="s">
        <v>479</v>
      </c>
      <c r="D805" s="423" t="s">
        <v>478</v>
      </c>
      <c r="E805" s="423" t="s">
        <v>199</v>
      </c>
      <c r="F805" s="424" t="s">
        <v>483</v>
      </c>
      <c r="G805" s="423" t="s">
        <v>482</v>
      </c>
      <c r="H805" s="423" t="s">
        <v>200</v>
      </c>
    </row>
    <row r="806" spans="1:8" ht="41.45" customHeight="1">
      <c r="A806" s="500" t="s">
        <v>1000</v>
      </c>
      <c r="B806" s="493" t="s">
        <v>339</v>
      </c>
      <c r="C806" s="494"/>
      <c r="D806" s="494"/>
      <c r="E806" s="494"/>
      <c r="F806" s="494"/>
      <c r="G806" s="494"/>
      <c r="H806" s="494"/>
    </row>
    <row r="807" spans="1:8" ht="41.45" customHeight="1">
      <c r="A807" s="494">
        <v>1</v>
      </c>
      <c r="B807" s="495" t="s">
        <v>368</v>
      </c>
      <c r="C807" s="494"/>
      <c r="D807" s="494"/>
      <c r="E807" s="494"/>
      <c r="F807" s="494"/>
      <c r="G807" s="494"/>
      <c r="H807" s="494"/>
    </row>
    <row r="808" spans="1:8" ht="41.45" customHeight="1">
      <c r="A808" s="494" t="s">
        <v>733</v>
      </c>
      <c r="B808" s="495" t="s">
        <v>846</v>
      </c>
      <c r="C808" s="494" t="s">
        <v>261</v>
      </c>
      <c r="D808" s="494" t="s">
        <v>847</v>
      </c>
      <c r="E808" s="499" t="s">
        <v>723</v>
      </c>
      <c r="F808" s="506" t="e">
        <f>LUONGNGAY!$K$35</f>
        <v>#VALUE!</v>
      </c>
      <c r="G808" s="494">
        <v>0.25</v>
      </c>
      <c r="H808" s="466" t="e">
        <f>F808*G808</f>
        <v>#VALUE!</v>
      </c>
    </row>
    <row r="809" spans="1:8" ht="41.45" customHeight="1">
      <c r="A809" s="494" t="s">
        <v>741</v>
      </c>
      <c r="B809" s="495" t="s">
        <v>849</v>
      </c>
      <c r="C809" s="494" t="s">
        <v>261</v>
      </c>
      <c r="D809" s="494" t="s">
        <v>847</v>
      </c>
      <c r="E809" s="499" t="s">
        <v>723</v>
      </c>
      <c r="F809" s="506" t="e">
        <f>LUONGNGAY!$K$35</f>
        <v>#VALUE!</v>
      </c>
      <c r="G809" s="494">
        <v>0.2</v>
      </c>
      <c r="H809" s="466" t="e">
        <f t="shared" ref="H809:H834" si="15">F809*G809</f>
        <v>#VALUE!</v>
      </c>
    </row>
    <row r="810" spans="1:8" ht="41.45" customHeight="1">
      <c r="A810" s="494">
        <v>2</v>
      </c>
      <c r="B810" s="495" t="s">
        <v>797</v>
      </c>
      <c r="C810" s="494" t="s">
        <v>261</v>
      </c>
      <c r="D810" s="494" t="s">
        <v>847</v>
      </c>
      <c r="E810" s="499" t="s">
        <v>723</v>
      </c>
      <c r="F810" s="506" t="e">
        <f>LUONGNGAY!$K$35</f>
        <v>#VALUE!</v>
      </c>
      <c r="G810" s="494">
        <v>0.2</v>
      </c>
      <c r="H810" s="466" t="e">
        <f t="shared" si="15"/>
        <v>#VALUE!</v>
      </c>
    </row>
    <row r="811" spans="1:8" ht="41.45" customHeight="1">
      <c r="A811" s="494">
        <v>3</v>
      </c>
      <c r="B811" s="495" t="s">
        <v>369</v>
      </c>
      <c r="C811" s="494" t="s">
        <v>481</v>
      </c>
      <c r="D811" s="494" t="s">
        <v>842</v>
      </c>
      <c r="E811" s="499" t="s">
        <v>723</v>
      </c>
      <c r="F811" s="506" t="e">
        <f>LUONGNGAY!$K$36</f>
        <v>#VALUE!</v>
      </c>
      <c r="G811" s="494">
        <v>3.3000000000000002E-2</v>
      </c>
      <c r="H811" s="466" t="e">
        <f t="shared" si="15"/>
        <v>#VALUE!</v>
      </c>
    </row>
    <row r="812" spans="1:8" ht="41.45" customHeight="1">
      <c r="A812" s="494">
        <v>4</v>
      </c>
      <c r="B812" s="495" t="s">
        <v>370</v>
      </c>
      <c r="C812" s="494" t="s">
        <v>261</v>
      </c>
      <c r="D812" s="494" t="s">
        <v>342</v>
      </c>
      <c r="E812" s="499" t="s">
        <v>723</v>
      </c>
      <c r="F812" s="463" t="e">
        <f>LUONGNGAY!$K$37</f>
        <v>#VALUE!</v>
      </c>
      <c r="G812" s="494">
        <v>1</v>
      </c>
      <c r="H812" s="466" t="e">
        <f t="shared" si="15"/>
        <v>#VALUE!</v>
      </c>
    </row>
    <row r="813" spans="1:8" ht="41.45" customHeight="1">
      <c r="A813" s="494">
        <v>5</v>
      </c>
      <c r="B813" s="495" t="s">
        <v>371</v>
      </c>
      <c r="C813" s="494" t="s">
        <v>481</v>
      </c>
      <c r="D813" s="494" t="s">
        <v>842</v>
      </c>
      <c r="E813" s="499" t="s">
        <v>723</v>
      </c>
      <c r="F813" s="506" t="e">
        <f>LUONGNGAY!$K$36</f>
        <v>#VALUE!</v>
      </c>
      <c r="G813" s="494">
        <v>6.0000000000000001E-3</v>
      </c>
      <c r="H813" s="466" t="e">
        <f t="shared" si="15"/>
        <v>#VALUE!</v>
      </c>
    </row>
    <row r="814" spans="1:8" ht="41.45" customHeight="1">
      <c r="A814" s="494">
        <v>6</v>
      </c>
      <c r="B814" s="495" t="s">
        <v>802</v>
      </c>
      <c r="C814" s="494"/>
      <c r="D814" s="494"/>
      <c r="E814" s="494"/>
      <c r="G814" s="494"/>
      <c r="H814" s="466">
        <f t="shared" si="15"/>
        <v>0</v>
      </c>
    </row>
    <row r="815" spans="1:8" ht="41.45" customHeight="1">
      <c r="A815" s="494" t="s">
        <v>661</v>
      </c>
      <c r="B815" s="495" t="s">
        <v>587</v>
      </c>
      <c r="C815" s="494" t="s">
        <v>261</v>
      </c>
      <c r="D815" s="494" t="s">
        <v>847</v>
      </c>
      <c r="E815" s="499" t="s">
        <v>723</v>
      </c>
      <c r="F815" s="506" t="e">
        <f>LUONGNGAY!$K$35</f>
        <v>#VALUE!</v>
      </c>
      <c r="G815" s="494">
        <v>0</v>
      </c>
      <c r="H815" s="466" t="e">
        <f t="shared" si="15"/>
        <v>#VALUE!</v>
      </c>
    </row>
    <row r="816" spans="1:8" ht="41.45" customHeight="1">
      <c r="A816" s="494" t="s">
        <v>662</v>
      </c>
      <c r="B816" s="495" t="s">
        <v>588</v>
      </c>
      <c r="C816" s="494" t="s">
        <v>261</v>
      </c>
      <c r="D816" s="494" t="s">
        <v>847</v>
      </c>
      <c r="E816" s="499" t="s">
        <v>723</v>
      </c>
      <c r="F816" s="506" t="e">
        <f>LUONGNGAY!$K$35</f>
        <v>#VALUE!</v>
      </c>
      <c r="G816" s="494">
        <v>0</v>
      </c>
      <c r="H816" s="466" t="e">
        <f t="shared" si="15"/>
        <v>#VALUE!</v>
      </c>
    </row>
    <row r="817" spans="1:8" ht="41.45" customHeight="1">
      <c r="A817" s="494">
        <v>7</v>
      </c>
      <c r="B817" s="495" t="s">
        <v>362</v>
      </c>
      <c r="C817" s="494" t="s">
        <v>481</v>
      </c>
      <c r="D817" s="494" t="s">
        <v>842</v>
      </c>
      <c r="E817" s="499" t="s">
        <v>723</v>
      </c>
      <c r="F817" s="506" t="e">
        <f>LUONGNGAY!$K$36</f>
        <v>#VALUE!</v>
      </c>
      <c r="G817" s="494">
        <v>3.3000000000000002E-2</v>
      </c>
      <c r="H817" s="466" t="e">
        <f t="shared" si="15"/>
        <v>#VALUE!</v>
      </c>
    </row>
    <row r="818" spans="1:8" ht="41.45" customHeight="1">
      <c r="A818" s="494">
        <v>8</v>
      </c>
      <c r="B818" s="495" t="s">
        <v>80</v>
      </c>
      <c r="C818" s="494"/>
      <c r="D818" s="494"/>
      <c r="E818" s="494"/>
      <c r="G818" s="494"/>
      <c r="H818" s="466">
        <f t="shared" si="15"/>
        <v>0</v>
      </c>
    </row>
    <row r="819" spans="1:8" ht="41.45" customHeight="1">
      <c r="A819" s="494" t="s">
        <v>191</v>
      </c>
      <c r="B819" s="495" t="s">
        <v>82</v>
      </c>
      <c r="C819" s="494" t="s">
        <v>559</v>
      </c>
      <c r="D819" s="494" t="s">
        <v>847</v>
      </c>
      <c r="E819" s="499" t="s">
        <v>723</v>
      </c>
      <c r="F819" s="506" t="e">
        <f>LUONGNGAY!$K$35</f>
        <v>#VALUE!</v>
      </c>
      <c r="G819" s="494">
        <v>0.1</v>
      </c>
      <c r="H819" s="466" t="e">
        <f t="shared" si="15"/>
        <v>#VALUE!</v>
      </c>
    </row>
    <row r="820" spans="1:8" ht="41.45" customHeight="1">
      <c r="A820" s="494" t="s">
        <v>192</v>
      </c>
      <c r="B820" s="495" t="s">
        <v>84</v>
      </c>
      <c r="C820" s="494" t="s">
        <v>559</v>
      </c>
      <c r="D820" s="494" t="s">
        <v>847</v>
      </c>
      <c r="E820" s="499" t="s">
        <v>723</v>
      </c>
      <c r="F820" s="506" t="e">
        <f>LUONGNGAY!$K$35</f>
        <v>#VALUE!</v>
      </c>
      <c r="G820" s="494">
        <v>0.2</v>
      </c>
      <c r="H820" s="466" t="e">
        <f t="shared" si="15"/>
        <v>#VALUE!</v>
      </c>
    </row>
    <row r="821" spans="1:8" ht="41.45" customHeight="1">
      <c r="A821" s="494">
        <v>9</v>
      </c>
      <c r="B821" s="495" t="s">
        <v>372</v>
      </c>
      <c r="C821" s="494" t="s">
        <v>261</v>
      </c>
      <c r="D821" s="494" t="s">
        <v>842</v>
      </c>
      <c r="E821" s="499" t="s">
        <v>723</v>
      </c>
      <c r="F821" s="506" t="e">
        <f>LUONGNGAY!$K$36</f>
        <v>#VALUE!</v>
      </c>
      <c r="G821" s="494">
        <v>0.5</v>
      </c>
      <c r="H821" s="466" t="e">
        <f t="shared" si="15"/>
        <v>#VALUE!</v>
      </c>
    </row>
    <row r="822" spans="1:8" ht="41.45" customHeight="1">
      <c r="A822" s="494">
        <v>10</v>
      </c>
      <c r="B822" s="495" t="s">
        <v>699</v>
      </c>
      <c r="C822" s="494" t="s">
        <v>261</v>
      </c>
      <c r="D822" s="494" t="s">
        <v>842</v>
      </c>
      <c r="E822" s="499" t="s">
        <v>723</v>
      </c>
      <c r="F822" s="506" t="e">
        <f>LUONGNGAY!$K$36</f>
        <v>#VALUE!</v>
      </c>
      <c r="G822" s="494">
        <v>0.47</v>
      </c>
      <c r="H822" s="466" t="e">
        <f t="shared" si="15"/>
        <v>#VALUE!</v>
      </c>
    </row>
    <row r="823" spans="1:8" ht="41.45" customHeight="1">
      <c r="A823" s="494">
        <v>11</v>
      </c>
      <c r="B823" s="495" t="s">
        <v>88</v>
      </c>
      <c r="C823" s="494"/>
      <c r="D823" s="494"/>
      <c r="E823" s="494"/>
      <c r="F823" s="494"/>
      <c r="G823" s="494"/>
      <c r="H823" s="466">
        <f t="shared" si="15"/>
        <v>0</v>
      </c>
    </row>
    <row r="824" spans="1:8" ht="23.45" customHeight="1">
      <c r="A824" s="494" t="s">
        <v>719</v>
      </c>
      <c r="B824" s="495" t="s">
        <v>775</v>
      </c>
      <c r="C824" s="494"/>
      <c r="D824" s="494"/>
      <c r="E824" s="494"/>
      <c r="F824" s="494"/>
      <c r="G824" s="494"/>
      <c r="H824" s="466">
        <f t="shared" si="15"/>
        <v>0</v>
      </c>
    </row>
    <row r="825" spans="1:8" ht="46.15" customHeight="1">
      <c r="A825" s="494" t="s">
        <v>365</v>
      </c>
      <c r="B825" s="495" t="s">
        <v>777</v>
      </c>
      <c r="C825" s="494" t="s">
        <v>778</v>
      </c>
      <c r="D825" s="494" t="s">
        <v>779</v>
      </c>
      <c r="E825" s="499" t="s">
        <v>723</v>
      </c>
      <c r="F825" s="426" t="e">
        <f>LUONGNGAY!$K$34</f>
        <v>#VALUE!</v>
      </c>
      <c r="G825" s="494">
        <v>1.6E-2</v>
      </c>
      <c r="H825" s="466" t="e">
        <f t="shared" si="15"/>
        <v>#VALUE!</v>
      </c>
    </row>
    <row r="826" spans="1:8" ht="76.900000000000006" customHeight="1">
      <c r="A826" s="494" t="s">
        <v>366</v>
      </c>
      <c r="B826" s="495" t="s">
        <v>781</v>
      </c>
      <c r="C826" s="494" t="s">
        <v>778</v>
      </c>
      <c r="D826" s="494" t="s">
        <v>779</v>
      </c>
      <c r="E826" s="499" t="s">
        <v>723</v>
      </c>
      <c r="F826" s="426" t="e">
        <f>LUONGNGAY!$K$34</f>
        <v>#VALUE!</v>
      </c>
      <c r="G826" s="494">
        <v>8.0000000000000002E-3</v>
      </c>
      <c r="H826" s="466" t="e">
        <f t="shared" si="15"/>
        <v>#VALUE!</v>
      </c>
    </row>
    <row r="827" spans="1:8" ht="48.6" customHeight="1">
      <c r="A827" s="494" t="s">
        <v>720</v>
      </c>
      <c r="B827" s="495" t="s">
        <v>861</v>
      </c>
      <c r="C827" s="494" t="s">
        <v>778</v>
      </c>
      <c r="D827" s="494" t="s">
        <v>779</v>
      </c>
      <c r="E827" s="499" t="s">
        <v>723</v>
      </c>
      <c r="F827" s="426" t="e">
        <f>LUONGNGAY!$K$34</f>
        <v>#VALUE!</v>
      </c>
      <c r="G827" s="494">
        <v>4.0000000000000001E-3</v>
      </c>
      <c r="H827" s="466" t="e">
        <f t="shared" si="15"/>
        <v>#VALUE!</v>
      </c>
    </row>
    <row r="828" spans="1:8" ht="20.45" customHeight="1">
      <c r="A828" s="494" t="s">
        <v>721</v>
      </c>
      <c r="B828" s="495" t="s">
        <v>863</v>
      </c>
      <c r="C828" s="494" t="s">
        <v>481</v>
      </c>
      <c r="D828" s="494" t="s">
        <v>779</v>
      </c>
      <c r="E828" s="499" t="s">
        <v>723</v>
      </c>
      <c r="F828" s="426" t="e">
        <f>LUONGNGAY!$K$34</f>
        <v>#VALUE!</v>
      </c>
      <c r="G828" s="494">
        <v>0.01</v>
      </c>
      <c r="H828" s="466" t="e">
        <f t="shared" si="15"/>
        <v>#VALUE!</v>
      </c>
    </row>
    <row r="829" spans="1:8" ht="20.45" customHeight="1">
      <c r="A829" s="494">
        <v>12</v>
      </c>
      <c r="B829" s="495" t="s">
        <v>108</v>
      </c>
      <c r="C829" s="494" t="s">
        <v>261</v>
      </c>
      <c r="D829" s="494" t="s">
        <v>847</v>
      </c>
      <c r="E829" s="499" t="s">
        <v>723</v>
      </c>
      <c r="F829" s="506" t="e">
        <f>LUONGNGAY!$K$35</f>
        <v>#VALUE!</v>
      </c>
      <c r="G829" s="494">
        <v>0.05</v>
      </c>
      <c r="H829" s="466" t="e">
        <f t="shared" si="15"/>
        <v>#VALUE!</v>
      </c>
    </row>
    <row r="830" spans="1:8" ht="34.15" customHeight="1">
      <c r="A830" s="494">
        <v>13</v>
      </c>
      <c r="B830" s="495" t="s">
        <v>109</v>
      </c>
      <c r="C830" s="494" t="s">
        <v>261</v>
      </c>
      <c r="D830" s="494" t="s">
        <v>847</v>
      </c>
      <c r="E830" s="499" t="s">
        <v>723</v>
      </c>
      <c r="F830" s="506" t="e">
        <f>LUONGNGAY!$K$35</f>
        <v>#VALUE!</v>
      </c>
      <c r="G830" s="494">
        <v>0.05</v>
      </c>
      <c r="H830" s="466" t="e">
        <f t="shared" si="15"/>
        <v>#VALUE!</v>
      </c>
    </row>
    <row r="831" spans="1:8" ht="21" customHeight="1">
      <c r="A831" s="500" t="s">
        <v>1005</v>
      </c>
      <c r="B831" s="493" t="s">
        <v>582</v>
      </c>
      <c r="C831" s="494"/>
      <c r="D831" s="494"/>
      <c r="E831" s="494"/>
      <c r="G831" s="494"/>
      <c r="H831" s="466">
        <f t="shared" si="15"/>
        <v>0</v>
      </c>
    </row>
    <row r="832" spans="1:8" ht="21" customHeight="1">
      <c r="A832" s="494">
        <v>1</v>
      </c>
      <c r="B832" s="495" t="s">
        <v>626</v>
      </c>
      <c r="C832" s="494" t="s">
        <v>261</v>
      </c>
      <c r="D832" s="494" t="s">
        <v>847</v>
      </c>
      <c r="E832" s="499" t="s">
        <v>723</v>
      </c>
      <c r="F832" s="506" t="e">
        <f>LUONGNGAY!$K$35</f>
        <v>#VALUE!</v>
      </c>
      <c r="G832" s="494">
        <v>0.02</v>
      </c>
      <c r="H832" s="466" t="e">
        <f t="shared" si="15"/>
        <v>#VALUE!</v>
      </c>
    </row>
    <row r="833" spans="1:8" ht="21" customHeight="1">
      <c r="A833" s="500" t="s">
        <v>755</v>
      </c>
      <c r="B833" s="493" t="s">
        <v>460</v>
      </c>
      <c r="C833" s="494"/>
      <c r="D833" s="494"/>
      <c r="E833" s="494"/>
      <c r="G833" s="494"/>
      <c r="H833" s="466">
        <f t="shared" si="15"/>
        <v>0</v>
      </c>
    </row>
    <row r="834" spans="1:8" ht="21" customHeight="1">
      <c r="A834" s="494">
        <v>1</v>
      </c>
      <c r="B834" s="495" t="s">
        <v>627</v>
      </c>
      <c r="C834" s="494" t="s">
        <v>261</v>
      </c>
      <c r="D834" s="494" t="s">
        <v>847</v>
      </c>
      <c r="E834" s="499" t="s">
        <v>723</v>
      </c>
      <c r="F834" s="506" t="e">
        <f>LUONGNGAY!$K$35</f>
        <v>#VALUE!</v>
      </c>
      <c r="G834" s="494">
        <v>0.02</v>
      </c>
      <c r="H834" s="466" t="e">
        <f t="shared" si="15"/>
        <v>#VALUE!</v>
      </c>
    </row>
    <row r="835" spans="1:8" ht="11.45" customHeight="1">
      <c r="A835" s="470"/>
      <c r="B835" s="471"/>
      <c r="C835" s="472"/>
      <c r="D835" s="472"/>
      <c r="E835" s="470"/>
      <c r="F835" s="473"/>
      <c r="G835" s="474"/>
      <c r="H835" s="475"/>
    </row>
    <row r="836" spans="1:8" ht="30.6" customHeight="1">
      <c r="A836" s="1151" t="s">
        <v>134</v>
      </c>
      <c r="B836" s="1151"/>
      <c r="C836" s="1151"/>
      <c r="D836" s="1151"/>
      <c r="E836" s="1151"/>
      <c r="F836" s="1151"/>
      <c r="G836" s="1151"/>
      <c r="H836" s="1151"/>
    </row>
    <row r="837" spans="1:8" ht="25.5" customHeight="1">
      <c r="A837" s="422" t="s">
        <v>979</v>
      </c>
      <c r="B837" s="422" t="s">
        <v>198</v>
      </c>
      <c r="C837" s="423" t="s">
        <v>479</v>
      </c>
      <c r="D837" s="423" t="s">
        <v>478</v>
      </c>
      <c r="E837" s="423" t="s">
        <v>199</v>
      </c>
      <c r="F837" s="424" t="s">
        <v>483</v>
      </c>
      <c r="G837" s="423" t="s">
        <v>482</v>
      </c>
      <c r="H837" s="423" t="s">
        <v>200</v>
      </c>
    </row>
    <row r="838" spans="1:8" ht="19.5" customHeight="1">
      <c r="A838" s="500" t="s">
        <v>1000</v>
      </c>
      <c r="B838" s="493" t="s">
        <v>339</v>
      </c>
      <c r="C838" s="494"/>
      <c r="D838" s="494"/>
      <c r="E838" s="494"/>
      <c r="F838" s="494"/>
      <c r="G838" s="494"/>
      <c r="H838" s="494"/>
    </row>
    <row r="839" spans="1:8" ht="19.5" customHeight="1">
      <c r="A839" s="494">
        <v>1</v>
      </c>
      <c r="B839" s="495" t="s">
        <v>368</v>
      </c>
      <c r="C839" s="494"/>
      <c r="D839" s="494"/>
      <c r="E839" s="494"/>
      <c r="F839" s="494"/>
      <c r="G839" s="494"/>
      <c r="H839" s="494"/>
    </row>
    <row r="840" spans="1:8" ht="19.5" customHeight="1">
      <c r="A840" s="494" t="s">
        <v>733</v>
      </c>
      <c r="B840" s="495" t="s">
        <v>846</v>
      </c>
      <c r="C840" s="494" t="s">
        <v>261</v>
      </c>
      <c r="D840" s="494" t="s">
        <v>847</v>
      </c>
      <c r="E840" s="499" t="s">
        <v>723</v>
      </c>
      <c r="F840" s="506" t="e">
        <f>LUONGNGAY!$K$35</f>
        <v>#VALUE!</v>
      </c>
      <c r="G840" s="494">
        <v>0.32500000000000001</v>
      </c>
      <c r="H840" s="466" t="e">
        <f>F840*G840</f>
        <v>#VALUE!</v>
      </c>
    </row>
    <row r="841" spans="1:8" ht="19.5" customHeight="1">
      <c r="A841" s="494" t="s">
        <v>741</v>
      </c>
      <c r="B841" s="495" t="s">
        <v>849</v>
      </c>
      <c r="C841" s="494" t="s">
        <v>261</v>
      </c>
      <c r="D841" s="494" t="s">
        <v>847</v>
      </c>
      <c r="E841" s="499" t="s">
        <v>723</v>
      </c>
      <c r="F841" s="506" t="e">
        <f>LUONGNGAY!$K$35</f>
        <v>#VALUE!</v>
      </c>
      <c r="G841" s="494">
        <v>0.26</v>
      </c>
      <c r="H841" s="466" t="e">
        <f t="shared" ref="H841:H866" si="16">F841*G841</f>
        <v>#VALUE!</v>
      </c>
    </row>
    <row r="842" spans="1:8" ht="30.75" customHeight="1">
      <c r="A842" s="494">
        <v>2</v>
      </c>
      <c r="B842" s="495" t="s">
        <v>797</v>
      </c>
      <c r="C842" s="494" t="s">
        <v>261</v>
      </c>
      <c r="D842" s="494" t="s">
        <v>847</v>
      </c>
      <c r="E842" s="499" t="s">
        <v>723</v>
      </c>
      <c r="F842" s="506" t="e">
        <f>LUONGNGAY!$K$35</f>
        <v>#VALUE!</v>
      </c>
      <c r="G842" s="494">
        <v>0.26</v>
      </c>
      <c r="H842" s="466" t="e">
        <f t="shared" si="16"/>
        <v>#VALUE!</v>
      </c>
    </row>
    <row r="843" spans="1:8" ht="30.75" customHeight="1">
      <c r="A843" s="494">
        <v>3</v>
      </c>
      <c r="B843" s="495" t="s">
        <v>369</v>
      </c>
      <c r="C843" s="494" t="s">
        <v>481</v>
      </c>
      <c r="D843" s="494" t="s">
        <v>842</v>
      </c>
      <c r="E843" s="499" t="s">
        <v>723</v>
      </c>
      <c r="F843" s="506" t="e">
        <f>LUONGNGAY!$K$36</f>
        <v>#VALUE!</v>
      </c>
      <c r="G843" s="494">
        <v>0.16700000000000001</v>
      </c>
      <c r="H843" s="466" t="e">
        <f t="shared" si="16"/>
        <v>#VALUE!</v>
      </c>
    </row>
    <row r="844" spans="1:8" ht="30.75" customHeight="1">
      <c r="A844" s="494">
        <v>4</v>
      </c>
      <c r="B844" s="495" t="s">
        <v>370</v>
      </c>
      <c r="C844" s="494" t="s">
        <v>261</v>
      </c>
      <c r="D844" s="494" t="s">
        <v>342</v>
      </c>
      <c r="E844" s="499" t="s">
        <v>723</v>
      </c>
      <c r="F844" s="463" t="e">
        <f>LUONGNGAY!$K$37</f>
        <v>#VALUE!</v>
      </c>
      <c r="G844" s="494">
        <v>1.3</v>
      </c>
      <c r="H844" s="466" t="e">
        <f t="shared" si="16"/>
        <v>#VALUE!</v>
      </c>
    </row>
    <row r="845" spans="1:8" ht="30.75" customHeight="1">
      <c r="A845" s="494">
        <v>5</v>
      </c>
      <c r="B845" s="495" t="s">
        <v>371</v>
      </c>
      <c r="C845" s="494" t="s">
        <v>481</v>
      </c>
      <c r="D845" s="494" t="s">
        <v>842</v>
      </c>
      <c r="E845" s="499" t="s">
        <v>723</v>
      </c>
      <c r="F845" s="506" t="e">
        <f>LUONGNGAY!$K$36</f>
        <v>#VALUE!</v>
      </c>
      <c r="G845" s="494">
        <v>6.0000000000000001E-3</v>
      </c>
      <c r="H845" s="466" t="e">
        <f t="shared" si="16"/>
        <v>#VALUE!</v>
      </c>
    </row>
    <row r="846" spans="1:8" ht="42.75" customHeight="1">
      <c r="A846" s="494">
        <v>6</v>
      </c>
      <c r="B846" s="495" t="s">
        <v>802</v>
      </c>
      <c r="C846" s="494"/>
      <c r="D846" s="494"/>
      <c r="E846" s="494"/>
      <c r="G846" s="494"/>
      <c r="H846" s="466">
        <f t="shared" si="16"/>
        <v>0</v>
      </c>
    </row>
    <row r="847" spans="1:8" ht="19.5" customHeight="1">
      <c r="A847" s="494" t="s">
        <v>661</v>
      </c>
      <c r="B847" s="495" t="s">
        <v>587</v>
      </c>
      <c r="C847" s="494" t="s">
        <v>261</v>
      </c>
      <c r="D847" s="494" t="s">
        <v>847</v>
      </c>
      <c r="E847" s="499" t="s">
        <v>723</v>
      </c>
      <c r="F847" s="506" t="e">
        <f>LUONGNGAY!$K$35</f>
        <v>#VALUE!</v>
      </c>
      <c r="G847" s="494">
        <v>0.05</v>
      </c>
      <c r="H847" s="466" t="e">
        <f t="shared" si="16"/>
        <v>#VALUE!</v>
      </c>
    </row>
    <row r="848" spans="1:8" ht="19.5" customHeight="1">
      <c r="A848" s="494" t="s">
        <v>662</v>
      </c>
      <c r="B848" s="495" t="s">
        <v>588</v>
      </c>
      <c r="C848" s="494" t="s">
        <v>261</v>
      </c>
      <c r="D848" s="494" t="s">
        <v>847</v>
      </c>
      <c r="E848" s="499" t="s">
        <v>723</v>
      </c>
      <c r="F848" s="506" t="e">
        <f>LUONGNGAY!$K$35</f>
        <v>#VALUE!</v>
      </c>
      <c r="G848" s="494">
        <v>0.1</v>
      </c>
      <c r="H848" s="466" t="e">
        <f t="shared" si="16"/>
        <v>#VALUE!</v>
      </c>
    </row>
    <row r="849" spans="1:8" ht="19.5" customHeight="1">
      <c r="A849" s="494">
        <v>7</v>
      </c>
      <c r="B849" s="495" t="s">
        <v>362</v>
      </c>
      <c r="C849" s="494" t="s">
        <v>481</v>
      </c>
      <c r="D849" s="494" t="s">
        <v>842</v>
      </c>
      <c r="E849" s="499" t="s">
        <v>723</v>
      </c>
      <c r="F849" s="506" t="e">
        <f>LUONGNGAY!$K$36</f>
        <v>#VALUE!</v>
      </c>
      <c r="G849" s="494">
        <v>0.16700000000000001</v>
      </c>
      <c r="H849" s="466" t="e">
        <f t="shared" si="16"/>
        <v>#VALUE!</v>
      </c>
    </row>
    <row r="850" spans="1:8" ht="19.5" customHeight="1">
      <c r="A850" s="494">
        <v>8</v>
      </c>
      <c r="B850" s="495" t="s">
        <v>80</v>
      </c>
      <c r="C850" s="494"/>
      <c r="D850" s="494"/>
      <c r="E850" s="494"/>
      <c r="G850" s="494"/>
      <c r="H850" s="466">
        <f t="shared" si="16"/>
        <v>0</v>
      </c>
    </row>
    <row r="851" spans="1:8" ht="19.5" customHeight="1">
      <c r="A851" s="494" t="s">
        <v>191</v>
      </c>
      <c r="B851" s="495" t="s">
        <v>82</v>
      </c>
      <c r="C851" s="494" t="s">
        <v>559</v>
      </c>
      <c r="D851" s="494" t="s">
        <v>847</v>
      </c>
      <c r="E851" s="499" t="s">
        <v>723</v>
      </c>
      <c r="F851" s="506" t="e">
        <f>LUONGNGAY!$K$35</f>
        <v>#VALUE!</v>
      </c>
      <c r="G851" s="494">
        <v>0.1</v>
      </c>
      <c r="H851" s="466" t="e">
        <f t="shared" si="16"/>
        <v>#VALUE!</v>
      </c>
    </row>
    <row r="852" spans="1:8" ht="19.5" customHeight="1">
      <c r="A852" s="494" t="s">
        <v>192</v>
      </c>
      <c r="B852" s="495" t="s">
        <v>84</v>
      </c>
      <c r="C852" s="494" t="s">
        <v>559</v>
      </c>
      <c r="D852" s="494" t="s">
        <v>847</v>
      </c>
      <c r="E852" s="499" t="s">
        <v>723</v>
      </c>
      <c r="F852" s="506" t="e">
        <f>LUONGNGAY!$K$35</f>
        <v>#VALUE!</v>
      </c>
      <c r="G852" s="494">
        <v>0.2</v>
      </c>
      <c r="H852" s="466" t="e">
        <f t="shared" si="16"/>
        <v>#VALUE!</v>
      </c>
    </row>
    <row r="853" spans="1:8" ht="27" customHeight="1">
      <c r="A853" s="494">
        <v>9</v>
      </c>
      <c r="B853" s="495" t="s">
        <v>372</v>
      </c>
      <c r="C853" s="494" t="s">
        <v>261</v>
      </c>
      <c r="D853" s="494" t="s">
        <v>842</v>
      </c>
      <c r="E853" s="499" t="s">
        <v>723</v>
      </c>
      <c r="F853" s="506" t="e">
        <f>LUONGNGAY!$K$36</f>
        <v>#VALUE!</v>
      </c>
      <c r="G853" s="494">
        <v>0.65</v>
      </c>
      <c r="H853" s="466" t="e">
        <f t="shared" si="16"/>
        <v>#VALUE!</v>
      </c>
    </row>
    <row r="854" spans="1:8" ht="40.9" customHeight="1">
      <c r="A854" s="494">
        <v>10</v>
      </c>
      <c r="B854" s="495" t="s">
        <v>699</v>
      </c>
      <c r="C854" s="494" t="s">
        <v>261</v>
      </c>
      <c r="D854" s="494" t="s">
        <v>842</v>
      </c>
      <c r="E854" s="499" t="s">
        <v>723</v>
      </c>
      <c r="F854" s="506" t="e">
        <f>LUONGNGAY!$K$36</f>
        <v>#VALUE!</v>
      </c>
      <c r="G854" s="494">
        <v>0.61099999999999999</v>
      </c>
      <c r="H854" s="466" t="e">
        <f t="shared" si="16"/>
        <v>#VALUE!</v>
      </c>
    </row>
    <row r="855" spans="1:8" ht="23.45" customHeight="1">
      <c r="A855" s="494">
        <v>11</v>
      </c>
      <c r="B855" s="495" t="s">
        <v>88</v>
      </c>
      <c r="C855" s="494"/>
      <c r="D855" s="494"/>
      <c r="E855" s="494"/>
      <c r="F855" s="494"/>
      <c r="G855" s="494"/>
      <c r="H855" s="466">
        <f t="shared" si="16"/>
        <v>0</v>
      </c>
    </row>
    <row r="856" spans="1:8" ht="46.15" customHeight="1">
      <c r="A856" s="494" t="s">
        <v>719</v>
      </c>
      <c r="B856" s="495" t="s">
        <v>775</v>
      </c>
      <c r="C856" s="494"/>
      <c r="D856" s="494"/>
      <c r="E856" s="494"/>
      <c r="F856" s="494"/>
      <c r="G856" s="494"/>
      <c r="H856" s="466">
        <f t="shared" si="16"/>
        <v>0</v>
      </c>
    </row>
    <row r="857" spans="1:8" ht="25.5" customHeight="1">
      <c r="A857" s="494" t="s">
        <v>365</v>
      </c>
      <c r="B857" s="495" t="s">
        <v>777</v>
      </c>
      <c r="C857" s="494" t="s">
        <v>778</v>
      </c>
      <c r="D857" s="494" t="s">
        <v>779</v>
      </c>
      <c r="E857" s="499" t="s">
        <v>723</v>
      </c>
      <c r="F857" s="426" t="e">
        <f>LUONGNGAY!$K$34</f>
        <v>#VALUE!</v>
      </c>
      <c r="G857" s="494">
        <v>1.6E-2</v>
      </c>
      <c r="H857" s="466" t="e">
        <f t="shared" si="16"/>
        <v>#VALUE!</v>
      </c>
    </row>
    <row r="858" spans="1:8" ht="25.5" customHeight="1">
      <c r="A858" s="494" t="s">
        <v>366</v>
      </c>
      <c r="B858" s="495" t="s">
        <v>781</v>
      </c>
      <c r="C858" s="494" t="s">
        <v>778</v>
      </c>
      <c r="D858" s="494" t="s">
        <v>779</v>
      </c>
      <c r="E858" s="499" t="s">
        <v>723</v>
      </c>
      <c r="F858" s="426" t="e">
        <f>LUONGNGAY!$K$34</f>
        <v>#VALUE!</v>
      </c>
      <c r="G858" s="494">
        <v>8.0000000000000002E-3</v>
      </c>
      <c r="H858" s="466" t="e">
        <f t="shared" si="16"/>
        <v>#VALUE!</v>
      </c>
    </row>
    <row r="859" spans="1:8" ht="34.5" customHeight="1">
      <c r="A859" s="494" t="s">
        <v>720</v>
      </c>
      <c r="B859" s="495" t="s">
        <v>861</v>
      </c>
      <c r="C859" s="494" t="s">
        <v>778</v>
      </c>
      <c r="D859" s="494" t="s">
        <v>779</v>
      </c>
      <c r="E859" s="499" t="s">
        <v>723</v>
      </c>
      <c r="F859" s="426" t="e">
        <f>LUONGNGAY!$K$34</f>
        <v>#VALUE!</v>
      </c>
      <c r="G859" s="494">
        <v>4.0000000000000001E-3</v>
      </c>
      <c r="H859" s="466" t="e">
        <f t="shared" si="16"/>
        <v>#VALUE!</v>
      </c>
    </row>
    <row r="860" spans="1:8" ht="20.45" customHeight="1">
      <c r="A860" s="494" t="s">
        <v>721</v>
      </c>
      <c r="B860" s="495" t="s">
        <v>863</v>
      </c>
      <c r="C860" s="494" t="s">
        <v>481</v>
      </c>
      <c r="D860" s="494" t="s">
        <v>779</v>
      </c>
      <c r="E860" s="499" t="s">
        <v>723</v>
      </c>
      <c r="F860" s="426" t="e">
        <f>LUONGNGAY!$K$34</f>
        <v>#VALUE!</v>
      </c>
      <c r="G860" s="494">
        <v>0.01</v>
      </c>
      <c r="H860" s="466" t="e">
        <f t="shared" si="16"/>
        <v>#VALUE!</v>
      </c>
    </row>
    <row r="861" spans="1:8" ht="39.75" customHeight="1">
      <c r="A861" s="494">
        <v>12</v>
      </c>
      <c r="B861" s="495" t="s">
        <v>108</v>
      </c>
      <c r="C861" s="494" t="s">
        <v>261</v>
      </c>
      <c r="D861" s="494" t="s">
        <v>847</v>
      </c>
      <c r="E861" s="499" t="s">
        <v>723</v>
      </c>
      <c r="F861" s="506" t="e">
        <f>LUONGNGAY!$K$35</f>
        <v>#VALUE!</v>
      </c>
      <c r="G861" s="494">
        <v>6.5000000000000002E-2</v>
      </c>
      <c r="H861" s="466" t="e">
        <f t="shared" si="16"/>
        <v>#VALUE!</v>
      </c>
    </row>
    <row r="862" spans="1:8" ht="39.75" customHeight="1">
      <c r="A862" s="494">
        <v>13</v>
      </c>
      <c r="B862" s="495" t="s">
        <v>109</v>
      </c>
      <c r="C862" s="494" t="s">
        <v>261</v>
      </c>
      <c r="D862" s="494" t="s">
        <v>847</v>
      </c>
      <c r="E862" s="499" t="s">
        <v>723</v>
      </c>
      <c r="F862" s="506" t="e">
        <f>LUONGNGAY!$K$35</f>
        <v>#VALUE!</v>
      </c>
      <c r="G862" s="494">
        <v>6.5000000000000002E-2</v>
      </c>
      <c r="H862" s="466" t="e">
        <f t="shared" si="16"/>
        <v>#VALUE!</v>
      </c>
    </row>
    <row r="863" spans="1:8" ht="19.899999999999999" customHeight="1">
      <c r="A863" s="500" t="s">
        <v>1005</v>
      </c>
      <c r="B863" s="493" t="s">
        <v>582</v>
      </c>
      <c r="C863" s="494"/>
      <c r="D863" s="494"/>
      <c r="E863" s="494"/>
      <c r="G863" s="494"/>
      <c r="H863" s="466">
        <f t="shared" si="16"/>
        <v>0</v>
      </c>
    </row>
    <row r="864" spans="1:8" ht="19.899999999999999" customHeight="1">
      <c r="A864" s="494">
        <v>1</v>
      </c>
      <c r="B864" s="495" t="s">
        <v>626</v>
      </c>
      <c r="C864" s="494" t="s">
        <v>261</v>
      </c>
      <c r="D864" s="494" t="s">
        <v>847</v>
      </c>
      <c r="E864" s="499" t="s">
        <v>723</v>
      </c>
      <c r="F864" s="506" t="e">
        <f>LUONGNGAY!$K$35</f>
        <v>#VALUE!</v>
      </c>
      <c r="G864" s="494">
        <v>2.5999999999999999E-2</v>
      </c>
      <c r="H864" s="466" t="e">
        <f t="shared" si="16"/>
        <v>#VALUE!</v>
      </c>
    </row>
    <row r="865" spans="1:8" ht="19.899999999999999" customHeight="1">
      <c r="A865" s="500" t="s">
        <v>755</v>
      </c>
      <c r="B865" s="493" t="s">
        <v>460</v>
      </c>
      <c r="C865" s="494"/>
      <c r="D865" s="494"/>
      <c r="E865" s="494"/>
      <c r="G865" s="494"/>
      <c r="H865" s="466">
        <f t="shared" si="16"/>
        <v>0</v>
      </c>
    </row>
    <row r="866" spans="1:8" ht="30" customHeight="1">
      <c r="A866" s="494">
        <v>1</v>
      </c>
      <c r="B866" s="495" t="s">
        <v>627</v>
      </c>
      <c r="C866" s="494" t="s">
        <v>261</v>
      </c>
      <c r="D866" s="494" t="s">
        <v>847</v>
      </c>
      <c r="E866" s="499" t="s">
        <v>723</v>
      </c>
      <c r="F866" s="506" t="e">
        <f>LUONGNGAY!$K$35</f>
        <v>#VALUE!</v>
      </c>
      <c r="G866" s="494">
        <v>2.5999999999999999E-2</v>
      </c>
      <c r="H866" s="466" t="e">
        <f t="shared" si="16"/>
        <v>#VALUE!</v>
      </c>
    </row>
    <row r="867" spans="1:8" ht="12.6" customHeight="1">
      <c r="A867" s="470"/>
      <c r="B867" s="471"/>
      <c r="C867" s="472"/>
      <c r="D867" s="472"/>
      <c r="E867" s="470"/>
      <c r="F867" s="473"/>
      <c r="G867" s="474"/>
      <c r="H867" s="475"/>
    </row>
    <row r="868" spans="1:8" ht="31.15" customHeight="1">
      <c r="A868" s="1151" t="s">
        <v>821</v>
      </c>
      <c r="B868" s="1151"/>
      <c r="C868" s="1151"/>
      <c r="D868" s="1151"/>
      <c r="E868" s="1151"/>
      <c r="F868" s="1151"/>
      <c r="G868" s="1151"/>
      <c r="H868" s="1151"/>
    </row>
    <row r="869" spans="1:8" ht="11.45" customHeight="1">
      <c r="A869" s="414"/>
      <c r="B869" s="415"/>
      <c r="E869" s="417"/>
      <c r="F869" s="418"/>
      <c r="G869" s="417"/>
      <c r="H869" s="419"/>
    </row>
    <row r="870" spans="1:8" ht="49.5" customHeight="1">
      <c r="A870" s="422" t="s">
        <v>979</v>
      </c>
      <c r="B870" s="422" t="s">
        <v>198</v>
      </c>
      <c r="C870" s="423" t="s">
        <v>479</v>
      </c>
      <c r="D870" s="423" t="s">
        <v>478</v>
      </c>
      <c r="E870" s="423" t="s">
        <v>199</v>
      </c>
      <c r="F870" s="424" t="s">
        <v>483</v>
      </c>
      <c r="G870" s="423" t="s">
        <v>482</v>
      </c>
      <c r="H870" s="423" t="s">
        <v>200</v>
      </c>
    </row>
    <row r="871" spans="1:8" ht="19.5" customHeight="1">
      <c r="A871" s="524" t="s">
        <v>1000</v>
      </c>
      <c r="B871" s="493" t="s">
        <v>582</v>
      </c>
      <c r="C871" s="494"/>
      <c r="D871" s="494"/>
      <c r="E871" s="494"/>
      <c r="F871" s="494"/>
      <c r="G871" s="494"/>
      <c r="H871" s="494"/>
    </row>
    <row r="872" spans="1:8" ht="19.5" customHeight="1">
      <c r="A872" s="524">
        <v>1</v>
      </c>
      <c r="B872" s="495" t="s">
        <v>816</v>
      </c>
      <c r="C872" s="494"/>
      <c r="D872" s="494"/>
      <c r="E872" s="494"/>
      <c r="F872" s="494"/>
      <c r="G872" s="494"/>
      <c r="H872" s="494"/>
    </row>
    <row r="873" spans="1:8" ht="19.5" customHeight="1">
      <c r="A873" s="494" t="s">
        <v>733</v>
      </c>
      <c r="B873" s="495" t="s">
        <v>846</v>
      </c>
      <c r="C873" s="494" t="s">
        <v>261</v>
      </c>
      <c r="D873" s="494" t="s">
        <v>847</v>
      </c>
      <c r="E873" s="499" t="s">
        <v>723</v>
      </c>
      <c r="F873" s="506" t="e">
        <f>LUONGNGAY!$K$35</f>
        <v>#VALUE!</v>
      </c>
      <c r="G873" s="494">
        <v>0.2</v>
      </c>
      <c r="H873" s="466" t="e">
        <f>F873*G873</f>
        <v>#VALUE!</v>
      </c>
    </row>
    <row r="874" spans="1:8" ht="19.5" customHeight="1">
      <c r="A874" s="494" t="s">
        <v>741</v>
      </c>
      <c r="B874" s="495" t="s">
        <v>849</v>
      </c>
      <c r="C874" s="494" t="s">
        <v>261</v>
      </c>
      <c r="D874" s="494" t="s">
        <v>847</v>
      </c>
      <c r="E874" s="499" t="s">
        <v>723</v>
      </c>
      <c r="F874" s="506" t="e">
        <f>LUONGNGAY!$K$35</f>
        <v>#VALUE!</v>
      </c>
      <c r="G874" s="494">
        <v>0.15</v>
      </c>
      <c r="H874" s="466" t="e">
        <f t="shared" ref="H874:H900" si="17">F874*G874</f>
        <v>#VALUE!</v>
      </c>
    </row>
    <row r="875" spans="1:8" ht="26.25" customHeight="1">
      <c r="A875" s="494">
        <v>2</v>
      </c>
      <c r="B875" s="495" t="s">
        <v>797</v>
      </c>
      <c r="C875" s="494" t="s">
        <v>261</v>
      </c>
      <c r="D875" s="494" t="s">
        <v>847</v>
      </c>
      <c r="E875" s="499" t="s">
        <v>723</v>
      </c>
      <c r="F875" s="506" t="e">
        <f>LUONGNGAY!$K$35</f>
        <v>#VALUE!</v>
      </c>
      <c r="G875" s="494">
        <v>0.25</v>
      </c>
      <c r="H875" s="466" t="e">
        <f t="shared" si="17"/>
        <v>#VALUE!</v>
      </c>
    </row>
    <row r="876" spans="1:8" ht="26.25" customHeight="1">
      <c r="A876" s="494">
        <v>3</v>
      </c>
      <c r="B876" s="495" t="s">
        <v>851</v>
      </c>
      <c r="C876" s="494" t="s">
        <v>481</v>
      </c>
      <c r="D876" s="494" t="s">
        <v>842</v>
      </c>
      <c r="E876" s="499" t="s">
        <v>723</v>
      </c>
      <c r="F876" s="506" t="e">
        <f>LUONGNGAY!$K$36</f>
        <v>#VALUE!</v>
      </c>
      <c r="G876" s="494">
        <v>0.107</v>
      </c>
      <c r="H876" s="466" t="e">
        <f t="shared" si="17"/>
        <v>#VALUE!</v>
      </c>
    </row>
    <row r="877" spans="1:8" ht="26.25" customHeight="1">
      <c r="A877" s="494">
        <v>4</v>
      </c>
      <c r="B877" s="495" t="s">
        <v>700</v>
      </c>
      <c r="C877" s="494" t="s">
        <v>261</v>
      </c>
      <c r="D877" s="494" t="s">
        <v>701</v>
      </c>
      <c r="E877" s="499" t="s">
        <v>723</v>
      </c>
      <c r="F877" s="506" t="e">
        <f>(LUONGNGAY!$K$35+LUONGNGAY!$K$44)/2</f>
        <v>#VALUE!</v>
      </c>
      <c r="G877" s="494">
        <f>0.6*2</f>
        <v>1.2</v>
      </c>
      <c r="H877" s="466" t="e">
        <f t="shared" si="17"/>
        <v>#VALUE!</v>
      </c>
    </row>
    <row r="878" spans="1:8" ht="26.25" customHeight="1">
      <c r="A878" s="494">
        <v>5</v>
      </c>
      <c r="B878" s="495" t="s">
        <v>2</v>
      </c>
      <c r="C878" s="494" t="s">
        <v>481</v>
      </c>
      <c r="D878" s="494" t="s">
        <v>842</v>
      </c>
      <c r="E878" s="499" t="s">
        <v>723</v>
      </c>
      <c r="F878" s="506" t="e">
        <f>LUONGNGAY!$K$36</f>
        <v>#VALUE!</v>
      </c>
      <c r="G878" s="494">
        <v>6.0000000000000001E-3</v>
      </c>
      <c r="H878" s="466" t="e">
        <f t="shared" si="17"/>
        <v>#VALUE!</v>
      </c>
    </row>
    <row r="879" spans="1:8" ht="26.25" customHeight="1">
      <c r="A879" s="494">
        <v>6</v>
      </c>
      <c r="B879" s="495" t="s">
        <v>702</v>
      </c>
      <c r="C879" s="494"/>
      <c r="D879" s="494"/>
      <c r="E879" s="494"/>
      <c r="G879" s="494"/>
      <c r="H879" s="466">
        <f t="shared" si="17"/>
        <v>0</v>
      </c>
    </row>
    <row r="880" spans="1:8" ht="26.25" customHeight="1">
      <c r="A880" s="494" t="s">
        <v>661</v>
      </c>
      <c r="B880" s="495" t="s">
        <v>587</v>
      </c>
      <c r="C880" s="494" t="s">
        <v>261</v>
      </c>
      <c r="D880" s="494" t="s">
        <v>847</v>
      </c>
      <c r="E880" s="499" t="s">
        <v>723</v>
      </c>
      <c r="F880" s="506" t="e">
        <f>LUONGNGAY!$K$35</f>
        <v>#VALUE!</v>
      </c>
      <c r="G880" s="494">
        <v>0.05</v>
      </c>
      <c r="H880" s="466" t="e">
        <f t="shared" si="17"/>
        <v>#VALUE!</v>
      </c>
    </row>
    <row r="881" spans="1:8" ht="26.25" customHeight="1">
      <c r="A881" s="494" t="s">
        <v>662</v>
      </c>
      <c r="B881" s="495" t="s">
        <v>588</v>
      </c>
      <c r="C881" s="494" t="s">
        <v>261</v>
      </c>
      <c r="D881" s="494" t="s">
        <v>847</v>
      </c>
      <c r="E881" s="499" t="s">
        <v>723</v>
      </c>
      <c r="F881" s="506" t="e">
        <f>LUONGNGAY!$K$35</f>
        <v>#VALUE!</v>
      </c>
      <c r="G881" s="494">
        <v>0.1</v>
      </c>
      <c r="H881" s="466" t="e">
        <f t="shared" si="17"/>
        <v>#VALUE!</v>
      </c>
    </row>
    <row r="882" spans="1:8" ht="26.25" customHeight="1">
      <c r="A882" s="494">
        <v>7</v>
      </c>
      <c r="B882" s="495" t="s">
        <v>408</v>
      </c>
      <c r="C882" s="494" t="s">
        <v>261</v>
      </c>
      <c r="D882" s="494" t="s">
        <v>842</v>
      </c>
      <c r="E882" s="499" t="s">
        <v>723</v>
      </c>
      <c r="F882" s="506" t="e">
        <f>LUONGNGAY!$K$36</f>
        <v>#VALUE!</v>
      </c>
      <c r="G882" s="494">
        <v>0.2</v>
      </c>
      <c r="H882" s="466" t="e">
        <f t="shared" si="17"/>
        <v>#VALUE!</v>
      </c>
    </row>
    <row r="883" spans="1:8" ht="26.25" customHeight="1">
      <c r="A883" s="494">
        <v>8</v>
      </c>
      <c r="B883" s="495" t="s">
        <v>78</v>
      </c>
      <c r="C883" s="494" t="s">
        <v>481</v>
      </c>
      <c r="D883" s="494" t="s">
        <v>842</v>
      </c>
      <c r="E883" s="499" t="s">
        <v>723</v>
      </c>
      <c r="F883" s="506" t="e">
        <f>LUONGNGAY!$K$36</f>
        <v>#VALUE!</v>
      </c>
      <c r="G883" s="494">
        <v>0.03</v>
      </c>
      <c r="H883" s="466" t="e">
        <f t="shared" si="17"/>
        <v>#VALUE!</v>
      </c>
    </row>
    <row r="884" spans="1:8" ht="26.25" customHeight="1">
      <c r="A884" s="494">
        <v>9</v>
      </c>
      <c r="B884" s="495" t="s">
        <v>80</v>
      </c>
      <c r="C884" s="494"/>
      <c r="D884" s="494"/>
      <c r="E884" s="494"/>
      <c r="G884" s="494"/>
      <c r="H884" s="466">
        <f t="shared" si="17"/>
        <v>0</v>
      </c>
    </row>
    <row r="885" spans="1:8" ht="26.25" customHeight="1">
      <c r="A885" s="494" t="s">
        <v>663</v>
      </c>
      <c r="B885" s="495" t="s">
        <v>82</v>
      </c>
      <c r="C885" s="494" t="s">
        <v>559</v>
      </c>
      <c r="D885" s="494" t="s">
        <v>847</v>
      </c>
      <c r="E885" s="499" t="s">
        <v>723</v>
      </c>
      <c r="F885" s="506" t="e">
        <f>LUONGNGAY!$K$35</f>
        <v>#VALUE!</v>
      </c>
      <c r="G885" s="494">
        <v>0.1</v>
      </c>
      <c r="H885" s="466" t="e">
        <f t="shared" si="17"/>
        <v>#VALUE!</v>
      </c>
    </row>
    <row r="886" spans="1:8" ht="26.25" customHeight="1">
      <c r="A886" s="494" t="s">
        <v>664</v>
      </c>
      <c r="B886" s="495" t="s">
        <v>84</v>
      </c>
      <c r="C886" s="494" t="s">
        <v>559</v>
      </c>
      <c r="D886" s="494" t="s">
        <v>847</v>
      </c>
      <c r="E886" s="499" t="s">
        <v>723</v>
      </c>
      <c r="F886" s="506" t="e">
        <f>LUONGNGAY!$K$35</f>
        <v>#VALUE!</v>
      </c>
      <c r="G886" s="494">
        <v>0.15</v>
      </c>
      <c r="H886" s="466" t="e">
        <f t="shared" si="17"/>
        <v>#VALUE!</v>
      </c>
    </row>
    <row r="887" spans="1:8" ht="26.25" customHeight="1">
      <c r="A887" s="494" t="s">
        <v>409</v>
      </c>
      <c r="B887" s="495" t="s">
        <v>410</v>
      </c>
      <c r="C887" s="494" t="s">
        <v>559</v>
      </c>
      <c r="D887" s="494" t="s">
        <v>847</v>
      </c>
      <c r="E887" s="499" t="s">
        <v>723</v>
      </c>
      <c r="F887" s="506" t="e">
        <f>LUONGNGAY!$K$35</f>
        <v>#VALUE!</v>
      </c>
      <c r="G887" s="494">
        <v>0.1</v>
      </c>
      <c r="H887" s="466" t="e">
        <f t="shared" si="17"/>
        <v>#VALUE!</v>
      </c>
    </row>
    <row r="888" spans="1:8" ht="26.25" customHeight="1">
      <c r="A888" s="494">
        <v>10</v>
      </c>
      <c r="B888" s="495" t="s">
        <v>411</v>
      </c>
      <c r="C888" s="494" t="s">
        <v>261</v>
      </c>
      <c r="D888" s="494" t="s">
        <v>847</v>
      </c>
      <c r="E888" s="499" t="s">
        <v>723</v>
      </c>
      <c r="F888" s="506" t="e">
        <f>LUONGNGAY!$K$35</f>
        <v>#VALUE!</v>
      </c>
      <c r="G888" s="494">
        <v>0.4</v>
      </c>
      <c r="H888" s="466" t="e">
        <f t="shared" si="17"/>
        <v>#VALUE!</v>
      </c>
    </row>
    <row r="889" spans="1:8" ht="26.25" customHeight="1">
      <c r="A889" s="494">
        <v>11</v>
      </c>
      <c r="B889" s="495" t="s">
        <v>813</v>
      </c>
      <c r="C889" s="494" t="s">
        <v>261</v>
      </c>
      <c r="D889" s="494" t="s">
        <v>847</v>
      </c>
      <c r="E889" s="499" t="s">
        <v>723</v>
      </c>
      <c r="F889" s="506" t="e">
        <f>LUONGNGAY!$K$35</f>
        <v>#VALUE!</v>
      </c>
      <c r="G889" s="494">
        <v>0.37</v>
      </c>
      <c r="H889" s="466" t="e">
        <f t="shared" si="17"/>
        <v>#VALUE!</v>
      </c>
    </row>
    <row r="890" spans="1:8" ht="26.25" customHeight="1">
      <c r="A890" s="494">
        <v>12</v>
      </c>
      <c r="B890" s="495" t="s">
        <v>87</v>
      </c>
      <c r="C890" s="494" t="s">
        <v>481</v>
      </c>
      <c r="D890" s="494" t="s">
        <v>842</v>
      </c>
      <c r="E890" s="499" t="s">
        <v>723</v>
      </c>
      <c r="F890" s="506" t="e">
        <f>LUONGNGAY!$K$36</f>
        <v>#VALUE!</v>
      </c>
      <c r="G890" s="494">
        <v>3.3000000000000002E-2</v>
      </c>
      <c r="H890" s="466" t="e">
        <f t="shared" si="17"/>
        <v>#VALUE!</v>
      </c>
    </row>
    <row r="891" spans="1:8" ht="26.25" customHeight="1">
      <c r="A891" s="494">
        <v>13</v>
      </c>
      <c r="B891" s="495" t="s">
        <v>88</v>
      </c>
      <c r="C891" s="494"/>
      <c r="D891" s="494"/>
      <c r="E891" s="494"/>
      <c r="G891" s="494"/>
      <c r="H891" s="466">
        <f t="shared" si="17"/>
        <v>0</v>
      </c>
    </row>
    <row r="892" spans="1:8" ht="26.25" customHeight="1">
      <c r="A892" s="494" t="s">
        <v>110</v>
      </c>
      <c r="B892" s="495" t="s">
        <v>775</v>
      </c>
      <c r="C892" s="494"/>
      <c r="D892" s="494"/>
      <c r="E892" s="494"/>
      <c r="G892" s="494"/>
      <c r="H892" s="466">
        <f t="shared" si="17"/>
        <v>0</v>
      </c>
    </row>
    <row r="893" spans="1:8" ht="26.25" customHeight="1">
      <c r="A893" s="494" t="s">
        <v>111</v>
      </c>
      <c r="B893" s="495" t="s">
        <v>777</v>
      </c>
      <c r="C893" s="494" t="s">
        <v>778</v>
      </c>
      <c r="D893" s="494" t="s">
        <v>779</v>
      </c>
      <c r="E893" s="499" t="s">
        <v>723</v>
      </c>
      <c r="F893" s="426" t="e">
        <f>LUONGNGAY!$K$34</f>
        <v>#VALUE!</v>
      </c>
      <c r="G893" s="494">
        <v>1.6E-2</v>
      </c>
      <c r="H893" s="466" t="e">
        <f t="shared" si="17"/>
        <v>#VALUE!</v>
      </c>
    </row>
    <row r="894" spans="1:8" ht="26.25" customHeight="1">
      <c r="A894" s="494" t="s">
        <v>112</v>
      </c>
      <c r="B894" s="495" t="s">
        <v>781</v>
      </c>
      <c r="C894" s="494" t="s">
        <v>778</v>
      </c>
      <c r="D894" s="494" t="s">
        <v>779</v>
      </c>
      <c r="E894" s="499" t="s">
        <v>723</v>
      </c>
      <c r="F894" s="426" t="e">
        <f>LUONGNGAY!$K$34</f>
        <v>#VALUE!</v>
      </c>
      <c r="G894" s="494">
        <v>8.0000000000000002E-3</v>
      </c>
      <c r="H894" s="466" t="e">
        <f t="shared" si="17"/>
        <v>#VALUE!</v>
      </c>
    </row>
    <row r="895" spans="1:8" ht="26.25" customHeight="1">
      <c r="A895" s="494" t="s">
        <v>113</v>
      </c>
      <c r="B895" s="495" t="s">
        <v>861</v>
      </c>
      <c r="C895" s="494" t="s">
        <v>778</v>
      </c>
      <c r="D895" s="494" t="s">
        <v>779</v>
      </c>
      <c r="E895" s="499" t="s">
        <v>723</v>
      </c>
      <c r="F895" s="426" t="e">
        <f>LUONGNGAY!$K$34</f>
        <v>#VALUE!</v>
      </c>
      <c r="G895" s="494">
        <v>4.0000000000000001E-3</v>
      </c>
      <c r="H895" s="466" t="e">
        <f t="shared" si="17"/>
        <v>#VALUE!</v>
      </c>
    </row>
    <row r="896" spans="1:8" ht="26.25" customHeight="1">
      <c r="A896" s="494" t="s">
        <v>114</v>
      </c>
      <c r="B896" s="495" t="s">
        <v>863</v>
      </c>
      <c r="C896" s="494" t="s">
        <v>481</v>
      </c>
      <c r="D896" s="494" t="s">
        <v>779</v>
      </c>
      <c r="E896" s="499" t="s">
        <v>723</v>
      </c>
      <c r="F896" s="426" t="e">
        <f>LUONGNGAY!$K$34</f>
        <v>#VALUE!</v>
      </c>
      <c r="G896" s="494">
        <v>0.01</v>
      </c>
      <c r="H896" s="466" t="e">
        <f t="shared" si="17"/>
        <v>#VALUE!</v>
      </c>
    </row>
    <row r="897" spans="1:8" ht="26.25" customHeight="1">
      <c r="A897" s="500" t="s">
        <v>1005</v>
      </c>
      <c r="B897" s="493" t="s">
        <v>912</v>
      </c>
      <c r="C897" s="494"/>
      <c r="D897" s="494"/>
      <c r="E897" s="494"/>
      <c r="G897" s="494"/>
      <c r="H897" s="466">
        <f t="shared" si="17"/>
        <v>0</v>
      </c>
    </row>
    <row r="898" spans="1:8" ht="26.25" customHeight="1">
      <c r="A898" s="494">
        <v>1</v>
      </c>
      <c r="B898" s="495" t="s">
        <v>814</v>
      </c>
      <c r="C898" s="494" t="s">
        <v>261</v>
      </c>
      <c r="D898" s="494" t="s">
        <v>842</v>
      </c>
      <c r="E898" s="499" t="s">
        <v>723</v>
      </c>
      <c r="F898" s="506" t="e">
        <f>LUONGNGAY!$K$36</f>
        <v>#VALUE!</v>
      </c>
      <c r="G898" s="494">
        <v>0.4</v>
      </c>
      <c r="H898" s="466" t="e">
        <f t="shared" si="17"/>
        <v>#VALUE!</v>
      </c>
    </row>
    <row r="899" spans="1:8" ht="26.25" customHeight="1">
      <c r="A899" s="500" t="s">
        <v>755</v>
      </c>
      <c r="B899" s="493" t="s">
        <v>914</v>
      </c>
      <c r="C899" s="494"/>
      <c r="D899" s="494"/>
      <c r="E899" s="494"/>
      <c r="G899" s="494"/>
      <c r="H899" s="466">
        <f t="shared" si="17"/>
        <v>0</v>
      </c>
    </row>
    <row r="900" spans="1:8" ht="26.25" customHeight="1">
      <c r="A900" s="494">
        <v>1</v>
      </c>
      <c r="B900" s="495" t="s">
        <v>815</v>
      </c>
      <c r="C900" s="494" t="s">
        <v>261</v>
      </c>
      <c r="D900" s="494" t="s">
        <v>847</v>
      </c>
      <c r="E900" s="499" t="s">
        <v>723</v>
      </c>
      <c r="F900" s="506" t="e">
        <f>LUONGNGAY!$K$35</f>
        <v>#VALUE!</v>
      </c>
      <c r="G900" s="494">
        <v>0.1</v>
      </c>
      <c r="H900" s="466" t="e">
        <f t="shared" si="17"/>
        <v>#VALUE!</v>
      </c>
    </row>
    <row r="901" spans="1:8" ht="18" customHeight="1">
      <c r="A901" s="470"/>
      <c r="B901" s="471"/>
      <c r="C901" s="472"/>
      <c r="D901" s="472"/>
      <c r="E901" s="470"/>
      <c r="F901" s="473"/>
      <c r="G901" s="474"/>
      <c r="H901" s="475"/>
    </row>
    <row r="902" spans="1:8" ht="31.15" customHeight="1">
      <c r="A902" s="1151" t="s">
        <v>822</v>
      </c>
      <c r="B902" s="1151"/>
      <c r="C902" s="1151"/>
      <c r="D902" s="1151"/>
      <c r="E902" s="1151"/>
      <c r="F902" s="1151"/>
      <c r="G902" s="1151"/>
      <c r="H902" s="1151"/>
    </row>
    <row r="903" spans="1:8" ht="12" customHeight="1">
      <c r="A903" s="414"/>
      <c r="B903" s="415"/>
      <c r="E903" s="417"/>
      <c r="F903" s="418"/>
      <c r="G903" s="417"/>
      <c r="H903" s="419"/>
    </row>
    <row r="904" spans="1:8" ht="49.5" customHeight="1">
      <c r="A904" s="422" t="s">
        <v>979</v>
      </c>
      <c r="B904" s="422" t="s">
        <v>198</v>
      </c>
      <c r="C904" s="423" t="s">
        <v>479</v>
      </c>
      <c r="D904" s="423" t="s">
        <v>478</v>
      </c>
      <c r="E904" s="423" t="s">
        <v>199</v>
      </c>
      <c r="F904" s="424" t="s">
        <v>483</v>
      </c>
      <c r="G904" s="423" t="s">
        <v>482</v>
      </c>
      <c r="H904" s="423" t="s">
        <v>200</v>
      </c>
    </row>
    <row r="905" spans="1:8" ht="24.75" customHeight="1">
      <c r="A905" s="524" t="s">
        <v>1000</v>
      </c>
      <c r="B905" s="493" t="s">
        <v>582</v>
      </c>
      <c r="C905" s="494"/>
      <c r="D905" s="494"/>
      <c r="E905" s="494"/>
      <c r="F905" s="494"/>
      <c r="G905" s="494"/>
      <c r="H905" s="494"/>
    </row>
    <row r="906" spans="1:8" ht="24.75" customHeight="1">
      <c r="A906" s="524">
        <v>1</v>
      </c>
      <c r="B906" s="495" t="s">
        <v>816</v>
      </c>
      <c r="C906" s="494"/>
      <c r="D906" s="494"/>
      <c r="E906" s="494"/>
      <c r="F906" s="494"/>
      <c r="G906" s="494"/>
      <c r="H906" s="494"/>
    </row>
    <row r="907" spans="1:8" ht="24.75" customHeight="1">
      <c r="A907" s="494" t="s">
        <v>733</v>
      </c>
      <c r="B907" s="495" t="s">
        <v>846</v>
      </c>
      <c r="C907" s="494" t="s">
        <v>261</v>
      </c>
      <c r="D907" s="494" t="s">
        <v>847</v>
      </c>
      <c r="E907" s="499" t="s">
        <v>723</v>
      </c>
      <c r="F907" s="506" t="e">
        <f>LUONGNGAY!$K$35</f>
        <v>#VALUE!</v>
      </c>
      <c r="G907" s="494">
        <v>0.2</v>
      </c>
      <c r="H907" s="466" t="e">
        <f>F907*G907</f>
        <v>#VALUE!</v>
      </c>
    </row>
    <row r="908" spans="1:8" ht="24.75" customHeight="1">
      <c r="A908" s="494" t="s">
        <v>741</v>
      </c>
      <c r="B908" s="495" t="s">
        <v>849</v>
      </c>
      <c r="C908" s="494" t="s">
        <v>261</v>
      </c>
      <c r="D908" s="494" t="s">
        <v>847</v>
      </c>
      <c r="E908" s="499" t="s">
        <v>723</v>
      </c>
      <c r="F908" s="506" t="e">
        <f>LUONGNGAY!$K$35</f>
        <v>#VALUE!</v>
      </c>
      <c r="G908" s="494">
        <v>0.15</v>
      </c>
      <c r="H908" s="466" t="e">
        <f t="shared" ref="H908:H934" si="18">F908*G908</f>
        <v>#VALUE!</v>
      </c>
    </row>
    <row r="909" spans="1:8" ht="24.75" customHeight="1">
      <c r="A909" s="494">
        <v>2</v>
      </c>
      <c r="B909" s="495" t="s">
        <v>797</v>
      </c>
      <c r="C909" s="494" t="s">
        <v>261</v>
      </c>
      <c r="D909" s="494" t="s">
        <v>847</v>
      </c>
      <c r="E909" s="499" t="s">
        <v>723</v>
      </c>
      <c r="F909" s="506" t="e">
        <f>LUONGNGAY!$K$35</f>
        <v>#VALUE!</v>
      </c>
      <c r="G909" s="494">
        <v>0.25</v>
      </c>
      <c r="H909" s="466" t="e">
        <f t="shared" si="18"/>
        <v>#VALUE!</v>
      </c>
    </row>
    <row r="910" spans="1:8" ht="24.75" customHeight="1">
      <c r="A910" s="494">
        <v>3</v>
      </c>
      <c r="B910" s="495" t="s">
        <v>851</v>
      </c>
      <c r="C910" s="494" t="s">
        <v>481</v>
      </c>
      <c r="D910" s="494" t="s">
        <v>842</v>
      </c>
      <c r="E910" s="499" t="s">
        <v>723</v>
      </c>
      <c r="F910" s="506" t="e">
        <f>LUONGNGAY!$K$36</f>
        <v>#VALUE!</v>
      </c>
      <c r="G910" s="494">
        <v>3.3000000000000002E-2</v>
      </c>
      <c r="H910" s="466" t="e">
        <f t="shared" si="18"/>
        <v>#VALUE!</v>
      </c>
    </row>
    <row r="911" spans="1:8" ht="24.75" customHeight="1">
      <c r="A911" s="494">
        <v>4</v>
      </c>
      <c r="B911" s="495" t="s">
        <v>700</v>
      </c>
      <c r="C911" s="494" t="s">
        <v>261</v>
      </c>
      <c r="D911" s="494" t="s">
        <v>701</v>
      </c>
      <c r="E911" s="499" t="s">
        <v>723</v>
      </c>
      <c r="F911" s="506" t="e">
        <f>(LUONGNGAY!$K$35+LUONGNGAY!$K$44)/2</f>
        <v>#VALUE!</v>
      </c>
      <c r="G911" s="494">
        <f>0.9*2</f>
        <v>1.8</v>
      </c>
      <c r="H911" s="466" t="e">
        <f t="shared" si="18"/>
        <v>#VALUE!</v>
      </c>
    </row>
    <row r="912" spans="1:8" ht="24.75" customHeight="1">
      <c r="A912" s="494">
        <v>5</v>
      </c>
      <c r="B912" s="495" t="s">
        <v>2</v>
      </c>
      <c r="C912" s="494" t="s">
        <v>481</v>
      </c>
      <c r="D912" s="494" t="s">
        <v>842</v>
      </c>
      <c r="E912" s="499" t="s">
        <v>723</v>
      </c>
      <c r="F912" s="506" t="e">
        <f>LUONGNGAY!$K$36</f>
        <v>#VALUE!</v>
      </c>
      <c r="G912" s="494">
        <v>6.0000000000000001E-3</v>
      </c>
      <c r="H912" s="466" t="e">
        <f t="shared" si="18"/>
        <v>#VALUE!</v>
      </c>
    </row>
    <row r="913" spans="1:8" ht="24.75" customHeight="1">
      <c r="A913" s="494">
        <v>6</v>
      </c>
      <c r="B913" s="495" t="s">
        <v>702</v>
      </c>
      <c r="C913" s="494"/>
      <c r="D913" s="494"/>
      <c r="E913" s="494"/>
      <c r="G913" s="494"/>
      <c r="H913" s="466">
        <f t="shared" si="18"/>
        <v>0</v>
      </c>
    </row>
    <row r="914" spans="1:8" ht="24.75" customHeight="1">
      <c r="A914" s="494" t="s">
        <v>661</v>
      </c>
      <c r="B914" s="495" t="s">
        <v>587</v>
      </c>
      <c r="C914" s="494" t="s">
        <v>261</v>
      </c>
      <c r="D914" s="494" t="s">
        <v>847</v>
      </c>
      <c r="E914" s="499" t="s">
        <v>723</v>
      </c>
      <c r="F914" s="506" t="e">
        <f>LUONGNGAY!$K$35</f>
        <v>#VALUE!</v>
      </c>
      <c r="G914" s="494">
        <v>0</v>
      </c>
      <c r="H914" s="466" t="e">
        <f t="shared" si="18"/>
        <v>#VALUE!</v>
      </c>
    </row>
    <row r="915" spans="1:8" ht="24.75" customHeight="1">
      <c r="A915" s="494" t="s">
        <v>662</v>
      </c>
      <c r="B915" s="495" t="s">
        <v>588</v>
      </c>
      <c r="C915" s="494" t="s">
        <v>261</v>
      </c>
      <c r="D915" s="494" t="s">
        <v>847</v>
      </c>
      <c r="E915" s="499" t="s">
        <v>723</v>
      </c>
      <c r="F915" s="506" t="e">
        <f>LUONGNGAY!$K$35</f>
        <v>#VALUE!</v>
      </c>
      <c r="G915" s="494">
        <v>0</v>
      </c>
      <c r="H915" s="466" t="e">
        <f t="shared" si="18"/>
        <v>#VALUE!</v>
      </c>
    </row>
    <row r="916" spans="1:8" ht="24.75" customHeight="1">
      <c r="A916" s="494">
        <v>7</v>
      </c>
      <c r="B916" s="495" t="s">
        <v>408</v>
      </c>
      <c r="C916" s="494" t="s">
        <v>261</v>
      </c>
      <c r="D916" s="494" t="s">
        <v>842</v>
      </c>
      <c r="E916" s="499" t="s">
        <v>723</v>
      </c>
      <c r="F916" s="506" t="e">
        <f>LUONGNGAY!$K$36</f>
        <v>#VALUE!</v>
      </c>
      <c r="G916" s="494">
        <v>0.2</v>
      </c>
      <c r="H916" s="466" t="e">
        <f t="shared" si="18"/>
        <v>#VALUE!</v>
      </c>
    </row>
    <row r="917" spans="1:8" ht="24.75" customHeight="1">
      <c r="A917" s="494">
        <v>8</v>
      </c>
      <c r="B917" s="495" t="s">
        <v>78</v>
      </c>
      <c r="C917" s="494" t="s">
        <v>481</v>
      </c>
      <c r="D917" s="494" t="s">
        <v>842</v>
      </c>
      <c r="E917" s="499" t="s">
        <v>723</v>
      </c>
      <c r="F917" s="506" t="e">
        <f>LUONGNGAY!$K$36</f>
        <v>#VALUE!</v>
      </c>
      <c r="G917" s="494">
        <v>0.17100000000000001</v>
      </c>
      <c r="H917" s="466" t="e">
        <f t="shared" si="18"/>
        <v>#VALUE!</v>
      </c>
    </row>
    <row r="918" spans="1:8" ht="24.75" customHeight="1">
      <c r="A918" s="494">
        <v>9</v>
      </c>
      <c r="B918" s="495" t="s">
        <v>80</v>
      </c>
      <c r="C918" s="494"/>
      <c r="D918" s="494"/>
      <c r="E918" s="494"/>
      <c r="G918" s="494"/>
      <c r="H918" s="466">
        <f t="shared" si="18"/>
        <v>0</v>
      </c>
    </row>
    <row r="919" spans="1:8" ht="24.75" customHeight="1">
      <c r="A919" s="494" t="s">
        <v>663</v>
      </c>
      <c r="B919" s="495" t="s">
        <v>82</v>
      </c>
      <c r="C919" s="494" t="s">
        <v>559</v>
      </c>
      <c r="D919" s="494" t="s">
        <v>847</v>
      </c>
      <c r="E919" s="499" t="s">
        <v>723</v>
      </c>
      <c r="F919" s="506" t="e">
        <f>LUONGNGAY!$K$35</f>
        <v>#VALUE!</v>
      </c>
      <c r="G919" s="494">
        <v>0.1</v>
      </c>
      <c r="H919" s="466" t="e">
        <f t="shared" si="18"/>
        <v>#VALUE!</v>
      </c>
    </row>
    <row r="920" spans="1:8" ht="24.75" customHeight="1">
      <c r="A920" s="494" t="s">
        <v>664</v>
      </c>
      <c r="B920" s="495" t="s">
        <v>84</v>
      </c>
      <c r="C920" s="494" t="s">
        <v>559</v>
      </c>
      <c r="D920" s="494" t="s">
        <v>847</v>
      </c>
      <c r="E920" s="499" t="s">
        <v>723</v>
      </c>
      <c r="F920" s="506" t="e">
        <f>LUONGNGAY!$K$35</f>
        <v>#VALUE!</v>
      </c>
      <c r="G920" s="494">
        <v>0.2</v>
      </c>
      <c r="H920" s="466" t="e">
        <f t="shared" si="18"/>
        <v>#VALUE!</v>
      </c>
    </row>
    <row r="921" spans="1:8" ht="24.75" customHeight="1">
      <c r="A921" s="494" t="s">
        <v>409</v>
      </c>
      <c r="B921" s="495" t="s">
        <v>410</v>
      </c>
      <c r="C921" s="494" t="s">
        <v>559</v>
      </c>
      <c r="D921" s="494" t="s">
        <v>847</v>
      </c>
      <c r="E921" s="499" t="s">
        <v>723</v>
      </c>
      <c r="F921" s="506" t="e">
        <f>LUONGNGAY!$K$35</f>
        <v>#VALUE!</v>
      </c>
      <c r="G921" s="494">
        <v>0.1</v>
      </c>
      <c r="H921" s="466" t="e">
        <f t="shared" si="18"/>
        <v>#VALUE!</v>
      </c>
    </row>
    <row r="922" spans="1:8" ht="24.75" customHeight="1">
      <c r="A922" s="494">
        <v>10</v>
      </c>
      <c r="B922" s="495" t="s">
        <v>411</v>
      </c>
      <c r="C922" s="494" t="s">
        <v>261</v>
      </c>
      <c r="D922" s="494" t="s">
        <v>847</v>
      </c>
      <c r="E922" s="499" t="s">
        <v>723</v>
      </c>
      <c r="F922" s="506" t="e">
        <f>LUONGNGAY!$K$35</f>
        <v>#VALUE!</v>
      </c>
      <c r="G922" s="494">
        <v>0.4</v>
      </c>
      <c r="H922" s="466" t="e">
        <f t="shared" si="18"/>
        <v>#VALUE!</v>
      </c>
    </row>
    <row r="923" spans="1:8" ht="24.75" customHeight="1">
      <c r="A923" s="494">
        <v>11</v>
      </c>
      <c r="B923" s="495" t="s">
        <v>813</v>
      </c>
      <c r="C923" s="494" t="s">
        <v>261</v>
      </c>
      <c r="D923" s="494" t="s">
        <v>847</v>
      </c>
      <c r="E923" s="499" t="s">
        <v>723</v>
      </c>
      <c r="F923" s="506" t="e">
        <f>LUONGNGAY!$K$35</f>
        <v>#VALUE!</v>
      </c>
      <c r="G923" s="494">
        <v>0.37</v>
      </c>
      <c r="H923" s="466" t="e">
        <f t="shared" si="18"/>
        <v>#VALUE!</v>
      </c>
    </row>
    <row r="924" spans="1:8" ht="24.75" customHeight="1">
      <c r="A924" s="494">
        <v>12</v>
      </c>
      <c r="B924" s="495" t="s">
        <v>87</v>
      </c>
      <c r="C924" s="494" t="s">
        <v>481</v>
      </c>
      <c r="D924" s="494" t="s">
        <v>842</v>
      </c>
      <c r="E924" s="499" t="s">
        <v>723</v>
      </c>
      <c r="F924" s="506" t="e">
        <f>LUONGNGAY!$K$36</f>
        <v>#VALUE!</v>
      </c>
      <c r="G924" s="494">
        <v>3.3000000000000002E-2</v>
      </c>
      <c r="H924" s="466" t="e">
        <f t="shared" si="18"/>
        <v>#VALUE!</v>
      </c>
    </row>
    <row r="925" spans="1:8" ht="24.75" customHeight="1">
      <c r="A925" s="494">
        <v>13</v>
      </c>
      <c r="B925" s="495" t="s">
        <v>88</v>
      </c>
      <c r="C925" s="494"/>
      <c r="D925" s="494"/>
      <c r="E925" s="494"/>
      <c r="G925" s="494"/>
      <c r="H925" s="466">
        <f t="shared" si="18"/>
        <v>0</v>
      </c>
    </row>
    <row r="926" spans="1:8" ht="24.75" customHeight="1">
      <c r="A926" s="494" t="s">
        <v>110</v>
      </c>
      <c r="B926" s="495" t="s">
        <v>775</v>
      </c>
      <c r="C926" s="494"/>
      <c r="D926" s="494"/>
      <c r="E926" s="494"/>
      <c r="G926" s="494"/>
      <c r="H926" s="466">
        <f t="shared" si="18"/>
        <v>0</v>
      </c>
    </row>
    <row r="927" spans="1:8" ht="24.75" customHeight="1">
      <c r="A927" s="494" t="s">
        <v>111</v>
      </c>
      <c r="B927" s="495" t="s">
        <v>777</v>
      </c>
      <c r="C927" s="494" t="s">
        <v>778</v>
      </c>
      <c r="D927" s="494" t="s">
        <v>779</v>
      </c>
      <c r="E927" s="499" t="s">
        <v>723</v>
      </c>
      <c r="F927" s="426" t="e">
        <f>LUONGNGAY!$K$34</f>
        <v>#VALUE!</v>
      </c>
      <c r="G927" s="494">
        <v>1.6E-2</v>
      </c>
      <c r="H927" s="466" t="e">
        <f t="shared" si="18"/>
        <v>#VALUE!</v>
      </c>
    </row>
    <row r="928" spans="1:8" ht="24.75" customHeight="1">
      <c r="A928" s="494" t="s">
        <v>112</v>
      </c>
      <c r="B928" s="495" t="s">
        <v>781</v>
      </c>
      <c r="C928" s="494" t="s">
        <v>778</v>
      </c>
      <c r="D928" s="494" t="s">
        <v>779</v>
      </c>
      <c r="E928" s="499" t="s">
        <v>723</v>
      </c>
      <c r="F928" s="426" t="e">
        <f>LUONGNGAY!$K$34</f>
        <v>#VALUE!</v>
      </c>
      <c r="G928" s="494">
        <v>8.0000000000000002E-3</v>
      </c>
      <c r="H928" s="466" t="e">
        <f t="shared" si="18"/>
        <v>#VALUE!</v>
      </c>
    </row>
    <row r="929" spans="1:8" ht="24.75" customHeight="1">
      <c r="A929" s="494" t="s">
        <v>113</v>
      </c>
      <c r="B929" s="495" t="s">
        <v>861</v>
      </c>
      <c r="C929" s="494" t="s">
        <v>778</v>
      </c>
      <c r="D929" s="494" t="s">
        <v>779</v>
      </c>
      <c r="E929" s="499" t="s">
        <v>723</v>
      </c>
      <c r="F929" s="426" t="e">
        <f>LUONGNGAY!$K$34</f>
        <v>#VALUE!</v>
      </c>
      <c r="G929" s="494">
        <v>4.0000000000000001E-3</v>
      </c>
      <c r="H929" s="466" t="e">
        <f t="shared" si="18"/>
        <v>#VALUE!</v>
      </c>
    </row>
    <row r="930" spans="1:8" ht="24.75" customHeight="1">
      <c r="A930" s="494" t="s">
        <v>114</v>
      </c>
      <c r="B930" s="495" t="s">
        <v>863</v>
      </c>
      <c r="C930" s="494" t="s">
        <v>481</v>
      </c>
      <c r="D930" s="494" t="s">
        <v>779</v>
      </c>
      <c r="E930" s="499" t="s">
        <v>723</v>
      </c>
      <c r="F930" s="426" t="e">
        <f>LUONGNGAY!$K$34</f>
        <v>#VALUE!</v>
      </c>
      <c r="G930" s="494">
        <v>0.01</v>
      </c>
      <c r="H930" s="466" t="e">
        <f t="shared" si="18"/>
        <v>#VALUE!</v>
      </c>
    </row>
    <row r="931" spans="1:8" ht="24.75" customHeight="1">
      <c r="A931" s="500" t="s">
        <v>1005</v>
      </c>
      <c r="B931" s="493" t="s">
        <v>912</v>
      </c>
      <c r="C931" s="494"/>
      <c r="D931" s="494"/>
      <c r="E931" s="494"/>
      <c r="G931" s="494"/>
      <c r="H931" s="466">
        <f t="shared" si="18"/>
        <v>0</v>
      </c>
    </row>
    <row r="932" spans="1:8" ht="24.75" customHeight="1">
      <c r="A932" s="494">
        <v>1</v>
      </c>
      <c r="B932" s="495" t="s">
        <v>814</v>
      </c>
      <c r="C932" s="494" t="s">
        <v>261</v>
      </c>
      <c r="D932" s="494" t="s">
        <v>842</v>
      </c>
      <c r="E932" s="499" t="s">
        <v>723</v>
      </c>
      <c r="F932" s="506" t="e">
        <f>LUONGNGAY!$K$36</f>
        <v>#VALUE!</v>
      </c>
      <c r="G932" s="494">
        <v>0.4</v>
      </c>
      <c r="H932" s="466" t="e">
        <f t="shared" si="18"/>
        <v>#VALUE!</v>
      </c>
    </row>
    <row r="933" spans="1:8" ht="24.75" customHeight="1">
      <c r="A933" s="500" t="s">
        <v>755</v>
      </c>
      <c r="B933" s="493" t="s">
        <v>914</v>
      </c>
      <c r="C933" s="494"/>
      <c r="D933" s="494"/>
      <c r="E933" s="494"/>
      <c r="G933" s="494"/>
      <c r="H933" s="466">
        <f t="shared" si="18"/>
        <v>0</v>
      </c>
    </row>
    <row r="934" spans="1:8" ht="24.75" customHeight="1">
      <c r="A934" s="494">
        <v>1</v>
      </c>
      <c r="B934" s="495" t="s">
        <v>815</v>
      </c>
      <c r="C934" s="494" t="s">
        <v>261</v>
      </c>
      <c r="D934" s="494" t="s">
        <v>847</v>
      </c>
      <c r="E934" s="499" t="s">
        <v>723</v>
      </c>
      <c r="F934" s="506" t="e">
        <f>LUONGNGAY!$K$35</f>
        <v>#VALUE!</v>
      </c>
      <c r="G934" s="494">
        <v>0.1</v>
      </c>
      <c r="H934" s="466" t="e">
        <f t="shared" si="18"/>
        <v>#VALUE!</v>
      </c>
    </row>
    <row r="935" spans="1:8" ht="18" customHeight="1">
      <c r="A935" s="470"/>
      <c r="B935" s="471"/>
      <c r="C935" s="472"/>
      <c r="D935" s="472"/>
      <c r="E935" s="470"/>
      <c r="F935" s="473"/>
      <c r="G935" s="474"/>
      <c r="H935" s="475"/>
    </row>
    <row r="936" spans="1:8" ht="31.9" customHeight="1">
      <c r="A936" s="1193" t="s">
        <v>823</v>
      </c>
      <c r="B936" s="1193"/>
      <c r="C936" s="1193"/>
      <c r="D936" s="1193"/>
      <c r="E936" s="1193"/>
      <c r="F936" s="1193"/>
      <c r="G936" s="1193"/>
      <c r="H936" s="1193"/>
    </row>
    <row r="937" spans="1:8" ht="20.25" customHeight="1">
      <c r="A937" s="414"/>
      <c r="B937" s="415"/>
      <c r="E937" s="417"/>
      <c r="F937" s="418"/>
      <c r="G937" s="417"/>
      <c r="H937" s="419"/>
    </row>
    <row r="938" spans="1:8" ht="49.5" customHeight="1">
      <c r="A938" s="422" t="s">
        <v>979</v>
      </c>
      <c r="B938" s="422" t="s">
        <v>198</v>
      </c>
      <c r="C938" s="423" t="s">
        <v>479</v>
      </c>
      <c r="D938" s="423" t="s">
        <v>478</v>
      </c>
      <c r="E938" s="423" t="s">
        <v>199</v>
      </c>
      <c r="F938" s="424" t="s">
        <v>483</v>
      </c>
      <c r="G938" s="423" t="s">
        <v>482</v>
      </c>
      <c r="H938" s="423" t="s">
        <v>200</v>
      </c>
    </row>
    <row r="939" spans="1:8" ht="29.25" customHeight="1">
      <c r="A939" s="524" t="s">
        <v>1000</v>
      </c>
      <c r="B939" s="493" t="s">
        <v>582</v>
      </c>
      <c r="C939" s="494"/>
      <c r="D939" s="494"/>
      <c r="E939" s="494"/>
      <c r="F939" s="494"/>
      <c r="G939" s="494"/>
      <c r="H939" s="494"/>
    </row>
    <row r="940" spans="1:8" ht="29.25" customHeight="1">
      <c r="A940" s="524">
        <v>1</v>
      </c>
      <c r="B940" s="495" t="s">
        <v>816</v>
      </c>
      <c r="C940" s="494"/>
      <c r="D940" s="494"/>
      <c r="E940" s="494"/>
      <c r="F940" s="494"/>
      <c r="G940" s="494"/>
      <c r="H940" s="494"/>
    </row>
    <row r="941" spans="1:8" ht="29.25" customHeight="1">
      <c r="A941" s="494" t="s">
        <v>733</v>
      </c>
      <c r="B941" s="495" t="s">
        <v>846</v>
      </c>
      <c r="C941" s="494" t="s">
        <v>261</v>
      </c>
      <c r="D941" s="494" t="s">
        <v>847</v>
      </c>
      <c r="E941" s="499" t="s">
        <v>723</v>
      </c>
      <c r="F941" s="506" t="e">
        <f>LUONGNGAY!$K$35</f>
        <v>#VALUE!</v>
      </c>
      <c r="G941" s="494">
        <v>0.26</v>
      </c>
      <c r="H941" s="466" t="e">
        <f>F941*G941</f>
        <v>#VALUE!</v>
      </c>
    </row>
    <row r="942" spans="1:8" ht="29.25" customHeight="1">
      <c r="A942" s="494" t="s">
        <v>741</v>
      </c>
      <c r="B942" s="495" t="s">
        <v>849</v>
      </c>
      <c r="C942" s="494" t="s">
        <v>261</v>
      </c>
      <c r="D942" s="494" t="s">
        <v>847</v>
      </c>
      <c r="E942" s="499" t="s">
        <v>723</v>
      </c>
      <c r="F942" s="506" t="e">
        <f>LUONGNGAY!$K$35</f>
        <v>#VALUE!</v>
      </c>
      <c r="G942" s="494">
        <v>0.19500000000000001</v>
      </c>
      <c r="H942" s="466" t="e">
        <f t="shared" ref="H942:H968" si="19">F942*G942</f>
        <v>#VALUE!</v>
      </c>
    </row>
    <row r="943" spans="1:8" ht="29.25" customHeight="1">
      <c r="A943" s="494">
        <v>2</v>
      </c>
      <c r="B943" s="495" t="s">
        <v>797</v>
      </c>
      <c r="C943" s="494" t="s">
        <v>261</v>
      </c>
      <c r="D943" s="494" t="s">
        <v>847</v>
      </c>
      <c r="E943" s="499" t="s">
        <v>723</v>
      </c>
      <c r="F943" s="506" t="e">
        <f>LUONGNGAY!$K$35</f>
        <v>#VALUE!</v>
      </c>
      <c r="G943" s="494">
        <v>0.32500000000000001</v>
      </c>
      <c r="H943" s="466" t="e">
        <f t="shared" si="19"/>
        <v>#VALUE!</v>
      </c>
    </row>
    <row r="944" spans="1:8" ht="29.25" customHeight="1">
      <c r="A944" s="494">
        <v>3</v>
      </c>
      <c r="B944" s="495" t="s">
        <v>851</v>
      </c>
      <c r="C944" s="494" t="s">
        <v>481</v>
      </c>
      <c r="D944" s="494" t="s">
        <v>842</v>
      </c>
      <c r="E944" s="499" t="s">
        <v>723</v>
      </c>
      <c r="F944" s="506" t="e">
        <f>LUONGNGAY!$K$36</f>
        <v>#VALUE!</v>
      </c>
      <c r="G944" s="494">
        <v>0.16700000000000001</v>
      </c>
      <c r="H944" s="466" t="e">
        <f t="shared" si="19"/>
        <v>#VALUE!</v>
      </c>
    </row>
    <row r="945" spans="1:8" ht="61.5" customHeight="1">
      <c r="A945" s="494">
        <v>4</v>
      </c>
      <c r="B945" s="495" t="s">
        <v>700</v>
      </c>
      <c r="C945" s="494" t="s">
        <v>261</v>
      </c>
      <c r="D945" s="494" t="s">
        <v>701</v>
      </c>
      <c r="E945" s="499" t="s">
        <v>723</v>
      </c>
      <c r="F945" s="506" t="e">
        <f>(LUONGNGAY!$K$35+LUONGNGAY!$K$44)/2</f>
        <v>#VALUE!</v>
      </c>
      <c r="G945" s="494">
        <f>1.08*2</f>
        <v>2.16</v>
      </c>
      <c r="H945" s="466" t="e">
        <f t="shared" si="19"/>
        <v>#VALUE!</v>
      </c>
    </row>
    <row r="946" spans="1:8" ht="29.25" customHeight="1">
      <c r="A946" s="494">
        <v>5</v>
      </c>
      <c r="B946" s="495" t="s">
        <v>2</v>
      </c>
      <c r="C946" s="494" t="s">
        <v>481</v>
      </c>
      <c r="D946" s="494" t="s">
        <v>842</v>
      </c>
      <c r="E946" s="499" t="s">
        <v>723</v>
      </c>
      <c r="F946" s="506" t="e">
        <f>LUONGNGAY!$K$36</f>
        <v>#VALUE!</v>
      </c>
      <c r="G946" s="494">
        <v>6.0000000000000001E-3</v>
      </c>
      <c r="H946" s="466" t="e">
        <f t="shared" si="19"/>
        <v>#VALUE!</v>
      </c>
    </row>
    <row r="947" spans="1:8" ht="29.25" customHeight="1">
      <c r="A947" s="494">
        <v>6</v>
      </c>
      <c r="B947" s="495" t="s">
        <v>702</v>
      </c>
      <c r="C947" s="494"/>
      <c r="D947" s="494"/>
      <c r="E947" s="494"/>
      <c r="G947" s="494"/>
      <c r="H947" s="466">
        <f t="shared" si="19"/>
        <v>0</v>
      </c>
    </row>
    <row r="948" spans="1:8" ht="29.25" customHeight="1">
      <c r="A948" s="494" t="s">
        <v>661</v>
      </c>
      <c r="B948" s="495" t="s">
        <v>587</v>
      </c>
      <c r="C948" s="494" t="s">
        <v>261</v>
      </c>
      <c r="D948" s="494" t="s">
        <v>847</v>
      </c>
      <c r="E948" s="499" t="s">
        <v>723</v>
      </c>
      <c r="F948" s="506" t="e">
        <f>LUONGNGAY!$K$35</f>
        <v>#VALUE!</v>
      </c>
      <c r="G948" s="494">
        <v>0.05</v>
      </c>
      <c r="H948" s="466" t="e">
        <f t="shared" si="19"/>
        <v>#VALUE!</v>
      </c>
    </row>
    <row r="949" spans="1:8" ht="29.25" customHeight="1">
      <c r="A949" s="494" t="s">
        <v>662</v>
      </c>
      <c r="B949" s="495" t="s">
        <v>588</v>
      </c>
      <c r="C949" s="494" t="s">
        <v>261</v>
      </c>
      <c r="D949" s="494" t="s">
        <v>847</v>
      </c>
      <c r="E949" s="499" t="s">
        <v>723</v>
      </c>
      <c r="F949" s="506" t="e">
        <f>LUONGNGAY!$K$35</f>
        <v>#VALUE!</v>
      </c>
      <c r="G949" s="494">
        <v>0.1</v>
      </c>
      <c r="H949" s="466" t="e">
        <f t="shared" si="19"/>
        <v>#VALUE!</v>
      </c>
    </row>
    <row r="950" spans="1:8" ht="29.25" customHeight="1">
      <c r="A950" s="494">
        <v>7</v>
      </c>
      <c r="B950" s="495" t="s">
        <v>408</v>
      </c>
      <c r="C950" s="494" t="s">
        <v>261</v>
      </c>
      <c r="D950" s="494" t="s">
        <v>842</v>
      </c>
      <c r="E950" s="499" t="s">
        <v>723</v>
      </c>
      <c r="F950" s="506" t="e">
        <f>LUONGNGAY!$K$36</f>
        <v>#VALUE!</v>
      </c>
      <c r="G950" s="494">
        <v>0.26</v>
      </c>
      <c r="H950" s="466" t="e">
        <f t="shared" si="19"/>
        <v>#VALUE!</v>
      </c>
    </row>
    <row r="951" spans="1:8" ht="29.25" customHeight="1">
      <c r="A951" s="494">
        <v>8</v>
      </c>
      <c r="B951" s="495" t="s">
        <v>78</v>
      </c>
      <c r="C951" s="494" t="s">
        <v>481</v>
      </c>
      <c r="D951" s="494" t="s">
        <v>842</v>
      </c>
      <c r="E951" s="499" t="s">
        <v>723</v>
      </c>
      <c r="F951" s="506" t="e">
        <f>LUONGNGAY!$K$36</f>
        <v>#VALUE!</v>
      </c>
      <c r="G951" s="494">
        <v>0.23499999999999999</v>
      </c>
      <c r="H951" s="466" t="e">
        <f t="shared" si="19"/>
        <v>#VALUE!</v>
      </c>
    </row>
    <row r="952" spans="1:8" ht="29.25" customHeight="1">
      <c r="A952" s="494">
        <v>9</v>
      </c>
      <c r="B952" s="495" t="s">
        <v>80</v>
      </c>
      <c r="C952" s="494"/>
      <c r="D952" s="494"/>
      <c r="E952" s="494"/>
      <c r="G952" s="494"/>
      <c r="H952" s="466">
        <f t="shared" si="19"/>
        <v>0</v>
      </c>
    </row>
    <row r="953" spans="1:8" ht="29.25" customHeight="1">
      <c r="A953" s="494" t="s">
        <v>663</v>
      </c>
      <c r="B953" s="495" t="s">
        <v>82</v>
      </c>
      <c r="C953" s="494" t="s">
        <v>559</v>
      </c>
      <c r="D953" s="494" t="s">
        <v>847</v>
      </c>
      <c r="E953" s="499" t="s">
        <v>723</v>
      </c>
      <c r="F953" s="506" t="e">
        <f>LUONGNGAY!$K$35</f>
        <v>#VALUE!</v>
      </c>
      <c r="G953" s="494">
        <v>0.1</v>
      </c>
      <c r="H953" s="466" t="e">
        <f t="shared" si="19"/>
        <v>#VALUE!</v>
      </c>
    </row>
    <row r="954" spans="1:8" ht="29.25" customHeight="1">
      <c r="A954" s="494" t="s">
        <v>664</v>
      </c>
      <c r="B954" s="495" t="s">
        <v>84</v>
      </c>
      <c r="C954" s="494" t="s">
        <v>559</v>
      </c>
      <c r="D954" s="494" t="s">
        <v>847</v>
      </c>
      <c r="E954" s="499" t="s">
        <v>723</v>
      </c>
      <c r="F954" s="506" t="e">
        <f>LUONGNGAY!$K$35</f>
        <v>#VALUE!</v>
      </c>
      <c r="G954" s="494">
        <v>0.2</v>
      </c>
      <c r="H954" s="466" t="e">
        <f t="shared" si="19"/>
        <v>#VALUE!</v>
      </c>
    </row>
    <row r="955" spans="1:8" ht="29.25" customHeight="1">
      <c r="A955" s="494" t="s">
        <v>409</v>
      </c>
      <c r="B955" s="495" t="s">
        <v>410</v>
      </c>
      <c r="C955" s="494" t="s">
        <v>559</v>
      </c>
      <c r="D955" s="494" t="s">
        <v>847</v>
      </c>
      <c r="E955" s="499" t="s">
        <v>723</v>
      </c>
      <c r="F955" s="506" t="e">
        <f>LUONGNGAY!$K$35</f>
        <v>#VALUE!</v>
      </c>
      <c r="G955" s="494">
        <v>0.1</v>
      </c>
      <c r="H955" s="466" t="e">
        <f t="shared" si="19"/>
        <v>#VALUE!</v>
      </c>
    </row>
    <row r="956" spans="1:8" ht="29.25" customHeight="1">
      <c r="A956" s="494">
        <v>10</v>
      </c>
      <c r="B956" s="495" t="s">
        <v>411</v>
      </c>
      <c r="C956" s="494" t="s">
        <v>261</v>
      </c>
      <c r="D956" s="494" t="s">
        <v>847</v>
      </c>
      <c r="E956" s="499" t="s">
        <v>723</v>
      </c>
      <c r="F956" s="506" t="e">
        <f>LUONGNGAY!$K$35</f>
        <v>#VALUE!</v>
      </c>
      <c r="G956" s="494">
        <v>0.52</v>
      </c>
      <c r="H956" s="466" t="e">
        <f t="shared" si="19"/>
        <v>#VALUE!</v>
      </c>
    </row>
    <row r="957" spans="1:8" ht="29.25" customHeight="1">
      <c r="A957" s="494">
        <v>11</v>
      </c>
      <c r="B957" s="495" t="s">
        <v>813</v>
      </c>
      <c r="C957" s="494" t="s">
        <v>261</v>
      </c>
      <c r="D957" s="494" t="s">
        <v>847</v>
      </c>
      <c r="E957" s="499" t="s">
        <v>723</v>
      </c>
      <c r="F957" s="506" t="e">
        <f>LUONGNGAY!$K$35</f>
        <v>#VALUE!</v>
      </c>
      <c r="G957" s="494">
        <v>0.44400000000000001</v>
      </c>
      <c r="H957" s="466" t="e">
        <f t="shared" si="19"/>
        <v>#VALUE!</v>
      </c>
    </row>
    <row r="958" spans="1:8" ht="29.25" customHeight="1">
      <c r="A958" s="494">
        <v>12</v>
      </c>
      <c r="B958" s="495" t="s">
        <v>87</v>
      </c>
      <c r="C958" s="494" t="s">
        <v>481</v>
      </c>
      <c r="D958" s="494" t="s">
        <v>842</v>
      </c>
      <c r="E958" s="499" t="s">
        <v>723</v>
      </c>
      <c r="F958" s="506" t="e">
        <f>LUONGNGAY!$K$36</f>
        <v>#VALUE!</v>
      </c>
      <c r="G958" s="494">
        <v>3.3000000000000002E-2</v>
      </c>
      <c r="H958" s="466" t="e">
        <f t="shared" si="19"/>
        <v>#VALUE!</v>
      </c>
    </row>
    <row r="959" spans="1:8" ht="29.25" customHeight="1">
      <c r="A959" s="494">
        <v>13</v>
      </c>
      <c r="B959" s="495" t="s">
        <v>88</v>
      </c>
      <c r="C959" s="494"/>
      <c r="D959" s="494"/>
      <c r="E959" s="494"/>
      <c r="G959" s="494"/>
      <c r="H959" s="466">
        <f t="shared" si="19"/>
        <v>0</v>
      </c>
    </row>
    <row r="960" spans="1:8" ht="29.25" customHeight="1">
      <c r="A960" s="494" t="s">
        <v>110</v>
      </c>
      <c r="B960" s="495" t="s">
        <v>775</v>
      </c>
      <c r="C960" s="494"/>
      <c r="D960" s="494"/>
      <c r="E960" s="494"/>
      <c r="G960" s="494"/>
      <c r="H960" s="466">
        <f t="shared" si="19"/>
        <v>0</v>
      </c>
    </row>
    <row r="961" spans="1:8" ht="29.25" customHeight="1">
      <c r="A961" s="494" t="s">
        <v>111</v>
      </c>
      <c r="B961" s="495" t="s">
        <v>777</v>
      </c>
      <c r="C961" s="494" t="s">
        <v>778</v>
      </c>
      <c r="D961" s="494" t="s">
        <v>779</v>
      </c>
      <c r="E961" s="499" t="s">
        <v>723</v>
      </c>
      <c r="F961" s="426" t="e">
        <f>LUONGNGAY!$K$34</f>
        <v>#VALUE!</v>
      </c>
      <c r="G961" s="494">
        <v>0.02</v>
      </c>
      <c r="H961" s="466" t="e">
        <f t="shared" si="19"/>
        <v>#VALUE!</v>
      </c>
    </row>
    <row r="962" spans="1:8" ht="29.25" customHeight="1">
      <c r="A962" s="494" t="s">
        <v>112</v>
      </c>
      <c r="B962" s="495" t="s">
        <v>781</v>
      </c>
      <c r="C962" s="494" t="s">
        <v>778</v>
      </c>
      <c r="D962" s="494" t="s">
        <v>779</v>
      </c>
      <c r="E962" s="499" t="s">
        <v>723</v>
      </c>
      <c r="F962" s="426" t="e">
        <f>LUONGNGAY!$K$34</f>
        <v>#VALUE!</v>
      </c>
      <c r="G962" s="494">
        <v>0.01</v>
      </c>
      <c r="H962" s="466" t="e">
        <f t="shared" si="19"/>
        <v>#VALUE!</v>
      </c>
    </row>
    <row r="963" spans="1:8" ht="29.25" customHeight="1">
      <c r="A963" s="494" t="s">
        <v>113</v>
      </c>
      <c r="B963" s="495" t="s">
        <v>861</v>
      </c>
      <c r="C963" s="494" t="s">
        <v>778</v>
      </c>
      <c r="D963" s="494" t="s">
        <v>779</v>
      </c>
      <c r="E963" s="499" t="s">
        <v>723</v>
      </c>
      <c r="F963" s="426" t="e">
        <f>LUONGNGAY!$K$34</f>
        <v>#VALUE!</v>
      </c>
      <c r="G963" s="494">
        <v>5.0000000000000001E-3</v>
      </c>
      <c r="H963" s="466" t="e">
        <f t="shared" si="19"/>
        <v>#VALUE!</v>
      </c>
    </row>
    <row r="964" spans="1:8" ht="29.25" customHeight="1">
      <c r="A964" s="494" t="s">
        <v>114</v>
      </c>
      <c r="B964" s="495" t="s">
        <v>863</v>
      </c>
      <c r="C964" s="494" t="s">
        <v>481</v>
      </c>
      <c r="D964" s="494" t="s">
        <v>779</v>
      </c>
      <c r="E964" s="499" t="s">
        <v>723</v>
      </c>
      <c r="F964" s="426" t="e">
        <f>LUONGNGAY!$K$34</f>
        <v>#VALUE!</v>
      </c>
      <c r="G964" s="494">
        <v>0.01</v>
      </c>
      <c r="H964" s="466" t="e">
        <f t="shared" si="19"/>
        <v>#VALUE!</v>
      </c>
    </row>
    <row r="965" spans="1:8" ht="29.25" customHeight="1">
      <c r="A965" s="500" t="s">
        <v>1005</v>
      </c>
      <c r="B965" s="493" t="s">
        <v>912</v>
      </c>
      <c r="C965" s="494"/>
      <c r="D965" s="494"/>
      <c r="E965" s="494"/>
      <c r="G965" s="494"/>
      <c r="H965" s="466">
        <f t="shared" si="19"/>
        <v>0</v>
      </c>
    </row>
    <row r="966" spans="1:8" ht="29.25" customHeight="1">
      <c r="A966" s="494">
        <v>1</v>
      </c>
      <c r="B966" s="495" t="s">
        <v>814</v>
      </c>
      <c r="C966" s="494" t="s">
        <v>261</v>
      </c>
      <c r="D966" s="494" t="s">
        <v>842</v>
      </c>
      <c r="E966" s="499" t="s">
        <v>723</v>
      </c>
      <c r="F966" s="506" t="e">
        <f>LUONGNGAY!$K$36</f>
        <v>#VALUE!</v>
      </c>
      <c r="G966" s="494">
        <v>0.52</v>
      </c>
      <c r="H966" s="466" t="e">
        <f t="shared" si="19"/>
        <v>#VALUE!</v>
      </c>
    </row>
    <row r="967" spans="1:8" ht="33.75" customHeight="1">
      <c r="A967" s="500" t="s">
        <v>755</v>
      </c>
      <c r="B967" s="493" t="s">
        <v>914</v>
      </c>
      <c r="C967" s="494"/>
      <c r="D967" s="494"/>
      <c r="E967" s="494"/>
      <c r="G967" s="494"/>
      <c r="H967" s="466">
        <f t="shared" si="19"/>
        <v>0</v>
      </c>
    </row>
    <row r="968" spans="1:8" ht="33.75" customHeight="1">
      <c r="A968" s="494">
        <v>1</v>
      </c>
      <c r="B968" s="495" t="s">
        <v>815</v>
      </c>
      <c r="C968" s="494" t="s">
        <v>261</v>
      </c>
      <c r="D968" s="494" t="s">
        <v>847</v>
      </c>
      <c r="E968" s="499" t="s">
        <v>723</v>
      </c>
      <c r="F968" s="506" t="e">
        <f>LUONGNGAY!$K$35</f>
        <v>#VALUE!</v>
      </c>
      <c r="G968" s="494">
        <v>0.13</v>
      </c>
      <c r="H968" s="466" t="e">
        <f t="shared" si="19"/>
        <v>#VALUE!</v>
      </c>
    </row>
    <row r="969" spans="1:8" ht="30" customHeight="1">
      <c r="A969" s="476"/>
      <c r="B969" s="477"/>
      <c r="C969" s="478"/>
      <c r="D969" s="478"/>
      <c r="E969" s="476"/>
      <c r="F969" s="450"/>
      <c r="G969" s="479"/>
      <c r="H969" s="480"/>
    </row>
    <row r="970" spans="1:8" ht="18" customHeight="1">
      <c r="A970" s="470"/>
      <c r="B970" s="471"/>
      <c r="C970" s="472"/>
      <c r="D970" s="472"/>
      <c r="E970" s="470"/>
      <c r="F970" s="473"/>
      <c r="G970" s="474"/>
      <c r="H970" s="475"/>
    </row>
    <row r="971" spans="1:8">
      <c r="A971" s="1193" t="s">
        <v>827</v>
      </c>
      <c r="B971" s="1193"/>
      <c r="C971" s="1193"/>
      <c r="D971" s="1193"/>
      <c r="E971" s="1193"/>
      <c r="F971" s="1193"/>
      <c r="G971" s="1193"/>
      <c r="H971" s="1193"/>
    </row>
    <row r="972" spans="1:8" ht="43.5" customHeight="1">
      <c r="A972" s="422" t="s">
        <v>979</v>
      </c>
      <c r="B972" s="422" t="s">
        <v>198</v>
      </c>
      <c r="C972" s="423" t="s">
        <v>479</v>
      </c>
      <c r="D972" s="423" t="s">
        <v>478</v>
      </c>
      <c r="E972" s="423" t="s">
        <v>199</v>
      </c>
      <c r="F972" s="424" t="s">
        <v>483</v>
      </c>
      <c r="G972" s="423" t="s">
        <v>482</v>
      </c>
      <c r="H972" s="423" t="s">
        <v>200</v>
      </c>
    </row>
    <row r="973" spans="1:8">
      <c r="A973" s="525" t="s">
        <v>1000</v>
      </c>
      <c r="B973" s="526" t="s">
        <v>339</v>
      </c>
      <c r="C973" s="510"/>
      <c r="D973" s="510"/>
      <c r="E973" s="510"/>
      <c r="F973" s="510"/>
      <c r="G973" s="510"/>
      <c r="H973" s="510"/>
    </row>
    <row r="974" spans="1:8">
      <c r="A974" s="516">
        <v>1</v>
      </c>
      <c r="B974" s="517" t="s">
        <v>824</v>
      </c>
      <c r="C974" s="516"/>
      <c r="D974" s="516"/>
      <c r="E974" s="516"/>
      <c r="F974" s="516"/>
      <c r="G974" s="516"/>
      <c r="H974" s="516"/>
    </row>
    <row r="975" spans="1:8">
      <c r="A975" s="516" t="s">
        <v>733</v>
      </c>
      <c r="B975" s="517" t="s">
        <v>846</v>
      </c>
      <c r="C975" s="516" t="s">
        <v>261</v>
      </c>
      <c r="D975" s="516" t="s">
        <v>842</v>
      </c>
      <c r="E975" s="499" t="s">
        <v>723</v>
      </c>
      <c r="F975" s="506" t="e">
        <f>LUONGNGAY!$K$36</f>
        <v>#VALUE!</v>
      </c>
      <c r="G975" s="516">
        <v>0.2</v>
      </c>
      <c r="H975" s="466" t="e">
        <f>F975*G975</f>
        <v>#VALUE!</v>
      </c>
    </row>
    <row r="976" spans="1:8">
      <c r="A976" s="516" t="s">
        <v>741</v>
      </c>
      <c r="B976" s="517" t="s">
        <v>849</v>
      </c>
      <c r="C976" s="516" t="s">
        <v>261</v>
      </c>
      <c r="D976" s="516" t="s">
        <v>842</v>
      </c>
      <c r="E976" s="499" t="s">
        <v>723</v>
      </c>
      <c r="F976" s="506" t="e">
        <f>LUONGNGAY!$K$36</f>
        <v>#VALUE!</v>
      </c>
      <c r="G976" s="516">
        <v>0.15</v>
      </c>
      <c r="H976" s="466" t="e">
        <f t="shared" ref="H976:H1002" si="20">F976*G976</f>
        <v>#VALUE!</v>
      </c>
    </row>
    <row r="977" spans="1:8" ht="24.75">
      <c r="A977" s="516">
        <v>2</v>
      </c>
      <c r="B977" s="517" t="s">
        <v>797</v>
      </c>
      <c r="C977" s="516" t="s">
        <v>261</v>
      </c>
      <c r="D977" s="516" t="s">
        <v>842</v>
      </c>
      <c r="E977" s="499" t="s">
        <v>723</v>
      </c>
      <c r="F977" s="506" t="e">
        <f>LUONGNGAY!$K$36</f>
        <v>#VALUE!</v>
      </c>
      <c r="G977" s="516">
        <v>0.3</v>
      </c>
      <c r="H977" s="466" t="e">
        <f t="shared" si="20"/>
        <v>#VALUE!</v>
      </c>
    </row>
    <row r="978" spans="1:8" ht="24.75">
      <c r="A978" s="516">
        <v>3</v>
      </c>
      <c r="B978" s="517" t="s">
        <v>881</v>
      </c>
      <c r="C978" s="516" t="s">
        <v>481</v>
      </c>
      <c r="D978" s="516" t="s">
        <v>842</v>
      </c>
      <c r="E978" s="499" t="s">
        <v>723</v>
      </c>
      <c r="F978" s="506" t="e">
        <f>LUONGNGAY!$K$36</f>
        <v>#VALUE!</v>
      </c>
      <c r="G978" s="516">
        <v>0.107</v>
      </c>
      <c r="H978" s="466" t="e">
        <f t="shared" si="20"/>
        <v>#VALUE!</v>
      </c>
    </row>
    <row r="979" spans="1:8" ht="60.75">
      <c r="A979" s="516">
        <v>4</v>
      </c>
      <c r="B979" s="517" t="s">
        <v>700</v>
      </c>
      <c r="C979" s="516" t="s">
        <v>261</v>
      </c>
      <c r="D979" s="516" t="s">
        <v>825</v>
      </c>
      <c r="E979" s="499" t="s">
        <v>723</v>
      </c>
      <c r="F979" s="506" t="e">
        <f>(LUONGNGAY!$K$36+LUONGNGAY!$K$35)/2</f>
        <v>#VALUE!</v>
      </c>
      <c r="G979" s="516">
        <f>2*2</f>
        <v>4</v>
      </c>
      <c r="H979" s="466" t="e">
        <f t="shared" si="20"/>
        <v>#VALUE!</v>
      </c>
    </row>
    <row r="980" spans="1:8">
      <c r="A980" s="516">
        <v>5</v>
      </c>
      <c r="B980" s="517" t="s">
        <v>886</v>
      </c>
      <c r="C980" s="516" t="s">
        <v>481</v>
      </c>
      <c r="D980" s="516" t="s">
        <v>842</v>
      </c>
      <c r="E980" s="499" t="s">
        <v>723</v>
      </c>
      <c r="F980" s="506" t="e">
        <f>LUONGNGAY!$K$36</f>
        <v>#VALUE!</v>
      </c>
      <c r="G980" s="516">
        <v>3.0000000000000001E-3</v>
      </c>
      <c r="H980" s="466" t="e">
        <f t="shared" si="20"/>
        <v>#VALUE!</v>
      </c>
    </row>
    <row r="981" spans="1:8" ht="36.75">
      <c r="A981" s="516">
        <v>6</v>
      </c>
      <c r="B981" s="517" t="s">
        <v>802</v>
      </c>
      <c r="C981" s="516"/>
      <c r="D981" s="516"/>
      <c r="E981" s="516"/>
      <c r="G981" s="516"/>
      <c r="H981" s="466">
        <f t="shared" si="20"/>
        <v>0</v>
      </c>
    </row>
    <row r="982" spans="1:8">
      <c r="A982" s="516" t="s">
        <v>661</v>
      </c>
      <c r="B982" s="517" t="s">
        <v>587</v>
      </c>
      <c r="C982" s="516" t="s">
        <v>261</v>
      </c>
      <c r="D982" s="516" t="s">
        <v>847</v>
      </c>
      <c r="E982" s="499" t="s">
        <v>723</v>
      </c>
      <c r="F982" s="506" t="e">
        <f>LUONGNGAY!$K$35</f>
        <v>#VALUE!</v>
      </c>
      <c r="G982" s="516">
        <v>0.05</v>
      </c>
      <c r="H982" s="466" t="e">
        <f t="shared" si="20"/>
        <v>#VALUE!</v>
      </c>
    </row>
    <row r="983" spans="1:8">
      <c r="A983" s="516" t="s">
        <v>662</v>
      </c>
      <c r="B983" s="517" t="s">
        <v>588</v>
      </c>
      <c r="C983" s="516" t="s">
        <v>261</v>
      </c>
      <c r="D983" s="516" t="s">
        <v>847</v>
      </c>
      <c r="E983" s="499" t="s">
        <v>723</v>
      </c>
      <c r="F983" s="506" t="e">
        <f>LUONGNGAY!$K$35</f>
        <v>#VALUE!</v>
      </c>
      <c r="G983" s="516">
        <v>0.1</v>
      </c>
      <c r="H983" s="466" t="e">
        <f t="shared" si="20"/>
        <v>#VALUE!</v>
      </c>
    </row>
    <row r="984" spans="1:8" ht="24.75">
      <c r="A984" s="516">
        <v>7</v>
      </c>
      <c r="B984" s="517" t="s">
        <v>408</v>
      </c>
      <c r="C984" s="516" t="s">
        <v>261</v>
      </c>
      <c r="D984" s="516" t="s">
        <v>847</v>
      </c>
      <c r="E984" s="499" t="s">
        <v>723</v>
      </c>
      <c r="F984" s="506" t="e">
        <f>LUONGNGAY!$K$35</f>
        <v>#VALUE!</v>
      </c>
      <c r="G984" s="516">
        <v>0.2</v>
      </c>
      <c r="H984" s="466" t="e">
        <f t="shared" si="20"/>
        <v>#VALUE!</v>
      </c>
    </row>
    <row r="985" spans="1:8">
      <c r="A985" s="516">
        <v>8</v>
      </c>
      <c r="B985" s="517" t="s">
        <v>78</v>
      </c>
      <c r="C985" s="516" t="s">
        <v>481</v>
      </c>
      <c r="D985" s="516" t="s">
        <v>842</v>
      </c>
      <c r="E985" s="499" t="s">
        <v>723</v>
      </c>
      <c r="F985" s="506" t="e">
        <f>LUONGNGAY!$K$36</f>
        <v>#VALUE!</v>
      </c>
      <c r="G985" s="516">
        <v>3.3000000000000002E-2</v>
      </c>
      <c r="H985" s="466" t="e">
        <f t="shared" si="20"/>
        <v>#VALUE!</v>
      </c>
    </row>
    <row r="986" spans="1:8">
      <c r="A986" s="516">
        <v>9</v>
      </c>
      <c r="B986" s="517" t="s">
        <v>80</v>
      </c>
      <c r="C986" s="516"/>
      <c r="D986" s="516"/>
      <c r="E986" s="516"/>
      <c r="G986" s="516"/>
      <c r="H986" s="466">
        <f t="shared" si="20"/>
        <v>0</v>
      </c>
    </row>
    <row r="987" spans="1:8">
      <c r="A987" s="516" t="s">
        <v>663</v>
      </c>
      <c r="B987" s="517" t="s">
        <v>82</v>
      </c>
      <c r="C987" s="516" t="s">
        <v>559</v>
      </c>
      <c r="D987" s="516" t="s">
        <v>847</v>
      </c>
      <c r="E987" s="499" t="s">
        <v>723</v>
      </c>
      <c r="F987" s="506" t="e">
        <f>LUONGNGAY!$K$35</f>
        <v>#VALUE!</v>
      </c>
      <c r="G987" s="516">
        <v>0.1</v>
      </c>
      <c r="H987" s="466" t="e">
        <f t="shared" si="20"/>
        <v>#VALUE!</v>
      </c>
    </row>
    <row r="988" spans="1:8">
      <c r="A988" s="516" t="s">
        <v>664</v>
      </c>
      <c r="B988" s="517" t="s">
        <v>84</v>
      </c>
      <c r="C988" s="516" t="s">
        <v>559</v>
      </c>
      <c r="D988" s="516" t="s">
        <v>847</v>
      </c>
      <c r="E988" s="499" t="s">
        <v>723</v>
      </c>
      <c r="F988" s="506" t="e">
        <f>LUONGNGAY!$K$35</f>
        <v>#VALUE!</v>
      </c>
      <c r="G988" s="516">
        <v>0.15</v>
      </c>
      <c r="H988" s="466" t="e">
        <f t="shared" si="20"/>
        <v>#VALUE!</v>
      </c>
    </row>
    <row r="989" spans="1:8" ht="30.75" customHeight="1">
      <c r="A989" s="516" t="s">
        <v>409</v>
      </c>
      <c r="B989" s="517" t="s">
        <v>410</v>
      </c>
      <c r="C989" s="516" t="s">
        <v>559</v>
      </c>
      <c r="D989" s="516" t="s">
        <v>847</v>
      </c>
      <c r="E989" s="499" t="s">
        <v>723</v>
      </c>
      <c r="F989" s="506" t="e">
        <f>LUONGNGAY!$K$35</f>
        <v>#VALUE!</v>
      </c>
      <c r="G989" s="516">
        <v>0.1</v>
      </c>
      <c r="H989" s="466" t="e">
        <f t="shared" si="20"/>
        <v>#VALUE!</v>
      </c>
    </row>
    <row r="990" spans="1:8" ht="30.75" customHeight="1">
      <c r="A990" s="516">
        <v>10</v>
      </c>
      <c r="B990" s="517" t="s">
        <v>411</v>
      </c>
      <c r="C990" s="516" t="s">
        <v>261</v>
      </c>
      <c r="D990" s="516" t="s">
        <v>842</v>
      </c>
      <c r="E990" s="499" t="s">
        <v>723</v>
      </c>
      <c r="F990" s="506" t="e">
        <f>LUONGNGAY!$K$36</f>
        <v>#VALUE!</v>
      </c>
      <c r="G990" s="516">
        <v>0.5</v>
      </c>
      <c r="H990" s="466" t="e">
        <f t="shared" si="20"/>
        <v>#VALUE!</v>
      </c>
    </row>
    <row r="991" spans="1:8" ht="36.75">
      <c r="A991" s="516">
        <v>11</v>
      </c>
      <c r="B991" s="517" t="s">
        <v>826</v>
      </c>
      <c r="C991" s="516" t="s">
        <v>261</v>
      </c>
      <c r="D991" s="516" t="s">
        <v>842</v>
      </c>
      <c r="E991" s="499" t="s">
        <v>723</v>
      </c>
      <c r="F991" s="506" t="e">
        <f>LUONGNGAY!$K$36</f>
        <v>#VALUE!</v>
      </c>
      <c r="G991" s="516">
        <v>0.37</v>
      </c>
      <c r="H991" s="466" t="e">
        <f t="shared" si="20"/>
        <v>#VALUE!</v>
      </c>
    </row>
    <row r="992" spans="1:8">
      <c r="A992" s="516">
        <v>12</v>
      </c>
      <c r="B992" s="517" t="s">
        <v>87</v>
      </c>
      <c r="C992" s="516" t="s">
        <v>481</v>
      </c>
      <c r="D992" s="516" t="s">
        <v>842</v>
      </c>
      <c r="E992" s="499" t="s">
        <v>723</v>
      </c>
      <c r="F992" s="506" t="e">
        <f>LUONGNGAY!$K$36</f>
        <v>#VALUE!</v>
      </c>
      <c r="G992" s="516">
        <v>3.3000000000000002E-2</v>
      </c>
      <c r="H992" s="466" t="e">
        <f t="shared" si="20"/>
        <v>#VALUE!</v>
      </c>
    </row>
    <row r="993" spans="1:8">
      <c r="A993" s="516">
        <v>13</v>
      </c>
      <c r="B993" s="517" t="s">
        <v>88</v>
      </c>
      <c r="C993" s="516"/>
      <c r="D993" s="516"/>
      <c r="E993" s="516"/>
      <c r="G993" s="516"/>
      <c r="H993" s="466">
        <f t="shared" si="20"/>
        <v>0</v>
      </c>
    </row>
    <row r="994" spans="1:8" ht="24.75">
      <c r="A994" s="516" t="s">
        <v>110</v>
      </c>
      <c r="B994" s="517" t="s">
        <v>775</v>
      </c>
      <c r="C994" s="516"/>
      <c r="D994" s="516"/>
      <c r="E994" s="516"/>
      <c r="G994" s="516"/>
      <c r="H994" s="466">
        <f t="shared" si="20"/>
        <v>0</v>
      </c>
    </row>
    <row r="995" spans="1:8">
      <c r="A995" s="516" t="s">
        <v>111</v>
      </c>
      <c r="B995" s="517" t="s">
        <v>777</v>
      </c>
      <c r="C995" s="516" t="s">
        <v>778</v>
      </c>
      <c r="D995" s="516" t="s">
        <v>779</v>
      </c>
      <c r="E995" s="499" t="s">
        <v>723</v>
      </c>
      <c r="F995" s="426" t="e">
        <f>LUONGNGAY!$K$34</f>
        <v>#VALUE!</v>
      </c>
      <c r="G995" s="516">
        <v>1.6E-2</v>
      </c>
      <c r="H995" s="466" t="e">
        <f t="shared" si="20"/>
        <v>#VALUE!</v>
      </c>
    </row>
    <row r="996" spans="1:8">
      <c r="A996" s="516" t="s">
        <v>112</v>
      </c>
      <c r="B996" s="517" t="s">
        <v>781</v>
      </c>
      <c r="C996" s="516" t="s">
        <v>778</v>
      </c>
      <c r="D996" s="516" t="s">
        <v>779</v>
      </c>
      <c r="E996" s="499" t="s">
        <v>723</v>
      </c>
      <c r="F996" s="426" t="e">
        <f>LUONGNGAY!$K$34</f>
        <v>#VALUE!</v>
      </c>
      <c r="G996" s="516">
        <v>8.0000000000000002E-3</v>
      </c>
      <c r="H996" s="466" t="e">
        <f t="shared" si="20"/>
        <v>#VALUE!</v>
      </c>
    </row>
    <row r="997" spans="1:8" ht="26.25" customHeight="1">
      <c r="A997" s="516" t="s">
        <v>113</v>
      </c>
      <c r="B997" s="517" t="s">
        <v>861</v>
      </c>
      <c r="C997" s="516" t="s">
        <v>778</v>
      </c>
      <c r="D997" s="516" t="s">
        <v>779</v>
      </c>
      <c r="E997" s="499" t="s">
        <v>723</v>
      </c>
      <c r="F997" s="426" t="e">
        <f>LUONGNGAY!$K$34</f>
        <v>#VALUE!</v>
      </c>
      <c r="G997" s="516">
        <v>4.0000000000000001E-3</v>
      </c>
      <c r="H997" s="466" t="e">
        <f t="shared" si="20"/>
        <v>#VALUE!</v>
      </c>
    </row>
    <row r="998" spans="1:8" ht="20.25" customHeight="1">
      <c r="A998" s="516" t="s">
        <v>114</v>
      </c>
      <c r="B998" s="517" t="s">
        <v>863</v>
      </c>
      <c r="C998" s="516" t="s">
        <v>481</v>
      </c>
      <c r="D998" s="516" t="s">
        <v>779</v>
      </c>
      <c r="E998" s="499" t="s">
        <v>723</v>
      </c>
      <c r="F998" s="426" t="e">
        <f>LUONGNGAY!$K$34</f>
        <v>#VALUE!</v>
      </c>
      <c r="G998" s="516">
        <v>0.01</v>
      </c>
      <c r="H998" s="466" t="e">
        <f t="shared" si="20"/>
        <v>#VALUE!</v>
      </c>
    </row>
    <row r="999" spans="1:8">
      <c r="A999" s="522" t="s">
        <v>1005</v>
      </c>
      <c r="B999" s="523" t="s">
        <v>582</v>
      </c>
      <c r="C999" s="516"/>
      <c r="D999" s="516"/>
      <c r="E999" s="516"/>
      <c r="G999" s="516"/>
      <c r="H999" s="466">
        <f t="shared" si="20"/>
        <v>0</v>
      </c>
    </row>
    <row r="1000" spans="1:8">
      <c r="A1000" s="516">
        <v>1</v>
      </c>
      <c r="B1000" s="517" t="s">
        <v>626</v>
      </c>
      <c r="C1000" s="516" t="s">
        <v>261</v>
      </c>
      <c r="D1000" s="516" t="s">
        <v>847</v>
      </c>
      <c r="E1000" s="499" t="s">
        <v>723</v>
      </c>
      <c r="F1000" s="506" t="e">
        <f>LUONGNGAY!$K$35</f>
        <v>#VALUE!</v>
      </c>
      <c r="G1000" s="516">
        <v>0.3</v>
      </c>
      <c r="H1000" s="466" t="e">
        <f t="shared" si="20"/>
        <v>#VALUE!</v>
      </c>
    </row>
    <row r="1001" spans="1:8">
      <c r="A1001" s="522" t="s">
        <v>755</v>
      </c>
      <c r="B1001" s="523" t="s">
        <v>460</v>
      </c>
      <c r="C1001" s="516"/>
      <c r="D1001" s="516"/>
      <c r="E1001" s="516"/>
      <c r="G1001" s="516"/>
      <c r="H1001" s="466">
        <f t="shared" si="20"/>
        <v>0</v>
      </c>
    </row>
    <row r="1002" spans="1:8" ht="35.25" customHeight="1">
      <c r="A1002" s="516">
        <v>1</v>
      </c>
      <c r="B1002" s="517" t="s">
        <v>627</v>
      </c>
      <c r="C1002" s="516" t="s">
        <v>261</v>
      </c>
      <c r="D1002" s="516" t="s">
        <v>847</v>
      </c>
      <c r="E1002" s="499" t="s">
        <v>723</v>
      </c>
      <c r="F1002" s="506" t="e">
        <f>LUONGNGAY!$K$35</f>
        <v>#VALUE!</v>
      </c>
      <c r="G1002" s="516">
        <v>0.1</v>
      </c>
      <c r="H1002" s="466" t="e">
        <f t="shared" si="20"/>
        <v>#VALUE!</v>
      </c>
    </row>
    <row r="1003" spans="1:8">
      <c r="A1003" s="462"/>
      <c r="B1003" s="445"/>
      <c r="C1003" s="439"/>
      <c r="D1003" s="439"/>
      <c r="E1003" s="462"/>
      <c r="F1003" s="440"/>
      <c r="G1003" s="464"/>
      <c r="H1003" s="442"/>
    </row>
    <row r="1004" spans="1:8">
      <c r="A1004" s="462"/>
      <c r="B1004" s="445"/>
      <c r="C1004" s="439"/>
      <c r="D1004" s="439"/>
      <c r="E1004" s="462"/>
      <c r="F1004" s="440"/>
      <c r="G1004" s="464"/>
      <c r="H1004" s="442"/>
    </row>
    <row r="1005" spans="1:8" ht="27" customHeight="1">
      <c r="A1005" s="1199" t="s">
        <v>828</v>
      </c>
      <c r="B1005" s="1199"/>
      <c r="C1005" s="1199"/>
      <c r="D1005" s="1199"/>
      <c r="E1005" s="1199"/>
      <c r="F1005" s="1199"/>
      <c r="G1005" s="1199"/>
      <c r="H1005" s="1199"/>
    </row>
    <row r="1006" spans="1:8" ht="32.25" customHeight="1">
      <c r="A1006" s="422" t="s">
        <v>979</v>
      </c>
      <c r="B1006" s="422" t="s">
        <v>198</v>
      </c>
      <c r="C1006" s="423" t="s">
        <v>479</v>
      </c>
      <c r="D1006" s="423" t="s">
        <v>478</v>
      </c>
      <c r="E1006" s="423" t="s">
        <v>199</v>
      </c>
      <c r="F1006" s="424" t="s">
        <v>483</v>
      </c>
      <c r="G1006" s="423" t="s">
        <v>482</v>
      </c>
      <c r="H1006" s="423" t="s">
        <v>200</v>
      </c>
    </row>
    <row r="1007" spans="1:8">
      <c r="A1007" s="525" t="s">
        <v>1000</v>
      </c>
      <c r="B1007" s="526" t="s">
        <v>339</v>
      </c>
      <c r="C1007" s="510"/>
      <c r="D1007" s="510"/>
      <c r="E1007" s="510"/>
      <c r="F1007" s="510"/>
      <c r="G1007" s="510"/>
      <c r="H1007" s="510"/>
    </row>
    <row r="1008" spans="1:8">
      <c r="A1008" s="516">
        <v>1</v>
      </c>
      <c r="B1008" s="517" t="s">
        <v>824</v>
      </c>
      <c r="C1008" s="516"/>
      <c r="D1008" s="516"/>
      <c r="E1008" s="516"/>
      <c r="F1008" s="516"/>
      <c r="G1008" s="516"/>
      <c r="H1008" s="516"/>
    </row>
    <row r="1009" spans="1:8">
      <c r="A1009" s="516" t="s">
        <v>733</v>
      </c>
      <c r="B1009" s="517" t="s">
        <v>846</v>
      </c>
      <c r="C1009" s="516" t="s">
        <v>261</v>
      </c>
      <c r="D1009" s="516" t="s">
        <v>842</v>
      </c>
      <c r="E1009" s="499" t="s">
        <v>723</v>
      </c>
      <c r="F1009" s="506" t="e">
        <f>LUONGNGAY!$K$36</f>
        <v>#VALUE!</v>
      </c>
      <c r="G1009" s="516">
        <v>0.2</v>
      </c>
      <c r="H1009" s="466" t="e">
        <f>F1009*G1009</f>
        <v>#VALUE!</v>
      </c>
    </row>
    <row r="1010" spans="1:8">
      <c r="A1010" s="516" t="s">
        <v>741</v>
      </c>
      <c r="B1010" s="517" t="s">
        <v>849</v>
      </c>
      <c r="C1010" s="516" t="s">
        <v>261</v>
      </c>
      <c r="D1010" s="516" t="s">
        <v>842</v>
      </c>
      <c r="E1010" s="499" t="s">
        <v>723</v>
      </c>
      <c r="F1010" s="506" t="e">
        <f>LUONGNGAY!$K$36</f>
        <v>#VALUE!</v>
      </c>
      <c r="G1010" s="516">
        <v>0.15</v>
      </c>
      <c r="H1010" s="466" t="e">
        <f t="shared" ref="H1010:H1036" si="21">F1010*G1010</f>
        <v>#VALUE!</v>
      </c>
    </row>
    <row r="1011" spans="1:8" ht="24.75">
      <c r="A1011" s="516">
        <v>2</v>
      </c>
      <c r="B1011" s="517" t="s">
        <v>797</v>
      </c>
      <c r="C1011" s="516" t="s">
        <v>261</v>
      </c>
      <c r="D1011" s="516" t="s">
        <v>842</v>
      </c>
      <c r="E1011" s="499" t="s">
        <v>723</v>
      </c>
      <c r="F1011" s="506" t="e">
        <f>LUONGNGAY!$K$36</f>
        <v>#VALUE!</v>
      </c>
      <c r="G1011" s="516">
        <v>0.3</v>
      </c>
      <c r="H1011" s="466" t="e">
        <f t="shared" si="21"/>
        <v>#VALUE!</v>
      </c>
    </row>
    <row r="1012" spans="1:8" ht="24.75">
      <c r="A1012" s="516">
        <v>3</v>
      </c>
      <c r="B1012" s="517" t="s">
        <v>881</v>
      </c>
      <c r="C1012" s="516" t="s">
        <v>481</v>
      </c>
      <c r="D1012" s="516" t="s">
        <v>842</v>
      </c>
      <c r="E1012" s="499" t="s">
        <v>723</v>
      </c>
      <c r="F1012" s="506" t="e">
        <f>LUONGNGAY!$K$36</f>
        <v>#VALUE!</v>
      </c>
      <c r="G1012" s="516">
        <v>3.3000000000000002E-2</v>
      </c>
      <c r="H1012" s="466" t="e">
        <f t="shared" si="21"/>
        <v>#VALUE!</v>
      </c>
    </row>
    <row r="1013" spans="1:8" ht="60.75">
      <c r="A1013" s="516">
        <v>4</v>
      </c>
      <c r="B1013" s="517" t="s">
        <v>700</v>
      </c>
      <c r="C1013" s="516" t="s">
        <v>261</v>
      </c>
      <c r="D1013" s="516" t="s">
        <v>825</v>
      </c>
      <c r="E1013" s="499" t="s">
        <v>723</v>
      </c>
      <c r="F1013" s="506" t="e">
        <f>(LUONGNGAY!$K$36+LUONGNGAY!$K$35)/2</f>
        <v>#VALUE!</v>
      </c>
      <c r="G1013" s="516">
        <f>2*2</f>
        <v>4</v>
      </c>
      <c r="H1013" s="466" t="e">
        <f t="shared" si="21"/>
        <v>#VALUE!</v>
      </c>
    </row>
    <row r="1014" spans="1:8">
      <c r="A1014" s="516">
        <v>5</v>
      </c>
      <c r="B1014" s="517" t="s">
        <v>886</v>
      </c>
      <c r="C1014" s="516" t="s">
        <v>481</v>
      </c>
      <c r="D1014" s="516" t="s">
        <v>842</v>
      </c>
      <c r="E1014" s="499" t="s">
        <v>723</v>
      </c>
      <c r="F1014" s="506" t="e">
        <f>LUONGNGAY!$K$36</f>
        <v>#VALUE!</v>
      </c>
      <c r="G1014" s="516">
        <v>3.0000000000000001E-3</v>
      </c>
      <c r="H1014" s="466" t="e">
        <f t="shared" si="21"/>
        <v>#VALUE!</v>
      </c>
    </row>
    <row r="1015" spans="1:8" ht="36.75">
      <c r="A1015" s="516">
        <v>6</v>
      </c>
      <c r="B1015" s="517" t="s">
        <v>802</v>
      </c>
      <c r="C1015" s="516"/>
      <c r="D1015" s="516"/>
      <c r="E1015" s="516"/>
      <c r="G1015" s="516"/>
      <c r="H1015" s="466">
        <f t="shared" si="21"/>
        <v>0</v>
      </c>
    </row>
    <row r="1016" spans="1:8">
      <c r="A1016" s="516" t="s">
        <v>661</v>
      </c>
      <c r="B1016" s="517" t="s">
        <v>587</v>
      </c>
      <c r="C1016" s="516" t="s">
        <v>261</v>
      </c>
      <c r="D1016" s="516" t="s">
        <v>847</v>
      </c>
      <c r="E1016" s="499" t="s">
        <v>723</v>
      </c>
      <c r="F1016" s="506" t="e">
        <f>LUONGNGAY!$K$35</f>
        <v>#VALUE!</v>
      </c>
      <c r="G1016" s="516">
        <v>0</v>
      </c>
      <c r="H1016" s="466" t="e">
        <f t="shared" si="21"/>
        <v>#VALUE!</v>
      </c>
    </row>
    <row r="1017" spans="1:8">
      <c r="A1017" s="516" t="s">
        <v>662</v>
      </c>
      <c r="B1017" s="517" t="s">
        <v>588</v>
      </c>
      <c r="C1017" s="516" t="s">
        <v>261</v>
      </c>
      <c r="D1017" s="516" t="s">
        <v>847</v>
      </c>
      <c r="E1017" s="499" t="s">
        <v>723</v>
      </c>
      <c r="F1017" s="506" t="e">
        <f>LUONGNGAY!$K$35</f>
        <v>#VALUE!</v>
      </c>
      <c r="G1017" s="516">
        <v>0</v>
      </c>
      <c r="H1017" s="466" t="e">
        <f t="shared" si="21"/>
        <v>#VALUE!</v>
      </c>
    </row>
    <row r="1018" spans="1:8" ht="24.75">
      <c r="A1018" s="516">
        <v>7</v>
      </c>
      <c r="B1018" s="517" t="s">
        <v>408</v>
      </c>
      <c r="C1018" s="516" t="s">
        <v>261</v>
      </c>
      <c r="D1018" s="516" t="s">
        <v>847</v>
      </c>
      <c r="E1018" s="499" t="s">
        <v>723</v>
      </c>
      <c r="F1018" s="506" t="e">
        <f>LUONGNGAY!$K$35</f>
        <v>#VALUE!</v>
      </c>
      <c r="G1018" s="516">
        <v>0.2</v>
      </c>
      <c r="H1018" s="466" t="e">
        <f t="shared" si="21"/>
        <v>#VALUE!</v>
      </c>
    </row>
    <row r="1019" spans="1:8">
      <c r="A1019" s="516">
        <v>8</v>
      </c>
      <c r="B1019" s="517" t="s">
        <v>78</v>
      </c>
      <c r="C1019" s="516" t="s">
        <v>481</v>
      </c>
      <c r="D1019" s="516" t="s">
        <v>842</v>
      </c>
      <c r="E1019" s="499" t="s">
        <v>723</v>
      </c>
      <c r="F1019" s="506" t="e">
        <f>LUONGNGAY!$K$36</f>
        <v>#VALUE!</v>
      </c>
      <c r="G1019" s="516">
        <v>3.3000000000000002E-2</v>
      </c>
      <c r="H1019" s="466" t="e">
        <f t="shared" si="21"/>
        <v>#VALUE!</v>
      </c>
    </row>
    <row r="1020" spans="1:8">
      <c r="A1020" s="516">
        <v>9</v>
      </c>
      <c r="B1020" s="517" t="s">
        <v>80</v>
      </c>
      <c r="C1020" s="516"/>
      <c r="D1020" s="516"/>
      <c r="E1020" s="516"/>
      <c r="G1020" s="516"/>
      <c r="H1020" s="466">
        <f t="shared" si="21"/>
        <v>0</v>
      </c>
    </row>
    <row r="1021" spans="1:8">
      <c r="A1021" s="516" t="s">
        <v>663</v>
      </c>
      <c r="B1021" s="517" t="s">
        <v>82</v>
      </c>
      <c r="C1021" s="516" t="s">
        <v>559</v>
      </c>
      <c r="D1021" s="516" t="s">
        <v>847</v>
      </c>
      <c r="E1021" s="499" t="s">
        <v>723</v>
      </c>
      <c r="F1021" s="506" t="e">
        <f>LUONGNGAY!$K$35</f>
        <v>#VALUE!</v>
      </c>
      <c r="G1021" s="516">
        <v>0.1</v>
      </c>
      <c r="H1021" s="466" t="e">
        <f t="shared" si="21"/>
        <v>#VALUE!</v>
      </c>
    </row>
    <row r="1022" spans="1:8">
      <c r="A1022" s="516" t="s">
        <v>664</v>
      </c>
      <c r="B1022" s="517" t="s">
        <v>84</v>
      </c>
      <c r="C1022" s="516" t="s">
        <v>559</v>
      </c>
      <c r="D1022" s="516" t="s">
        <v>847</v>
      </c>
      <c r="E1022" s="499" t="s">
        <v>723</v>
      </c>
      <c r="F1022" s="506" t="e">
        <f>LUONGNGAY!$K$35</f>
        <v>#VALUE!</v>
      </c>
      <c r="G1022" s="516">
        <v>0.2</v>
      </c>
      <c r="H1022" s="466" t="e">
        <f t="shared" si="21"/>
        <v>#VALUE!</v>
      </c>
    </row>
    <row r="1023" spans="1:8" ht="24.75">
      <c r="A1023" s="516" t="s">
        <v>409</v>
      </c>
      <c r="B1023" s="517" t="s">
        <v>410</v>
      </c>
      <c r="C1023" s="516" t="s">
        <v>559</v>
      </c>
      <c r="D1023" s="516" t="s">
        <v>847</v>
      </c>
      <c r="E1023" s="499" t="s">
        <v>723</v>
      </c>
      <c r="F1023" s="506" t="e">
        <f>LUONGNGAY!$K$35</f>
        <v>#VALUE!</v>
      </c>
      <c r="G1023" s="516">
        <v>0.1</v>
      </c>
      <c r="H1023" s="466" t="e">
        <f t="shared" si="21"/>
        <v>#VALUE!</v>
      </c>
    </row>
    <row r="1024" spans="1:8" ht="24.75">
      <c r="A1024" s="516">
        <v>10</v>
      </c>
      <c r="B1024" s="517" t="s">
        <v>411</v>
      </c>
      <c r="C1024" s="516" t="s">
        <v>261</v>
      </c>
      <c r="D1024" s="516" t="s">
        <v>842</v>
      </c>
      <c r="E1024" s="499" t="s">
        <v>723</v>
      </c>
      <c r="F1024" s="506" t="e">
        <f>LUONGNGAY!$K$36</f>
        <v>#VALUE!</v>
      </c>
      <c r="G1024" s="516">
        <v>0.5</v>
      </c>
      <c r="H1024" s="466" t="e">
        <f t="shared" si="21"/>
        <v>#VALUE!</v>
      </c>
    </row>
    <row r="1025" spans="1:8" ht="36.75">
      <c r="A1025" s="516">
        <v>11</v>
      </c>
      <c r="B1025" s="517" t="s">
        <v>826</v>
      </c>
      <c r="C1025" s="516" t="s">
        <v>261</v>
      </c>
      <c r="D1025" s="516" t="s">
        <v>842</v>
      </c>
      <c r="E1025" s="499" t="s">
        <v>723</v>
      </c>
      <c r="F1025" s="506" t="e">
        <f>LUONGNGAY!$K$36</f>
        <v>#VALUE!</v>
      </c>
      <c r="G1025" s="516">
        <v>0.37</v>
      </c>
      <c r="H1025" s="466" t="e">
        <f t="shared" si="21"/>
        <v>#VALUE!</v>
      </c>
    </row>
    <row r="1026" spans="1:8">
      <c r="A1026" s="516">
        <v>12</v>
      </c>
      <c r="B1026" s="517" t="s">
        <v>87</v>
      </c>
      <c r="C1026" s="516" t="s">
        <v>481</v>
      </c>
      <c r="D1026" s="516" t="s">
        <v>842</v>
      </c>
      <c r="E1026" s="499" t="s">
        <v>723</v>
      </c>
      <c r="F1026" s="506" t="e">
        <f>LUONGNGAY!$K$36</f>
        <v>#VALUE!</v>
      </c>
      <c r="G1026" s="516">
        <v>3.3000000000000002E-2</v>
      </c>
      <c r="H1026" s="466" t="e">
        <f t="shared" si="21"/>
        <v>#VALUE!</v>
      </c>
    </row>
    <row r="1027" spans="1:8">
      <c r="A1027" s="516">
        <v>13</v>
      </c>
      <c r="B1027" s="517" t="s">
        <v>88</v>
      </c>
      <c r="C1027" s="516"/>
      <c r="D1027" s="516"/>
      <c r="E1027" s="516"/>
      <c r="G1027" s="516"/>
      <c r="H1027" s="466">
        <f t="shared" si="21"/>
        <v>0</v>
      </c>
    </row>
    <row r="1028" spans="1:8" ht="24.75">
      <c r="A1028" s="516" t="s">
        <v>110</v>
      </c>
      <c r="B1028" s="517" t="s">
        <v>775</v>
      </c>
      <c r="C1028" s="516"/>
      <c r="D1028" s="516"/>
      <c r="E1028" s="516"/>
      <c r="G1028" s="516"/>
      <c r="H1028" s="466">
        <f t="shared" si="21"/>
        <v>0</v>
      </c>
    </row>
    <row r="1029" spans="1:8">
      <c r="A1029" s="516" t="s">
        <v>111</v>
      </c>
      <c r="B1029" s="517" t="s">
        <v>777</v>
      </c>
      <c r="C1029" s="516" t="s">
        <v>778</v>
      </c>
      <c r="D1029" s="516" t="s">
        <v>779</v>
      </c>
      <c r="E1029" s="499" t="s">
        <v>723</v>
      </c>
      <c r="F1029" s="426" t="e">
        <f>LUONGNGAY!$K$34</f>
        <v>#VALUE!</v>
      </c>
      <c r="G1029" s="516">
        <v>1.6E-2</v>
      </c>
      <c r="H1029" s="466" t="e">
        <f t="shared" si="21"/>
        <v>#VALUE!</v>
      </c>
    </row>
    <row r="1030" spans="1:8">
      <c r="A1030" s="516" t="s">
        <v>112</v>
      </c>
      <c r="B1030" s="517" t="s">
        <v>781</v>
      </c>
      <c r="C1030" s="516" t="s">
        <v>778</v>
      </c>
      <c r="D1030" s="516" t="s">
        <v>779</v>
      </c>
      <c r="E1030" s="499" t="s">
        <v>723</v>
      </c>
      <c r="F1030" s="426" t="e">
        <f>LUONGNGAY!$K$34</f>
        <v>#VALUE!</v>
      </c>
      <c r="G1030" s="516">
        <v>8.0000000000000002E-3</v>
      </c>
      <c r="H1030" s="466" t="e">
        <f t="shared" si="21"/>
        <v>#VALUE!</v>
      </c>
    </row>
    <row r="1031" spans="1:8" ht="24.75">
      <c r="A1031" s="516" t="s">
        <v>113</v>
      </c>
      <c r="B1031" s="517" t="s">
        <v>861</v>
      </c>
      <c r="C1031" s="516" t="s">
        <v>778</v>
      </c>
      <c r="D1031" s="516" t="s">
        <v>779</v>
      </c>
      <c r="E1031" s="499" t="s">
        <v>723</v>
      </c>
      <c r="F1031" s="426" t="e">
        <f>LUONGNGAY!$K$34</f>
        <v>#VALUE!</v>
      </c>
      <c r="G1031" s="516">
        <v>4.0000000000000001E-3</v>
      </c>
      <c r="H1031" s="466" t="e">
        <f t="shared" si="21"/>
        <v>#VALUE!</v>
      </c>
    </row>
    <row r="1032" spans="1:8">
      <c r="A1032" s="516" t="s">
        <v>114</v>
      </c>
      <c r="B1032" s="517" t="s">
        <v>863</v>
      </c>
      <c r="C1032" s="516" t="s">
        <v>481</v>
      </c>
      <c r="D1032" s="516" t="s">
        <v>779</v>
      </c>
      <c r="E1032" s="499" t="s">
        <v>723</v>
      </c>
      <c r="F1032" s="426" t="e">
        <f>LUONGNGAY!$K$34</f>
        <v>#VALUE!</v>
      </c>
      <c r="G1032" s="516">
        <v>0.01</v>
      </c>
      <c r="H1032" s="466" t="e">
        <f t="shared" si="21"/>
        <v>#VALUE!</v>
      </c>
    </row>
    <row r="1033" spans="1:8">
      <c r="A1033" s="522" t="s">
        <v>1005</v>
      </c>
      <c r="B1033" s="523" t="s">
        <v>582</v>
      </c>
      <c r="C1033" s="516"/>
      <c r="D1033" s="516"/>
      <c r="E1033" s="516"/>
      <c r="G1033" s="516"/>
      <c r="H1033" s="466">
        <f t="shared" si="21"/>
        <v>0</v>
      </c>
    </row>
    <row r="1034" spans="1:8">
      <c r="A1034" s="516">
        <v>1</v>
      </c>
      <c r="B1034" s="517" t="s">
        <v>626</v>
      </c>
      <c r="C1034" s="516" t="s">
        <v>261</v>
      </c>
      <c r="D1034" s="516" t="s">
        <v>847</v>
      </c>
      <c r="E1034" s="499" t="s">
        <v>723</v>
      </c>
      <c r="F1034" s="506" t="e">
        <f>LUONGNGAY!$K$35</f>
        <v>#VALUE!</v>
      </c>
      <c r="G1034" s="516">
        <v>0.3</v>
      </c>
      <c r="H1034" s="466" t="e">
        <f t="shared" si="21"/>
        <v>#VALUE!</v>
      </c>
    </row>
    <row r="1035" spans="1:8">
      <c r="A1035" s="522" t="s">
        <v>755</v>
      </c>
      <c r="B1035" s="523" t="s">
        <v>460</v>
      </c>
      <c r="C1035" s="516"/>
      <c r="D1035" s="516"/>
      <c r="E1035" s="516"/>
      <c r="G1035" s="516"/>
      <c r="H1035" s="466">
        <f t="shared" si="21"/>
        <v>0</v>
      </c>
    </row>
    <row r="1036" spans="1:8" ht="24.75">
      <c r="A1036" s="516">
        <v>1</v>
      </c>
      <c r="B1036" s="517" t="s">
        <v>627</v>
      </c>
      <c r="C1036" s="516" t="s">
        <v>261</v>
      </c>
      <c r="D1036" s="516" t="s">
        <v>847</v>
      </c>
      <c r="E1036" s="499" t="s">
        <v>723</v>
      </c>
      <c r="F1036" s="506" t="e">
        <f>LUONGNGAY!$K$35</f>
        <v>#VALUE!</v>
      </c>
      <c r="G1036" s="516">
        <v>0.1</v>
      </c>
      <c r="H1036" s="466" t="e">
        <f t="shared" si="21"/>
        <v>#VALUE!</v>
      </c>
    </row>
    <row r="1037" spans="1:8">
      <c r="A1037" s="462"/>
      <c r="B1037" s="445"/>
      <c r="C1037" s="439"/>
      <c r="D1037" s="439"/>
      <c r="E1037" s="462"/>
      <c r="F1037" s="440"/>
      <c r="G1037" s="464"/>
      <c r="H1037" s="442"/>
    </row>
    <row r="1038" spans="1:8">
      <c r="A1038" s="1199" t="s">
        <v>829</v>
      </c>
      <c r="B1038" s="1199"/>
      <c r="C1038" s="1199"/>
      <c r="D1038" s="1199"/>
      <c r="E1038" s="1199"/>
      <c r="F1038" s="1199"/>
      <c r="G1038" s="1199"/>
      <c r="H1038" s="1199"/>
    </row>
    <row r="1039" spans="1:8" ht="32.25" customHeight="1">
      <c r="A1039" s="422" t="s">
        <v>979</v>
      </c>
      <c r="B1039" s="422" t="s">
        <v>198</v>
      </c>
      <c r="C1039" s="423" t="s">
        <v>479</v>
      </c>
      <c r="D1039" s="423" t="s">
        <v>478</v>
      </c>
      <c r="E1039" s="423" t="s">
        <v>199</v>
      </c>
      <c r="F1039" s="424" t="s">
        <v>483</v>
      </c>
      <c r="G1039" s="423" t="s">
        <v>482</v>
      </c>
      <c r="H1039" s="423" t="s">
        <v>200</v>
      </c>
    </row>
    <row r="1040" spans="1:8">
      <c r="A1040" s="525" t="s">
        <v>1000</v>
      </c>
      <c r="B1040" s="526" t="s">
        <v>339</v>
      </c>
      <c r="C1040" s="510"/>
      <c r="D1040" s="510"/>
      <c r="E1040" s="510"/>
      <c r="F1040" s="510"/>
      <c r="G1040" s="510"/>
      <c r="H1040" s="510"/>
    </row>
    <row r="1041" spans="1:8">
      <c r="A1041" s="516">
        <v>1</v>
      </c>
      <c r="B1041" s="517" t="s">
        <v>824</v>
      </c>
      <c r="C1041" s="516"/>
      <c r="D1041" s="516"/>
      <c r="E1041" s="516"/>
      <c r="F1041" s="516"/>
      <c r="G1041" s="516"/>
      <c r="H1041" s="516"/>
    </row>
    <row r="1042" spans="1:8">
      <c r="A1042" s="516" t="s">
        <v>733</v>
      </c>
      <c r="B1042" s="517" t="s">
        <v>846</v>
      </c>
      <c r="C1042" s="516" t="s">
        <v>261</v>
      </c>
      <c r="D1042" s="516" t="s">
        <v>842</v>
      </c>
      <c r="E1042" s="499" t="s">
        <v>723</v>
      </c>
      <c r="F1042" s="506" t="e">
        <f>LUONGNGAY!$K$36</f>
        <v>#VALUE!</v>
      </c>
      <c r="G1042" s="516">
        <v>0.26</v>
      </c>
      <c r="H1042" s="466" t="e">
        <f>F1042*G1042</f>
        <v>#VALUE!</v>
      </c>
    </row>
    <row r="1043" spans="1:8">
      <c r="A1043" s="516" t="s">
        <v>741</v>
      </c>
      <c r="B1043" s="517" t="s">
        <v>849</v>
      </c>
      <c r="C1043" s="516" t="s">
        <v>261</v>
      </c>
      <c r="D1043" s="516" t="s">
        <v>842</v>
      </c>
      <c r="E1043" s="499" t="s">
        <v>723</v>
      </c>
      <c r="F1043" s="506" t="e">
        <f>LUONGNGAY!$K$36</f>
        <v>#VALUE!</v>
      </c>
      <c r="G1043" s="516">
        <v>0.19500000000000001</v>
      </c>
      <c r="H1043" s="466" t="e">
        <f t="shared" ref="H1043:H1069" si="22">F1043*G1043</f>
        <v>#VALUE!</v>
      </c>
    </row>
    <row r="1044" spans="1:8" ht="24.75">
      <c r="A1044" s="516">
        <v>2</v>
      </c>
      <c r="B1044" s="517" t="s">
        <v>797</v>
      </c>
      <c r="C1044" s="516" t="s">
        <v>261</v>
      </c>
      <c r="D1044" s="516" t="s">
        <v>842</v>
      </c>
      <c r="E1044" s="499" t="s">
        <v>723</v>
      </c>
      <c r="F1044" s="506" t="e">
        <f>LUONGNGAY!$K$36</f>
        <v>#VALUE!</v>
      </c>
      <c r="G1044" s="516">
        <v>0.39</v>
      </c>
      <c r="H1044" s="466" t="e">
        <f t="shared" si="22"/>
        <v>#VALUE!</v>
      </c>
    </row>
    <row r="1045" spans="1:8" ht="24.75">
      <c r="A1045" s="516">
        <v>3</v>
      </c>
      <c r="B1045" s="517" t="s">
        <v>881</v>
      </c>
      <c r="C1045" s="516" t="s">
        <v>481</v>
      </c>
      <c r="D1045" s="516" t="s">
        <v>842</v>
      </c>
      <c r="E1045" s="499" t="s">
        <v>723</v>
      </c>
      <c r="F1045" s="506" t="e">
        <f>LUONGNGAY!$K$36</f>
        <v>#VALUE!</v>
      </c>
      <c r="G1045" s="516">
        <v>0.16700000000000001</v>
      </c>
      <c r="H1045" s="466" t="e">
        <f t="shared" si="22"/>
        <v>#VALUE!</v>
      </c>
    </row>
    <row r="1046" spans="1:8" ht="60.75">
      <c r="A1046" s="516">
        <v>4</v>
      </c>
      <c r="B1046" s="517" t="s">
        <v>700</v>
      </c>
      <c r="C1046" s="516" t="s">
        <v>261</v>
      </c>
      <c r="D1046" s="516" t="s">
        <v>825</v>
      </c>
      <c r="E1046" s="499" t="s">
        <v>723</v>
      </c>
      <c r="F1046" s="506" t="e">
        <f>(LUONGNGAY!$K$36+LUONGNGAY!$K$35)/2</f>
        <v>#VALUE!</v>
      </c>
      <c r="G1046" s="516">
        <f>2.6*2</f>
        <v>5.2</v>
      </c>
      <c r="H1046" s="466" t="e">
        <f t="shared" si="22"/>
        <v>#VALUE!</v>
      </c>
    </row>
    <row r="1047" spans="1:8">
      <c r="A1047" s="516">
        <v>5</v>
      </c>
      <c r="B1047" s="517" t="s">
        <v>886</v>
      </c>
      <c r="C1047" s="516" t="s">
        <v>481</v>
      </c>
      <c r="D1047" s="516" t="s">
        <v>842</v>
      </c>
      <c r="E1047" s="499" t="s">
        <v>723</v>
      </c>
      <c r="F1047" s="506" t="e">
        <f>LUONGNGAY!$K$36</f>
        <v>#VALUE!</v>
      </c>
      <c r="G1047" s="516">
        <v>3.0000000000000001E-3</v>
      </c>
      <c r="H1047" s="466" t="e">
        <f t="shared" si="22"/>
        <v>#VALUE!</v>
      </c>
    </row>
    <row r="1048" spans="1:8" ht="36.75">
      <c r="A1048" s="516">
        <v>6</v>
      </c>
      <c r="B1048" s="517" t="s">
        <v>802</v>
      </c>
      <c r="C1048" s="516"/>
      <c r="D1048" s="516"/>
      <c r="E1048" s="516"/>
      <c r="G1048" s="516"/>
      <c r="H1048" s="466">
        <f t="shared" si="22"/>
        <v>0</v>
      </c>
    </row>
    <row r="1049" spans="1:8">
      <c r="A1049" s="516" t="s">
        <v>661</v>
      </c>
      <c r="B1049" s="517" t="s">
        <v>587</v>
      </c>
      <c r="C1049" s="516" t="s">
        <v>261</v>
      </c>
      <c r="D1049" s="516" t="s">
        <v>847</v>
      </c>
      <c r="E1049" s="499" t="s">
        <v>723</v>
      </c>
      <c r="F1049" s="506" t="e">
        <f>LUONGNGAY!$K$35</f>
        <v>#VALUE!</v>
      </c>
      <c r="G1049" s="516">
        <v>0.05</v>
      </c>
      <c r="H1049" s="466" t="e">
        <f t="shared" si="22"/>
        <v>#VALUE!</v>
      </c>
    </row>
    <row r="1050" spans="1:8">
      <c r="A1050" s="516" t="s">
        <v>662</v>
      </c>
      <c r="B1050" s="517" t="s">
        <v>588</v>
      </c>
      <c r="C1050" s="516" t="s">
        <v>261</v>
      </c>
      <c r="D1050" s="516" t="s">
        <v>847</v>
      </c>
      <c r="E1050" s="499" t="s">
        <v>723</v>
      </c>
      <c r="F1050" s="506" t="e">
        <f>LUONGNGAY!$K$35</f>
        <v>#VALUE!</v>
      </c>
      <c r="G1050" s="516">
        <v>0.1</v>
      </c>
      <c r="H1050" s="466" t="e">
        <f t="shared" si="22"/>
        <v>#VALUE!</v>
      </c>
    </row>
    <row r="1051" spans="1:8" ht="24.75">
      <c r="A1051" s="516">
        <v>7</v>
      </c>
      <c r="B1051" s="517" t="s">
        <v>408</v>
      </c>
      <c r="C1051" s="516" t="s">
        <v>261</v>
      </c>
      <c r="D1051" s="516" t="s">
        <v>847</v>
      </c>
      <c r="E1051" s="499" t="s">
        <v>723</v>
      </c>
      <c r="F1051" s="506" t="e">
        <f>LUONGNGAY!$K$35</f>
        <v>#VALUE!</v>
      </c>
      <c r="G1051" s="516">
        <v>0.26</v>
      </c>
      <c r="H1051" s="466" t="e">
        <f t="shared" si="22"/>
        <v>#VALUE!</v>
      </c>
    </row>
    <row r="1052" spans="1:8">
      <c r="A1052" s="516">
        <v>8</v>
      </c>
      <c r="B1052" s="517" t="s">
        <v>78</v>
      </c>
      <c r="C1052" s="516" t="s">
        <v>481</v>
      </c>
      <c r="D1052" s="516" t="s">
        <v>842</v>
      </c>
      <c r="E1052" s="499" t="s">
        <v>723</v>
      </c>
      <c r="F1052" s="506" t="e">
        <f>LUONGNGAY!$K$36</f>
        <v>#VALUE!</v>
      </c>
      <c r="G1052" s="516">
        <v>3.3000000000000002E-2</v>
      </c>
      <c r="H1052" s="466" t="e">
        <f t="shared" si="22"/>
        <v>#VALUE!</v>
      </c>
    </row>
    <row r="1053" spans="1:8">
      <c r="A1053" s="516">
        <v>9</v>
      </c>
      <c r="B1053" s="517" t="s">
        <v>80</v>
      </c>
      <c r="C1053" s="516"/>
      <c r="D1053" s="516"/>
      <c r="E1053" s="516"/>
      <c r="G1053" s="516"/>
      <c r="H1053" s="466">
        <f t="shared" si="22"/>
        <v>0</v>
      </c>
    </row>
    <row r="1054" spans="1:8">
      <c r="A1054" s="516" t="s">
        <v>663</v>
      </c>
      <c r="B1054" s="517" t="s">
        <v>82</v>
      </c>
      <c r="C1054" s="516" t="s">
        <v>559</v>
      </c>
      <c r="D1054" s="516" t="s">
        <v>847</v>
      </c>
      <c r="E1054" s="499" t="s">
        <v>723</v>
      </c>
      <c r="F1054" s="506" t="e">
        <f>LUONGNGAY!$K$35</f>
        <v>#VALUE!</v>
      </c>
      <c r="G1054" s="516">
        <v>0.1</v>
      </c>
      <c r="H1054" s="466" t="e">
        <f t="shared" si="22"/>
        <v>#VALUE!</v>
      </c>
    </row>
    <row r="1055" spans="1:8">
      <c r="A1055" s="516" t="s">
        <v>664</v>
      </c>
      <c r="B1055" s="517" t="s">
        <v>84</v>
      </c>
      <c r="C1055" s="516" t="s">
        <v>559</v>
      </c>
      <c r="D1055" s="516" t="s">
        <v>847</v>
      </c>
      <c r="E1055" s="499" t="s">
        <v>723</v>
      </c>
      <c r="F1055" s="506" t="e">
        <f>LUONGNGAY!$K$35</f>
        <v>#VALUE!</v>
      </c>
      <c r="G1055" s="516">
        <v>0.2</v>
      </c>
      <c r="H1055" s="466" t="e">
        <f t="shared" si="22"/>
        <v>#VALUE!</v>
      </c>
    </row>
    <row r="1056" spans="1:8" ht="24.75">
      <c r="A1056" s="516" t="s">
        <v>409</v>
      </c>
      <c r="B1056" s="517" t="s">
        <v>410</v>
      </c>
      <c r="C1056" s="516" t="s">
        <v>559</v>
      </c>
      <c r="D1056" s="516" t="s">
        <v>847</v>
      </c>
      <c r="E1056" s="499" t="s">
        <v>723</v>
      </c>
      <c r="F1056" s="506" t="e">
        <f>LUONGNGAY!$K$35</f>
        <v>#VALUE!</v>
      </c>
      <c r="G1056" s="516">
        <v>0.1</v>
      </c>
      <c r="H1056" s="466" t="e">
        <f t="shared" si="22"/>
        <v>#VALUE!</v>
      </c>
    </row>
    <row r="1057" spans="1:28" ht="24.75">
      <c r="A1057" s="516">
        <v>10</v>
      </c>
      <c r="B1057" s="517" t="s">
        <v>411</v>
      </c>
      <c r="C1057" s="516" t="s">
        <v>261</v>
      </c>
      <c r="D1057" s="516" t="s">
        <v>842</v>
      </c>
      <c r="E1057" s="499" t="s">
        <v>723</v>
      </c>
      <c r="F1057" s="506" t="e">
        <f>LUONGNGAY!$K$36</f>
        <v>#VALUE!</v>
      </c>
      <c r="G1057" s="516">
        <v>0.65</v>
      </c>
      <c r="H1057" s="466" t="e">
        <f t="shared" si="22"/>
        <v>#VALUE!</v>
      </c>
    </row>
    <row r="1058" spans="1:28" ht="36.75">
      <c r="A1058" s="516">
        <v>11</v>
      </c>
      <c r="B1058" s="517" t="s">
        <v>826</v>
      </c>
      <c r="C1058" s="516" t="s">
        <v>261</v>
      </c>
      <c r="D1058" s="516" t="s">
        <v>842</v>
      </c>
      <c r="E1058" s="499" t="s">
        <v>723</v>
      </c>
      <c r="F1058" s="506" t="e">
        <f>LUONGNGAY!$K$36</f>
        <v>#VALUE!</v>
      </c>
      <c r="G1058" s="516">
        <v>0.44400000000000001</v>
      </c>
      <c r="H1058" s="466" t="e">
        <f t="shared" si="22"/>
        <v>#VALUE!</v>
      </c>
    </row>
    <row r="1059" spans="1:28">
      <c r="A1059" s="516">
        <v>12</v>
      </c>
      <c r="B1059" s="517" t="s">
        <v>87</v>
      </c>
      <c r="C1059" s="516" t="s">
        <v>481</v>
      </c>
      <c r="D1059" s="516" t="s">
        <v>842</v>
      </c>
      <c r="E1059" s="499" t="s">
        <v>723</v>
      </c>
      <c r="F1059" s="506" t="e">
        <f>LUONGNGAY!$K$36</f>
        <v>#VALUE!</v>
      </c>
      <c r="G1059" s="516">
        <v>3.3000000000000002E-2</v>
      </c>
      <c r="H1059" s="466" t="e">
        <f t="shared" si="22"/>
        <v>#VALUE!</v>
      </c>
    </row>
    <row r="1060" spans="1:28">
      <c r="A1060" s="516">
        <v>13</v>
      </c>
      <c r="B1060" s="517" t="s">
        <v>88</v>
      </c>
      <c r="C1060" s="516"/>
      <c r="D1060" s="516"/>
      <c r="E1060" s="516"/>
      <c r="F1060" s="516"/>
      <c r="G1060" s="516"/>
      <c r="H1060" s="466">
        <f t="shared" si="22"/>
        <v>0</v>
      </c>
    </row>
    <row r="1061" spans="1:28" ht="24.75">
      <c r="A1061" s="516" t="s">
        <v>110</v>
      </c>
      <c r="B1061" s="517" t="s">
        <v>775</v>
      </c>
      <c r="C1061" s="516"/>
      <c r="D1061" s="516"/>
      <c r="E1061" s="516"/>
      <c r="F1061" s="516"/>
      <c r="G1061" s="516"/>
      <c r="H1061" s="466">
        <f t="shared" si="22"/>
        <v>0</v>
      </c>
    </row>
    <row r="1062" spans="1:28">
      <c r="A1062" s="516" t="s">
        <v>111</v>
      </c>
      <c r="B1062" s="517" t="s">
        <v>777</v>
      </c>
      <c r="C1062" s="516" t="s">
        <v>778</v>
      </c>
      <c r="D1062" s="516" t="s">
        <v>779</v>
      </c>
      <c r="E1062" s="499" t="s">
        <v>723</v>
      </c>
      <c r="F1062" s="426" t="e">
        <f>LUONGNGAY!$K$34</f>
        <v>#VALUE!</v>
      </c>
      <c r="G1062" s="516">
        <v>0.02</v>
      </c>
      <c r="H1062" s="466" t="e">
        <f t="shared" si="22"/>
        <v>#VALUE!</v>
      </c>
    </row>
    <row r="1063" spans="1:28">
      <c r="A1063" s="516" t="s">
        <v>112</v>
      </c>
      <c r="B1063" s="517" t="s">
        <v>781</v>
      </c>
      <c r="C1063" s="516" t="s">
        <v>778</v>
      </c>
      <c r="D1063" s="516" t="s">
        <v>779</v>
      </c>
      <c r="E1063" s="499" t="s">
        <v>723</v>
      </c>
      <c r="F1063" s="426" t="e">
        <f>LUONGNGAY!$K$34</f>
        <v>#VALUE!</v>
      </c>
      <c r="G1063" s="516">
        <v>0.01</v>
      </c>
      <c r="H1063" s="466" t="e">
        <f t="shared" si="22"/>
        <v>#VALUE!</v>
      </c>
    </row>
    <row r="1064" spans="1:28" ht="24.75">
      <c r="A1064" s="516" t="s">
        <v>113</v>
      </c>
      <c r="B1064" s="517" t="s">
        <v>861</v>
      </c>
      <c r="C1064" s="516" t="s">
        <v>778</v>
      </c>
      <c r="D1064" s="516" t="s">
        <v>779</v>
      </c>
      <c r="E1064" s="499" t="s">
        <v>723</v>
      </c>
      <c r="F1064" s="426" t="e">
        <f>LUONGNGAY!$K$34</f>
        <v>#VALUE!</v>
      </c>
      <c r="G1064" s="516">
        <v>5.0000000000000001E-3</v>
      </c>
      <c r="H1064" s="466" t="e">
        <f t="shared" si="22"/>
        <v>#VALUE!</v>
      </c>
    </row>
    <row r="1065" spans="1:28">
      <c r="A1065" s="516" t="s">
        <v>114</v>
      </c>
      <c r="B1065" s="517" t="s">
        <v>863</v>
      </c>
      <c r="C1065" s="516" t="s">
        <v>481</v>
      </c>
      <c r="D1065" s="516" t="s">
        <v>779</v>
      </c>
      <c r="E1065" s="499" t="s">
        <v>723</v>
      </c>
      <c r="F1065" s="426" t="e">
        <f>LUONGNGAY!$K$34</f>
        <v>#VALUE!</v>
      </c>
      <c r="G1065" s="516">
        <v>0.01</v>
      </c>
      <c r="H1065" s="466" t="e">
        <f t="shared" si="22"/>
        <v>#VALUE!</v>
      </c>
    </row>
    <row r="1066" spans="1:28">
      <c r="A1066" s="522" t="s">
        <v>1005</v>
      </c>
      <c r="B1066" s="523" t="s">
        <v>582</v>
      </c>
      <c r="C1066" s="516"/>
      <c r="D1066" s="516"/>
      <c r="E1066" s="516"/>
      <c r="G1066" s="516"/>
      <c r="H1066" s="466">
        <f t="shared" si="22"/>
        <v>0</v>
      </c>
    </row>
    <row r="1067" spans="1:28">
      <c r="A1067" s="516">
        <v>1</v>
      </c>
      <c r="B1067" s="517" t="s">
        <v>626</v>
      </c>
      <c r="C1067" s="516" t="s">
        <v>261</v>
      </c>
      <c r="D1067" s="516" t="s">
        <v>847</v>
      </c>
      <c r="E1067" s="499" t="s">
        <v>723</v>
      </c>
      <c r="F1067" s="506" t="e">
        <f>LUONGNGAY!$K$35</f>
        <v>#VALUE!</v>
      </c>
      <c r="G1067" s="516">
        <v>0.39</v>
      </c>
      <c r="H1067" s="466" t="e">
        <f t="shared" si="22"/>
        <v>#VALUE!</v>
      </c>
    </row>
    <row r="1068" spans="1:28">
      <c r="A1068" s="522" t="s">
        <v>755</v>
      </c>
      <c r="B1068" s="523" t="s">
        <v>460</v>
      </c>
      <c r="C1068" s="516"/>
      <c r="D1068" s="516"/>
      <c r="E1068" s="516"/>
      <c r="G1068" s="516"/>
      <c r="H1068" s="466">
        <f t="shared" si="22"/>
        <v>0</v>
      </c>
    </row>
    <row r="1069" spans="1:28" ht="24.75">
      <c r="A1069" s="516">
        <v>1</v>
      </c>
      <c r="B1069" s="517" t="s">
        <v>627</v>
      </c>
      <c r="C1069" s="516" t="s">
        <v>261</v>
      </c>
      <c r="D1069" s="516" t="s">
        <v>847</v>
      </c>
      <c r="E1069" s="499" t="s">
        <v>723</v>
      </c>
      <c r="F1069" s="506" t="e">
        <f>LUONGNGAY!$K$35</f>
        <v>#VALUE!</v>
      </c>
      <c r="G1069" s="516">
        <v>0.13</v>
      </c>
      <c r="H1069" s="466" t="e">
        <f t="shared" si="22"/>
        <v>#VALUE!</v>
      </c>
    </row>
    <row r="1070" spans="1:28" s="421" customFormat="1" ht="30" customHeight="1">
      <c r="A1070" s="1177" t="s">
        <v>139</v>
      </c>
      <c r="B1070" s="1177"/>
      <c r="C1070" s="1177"/>
      <c r="D1070" s="1177"/>
      <c r="E1070" s="1177"/>
      <c r="F1070" s="1177"/>
      <c r="G1070" s="1177"/>
      <c r="H1070" s="1177"/>
      <c r="I1070" s="420"/>
      <c r="J1070" s="420"/>
      <c r="K1070" s="420"/>
      <c r="L1070" s="420"/>
      <c r="M1070" s="420"/>
      <c r="N1070" s="420"/>
      <c r="O1070" s="420"/>
      <c r="P1070" s="420"/>
      <c r="Q1070" s="420"/>
      <c r="R1070" s="420"/>
      <c r="S1070" s="420"/>
      <c r="T1070" s="420"/>
      <c r="U1070" s="420"/>
      <c r="V1070" s="420"/>
      <c r="W1070" s="420"/>
      <c r="X1070" s="420"/>
      <c r="Y1070" s="420"/>
      <c r="Z1070" s="420"/>
      <c r="AA1070" s="420"/>
      <c r="AB1070" s="420"/>
    </row>
    <row r="1071" spans="1:28" s="421" customFormat="1" ht="9.75" customHeight="1">
      <c r="A1071" s="414"/>
      <c r="B1071" s="415"/>
      <c r="C1071" s="416"/>
      <c r="D1071" s="416"/>
      <c r="E1071" s="417"/>
      <c r="F1071" s="418"/>
      <c r="G1071" s="417"/>
      <c r="H1071" s="419"/>
      <c r="I1071" s="420"/>
      <c r="J1071" s="420"/>
      <c r="K1071" s="420"/>
      <c r="L1071" s="420"/>
      <c r="M1071" s="420"/>
      <c r="N1071" s="420"/>
      <c r="O1071" s="420"/>
      <c r="P1071" s="420"/>
      <c r="Q1071" s="420"/>
      <c r="R1071" s="420"/>
      <c r="S1071" s="420"/>
      <c r="T1071" s="420"/>
      <c r="U1071" s="420"/>
      <c r="V1071" s="420"/>
      <c r="W1071" s="420"/>
      <c r="X1071" s="420"/>
      <c r="Y1071" s="420"/>
      <c r="Z1071" s="420"/>
      <c r="AA1071" s="420"/>
      <c r="AB1071" s="420"/>
    </row>
    <row r="1072" spans="1:28" s="421" customFormat="1" ht="44.25" customHeight="1">
      <c r="A1072" s="422" t="s">
        <v>979</v>
      </c>
      <c r="B1072" s="422" t="s">
        <v>198</v>
      </c>
      <c r="C1072" s="423" t="s">
        <v>479</v>
      </c>
      <c r="D1072" s="423" t="s">
        <v>478</v>
      </c>
      <c r="E1072" s="423" t="s">
        <v>199</v>
      </c>
      <c r="F1072" s="424" t="s">
        <v>483</v>
      </c>
      <c r="G1072" s="423" t="s">
        <v>482</v>
      </c>
      <c r="H1072" s="423" t="s">
        <v>200</v>
      </c>
      <c r="I1072" s="420"/>
      <c r="J1072" s="420"/>
      <c r="K1072" s="420"/>
      <c r="L1072" s="420"/>
      <c r="M1072" s="420"/>
      <c r="N1072" s="420"/>
      <c r="O1072" s="420"/>
      <c r="P1072" s="420"/>
      <c r="Q1072" s="420"/>
      <c r="R1072" s="420"/>
      <c r="S1072" s="420"/>
      <c r="T1072" s="420"/>
      <c r="U1072" s="420"/>
      <c r="V1072" s="420"/>
      <c r="W1072" s="420"/>
      <c r="X1072" s="420"/>
      <c r="Y1072" s="420"/>
      <c r="Z1072" s="420"/>
      <c r="AA1072" s="420"/>
      <c r="AB1072" s="420"/>
    </row>
    <row r="1073" spans="1:28" s="421" customFormat="1" ht="29.25" customHeight="1">
      <c r="A1073" s="481" t="s">
        <v>727</v>
      </c>
      <c r="B1073" s="482" t="s">
        <v>22</v>
      </c>
      <c r="C1073" s="483" t="s">
        <v>532</v>
      </c>
      <c r="D1073" s="483" t="s">
        <v>847</v>
      </c>
      <c r="E1073" s="434"/>
      <c r="F1073" s="506" t="e">
        <f>LUONGNGAY!$K$35</f>
        <v>#VALUE!</v>
      </c>
      <c r="G1073" s="434">
        <v>0.1</v>
      </c>
      <c r="H1073" s="429" t="e">
        <f>F1073*G1073</f>
        <v>#VALUE!</v>
      </c>
      <c r="I1073" s="420"/>
      <c r="J1073" s="420"/>
      <c r="K1073" s="420"/>
      <c r="L1073" s="420"/>
      <c r="M1073" s="420"/>
      <c r="N1073" s="420"/>
      <c r="O1073" s="420"/>
      <c r="P1073" s="420"/>
      <c r="Q1073" s="420"/>
      <c r="R1073" s="420"/>
      <c r="S1073" s="420"/>
      <c r="T1073" s="420"/>
      <c r="U1073" s="420"/>
      <c r="V1073" s="420"/>
      <c r="W1073" s="420"/>
      <c r="X1073" s="420"/>
      <c r="Y1073" s="420"/>
      <c r="Z1073" s="420"/>
      <c r="AA1073" s="420"/>
      <c r="AB1073" s="420"/>
    </row>
    <row r="1074" spans="1:28" s="421" customFormat="1" ht="29.25" customHeight="1">
      <c r="A1074" s="481" t="s">
        <v>728</v>
      </c>
      <c r="B1074" s="482" t="s">
        <v>23</v>
      </c>
      <c r="C1074" s="483"/>
      <c r="D1074" s="483"/>
      <c r="E1074" s="434"/>
      <c r="F1074" s="506"/>
      <c r="G1074" s="434"/>
      <c r="H1074" s="429"/>
      <c r="I1074" s="420"/>
      <c r="J1074" s="420"/>
      <c r="K1074" s="420"/>
      <c r="L1074" s="420"/>
      <c r="M1074" s="420"/>
      <c r="N1074" s="420"/>
      <c r="O1074" s="420"/>
      <c r="P1074" s="420"/>
      <c r="Q1074" s="420"/>
      <c r="R1074" s="420"/>
      <c r="S1074" s="420"/>
      <c r="T1074" s="420"/>
      <c r="U1074" s="420"/>
      <c r="V1074" s="420"/>
      <c r="W1074" s="420"/>
      <c r="X1074" s="420"/>
      <c r="Y1074" s="420"/>
      <c r="Z1074" s="420"/>
      <c r="AA1074" s="420"/>
      <c r="AB1074" s="420"/>
    </row>
    <row r="1075" spans="1:28" s="421" customFormat="1" ht="29.25" customHeight="1">
      <c r="A1075" s="481" t="s">
        <v>742</v>
      </c>
      <c r="B1075" s="482" t="s">
        <v>24</v>
      </c>
      <c r="C1075" s="483" t="s">
        <v>532</v>
      </c>
      <c r="D1075" s="483" t="s">
        <v>847</v>
      </c>
      <c r="E1075" s="434"/>
      <c r="F1075" s="506" t="e">
        <f>LUONGNGAY!$K$35</f>
        <v>#VALUE!</v>
      </c>
      <c r="G1075" s="434">
        <v>0.05</v>
      </c>
      <c r="H1075" s="429" t="e">
        <f>F1075*G1075</f>
        <v>#VALUE!</v>
      </c>
      <c r="I1075" s="420"/>
      <c r="J1075" s="420"/>
      <c r="K1075" s="420"/>
      <c r="L1075" s="420"/>
      <c r="M1075" s="420"/>
      <c r="N1075" s="420"/>
      <c r="O1075" s="420"/>
      <c r="P1075" s="420"/>
      <c r="Q1075" s="420"/>
      <c r="R1075" s="420"/>
      <c r="S1075" s="420"/>
      <c r="T1075" s="420"/>
      <c r="U1075" s="420"/>
      <c r="V1075" s="420"/>
      <c r="W1075" s="420"/>
      <c r="X1075" s="420"/>
      <c r="Y1075" s="420"/>
      <c r="Z1075" s="420"/>
      <c r="AA1075" s="420"/>
      <c r="AB1075" s="420"/>
    </row>
    <row r="1076" spans="1:28" s="421" customFormat="1" ht="29.25" customHeight="1">
      <c r="A1076" s="481" t="s">
        <v>743</v>
      </c>
      <c r="B1076" s="482" t="s">
        <v>25</v>
      </c>
      <c r="C1076" s="483" t="s">
        <v>532</v>
      </c>
      <c r="D1076" s="483" t="s">
        <v>847</v>
      </c>
      <c r="E1076" s="434"/>
      <c r="F1076" s="506" t="e">
        <f>LUONGNGAY!$K$35</f>
        <v>#VALUE!</v>
      </c>
      <c r="G1076" s="434">
        <v>0.1</v>
      </c>
      <c r="H1076" s="429" t="e">
        <f>F1076*G1076</f>
        <v>#VALUE!</v>
      </c>
      <c r="I1076" s="420"/>
      <c r="J1076" s="420"/>
      <c r="K1076" s="420"/>
      <c r="L1076" s="420"/>
      <c r="M1076" s="420"/>
      <c r="N1076" s="420"/>
      <c r="O1076" s="420"/>
      <c r="P1076" s="420"/>
      <c r="Q1076" s="420"/>
      <c r="R1076" s="420"/>
      <c r="S1076" s="420"/>
      <c r="T1076" s="420"/>
      <c r="U1076" s="420"/>
      <c r="V1076" s="420"/>
      <c r="W1076" s="420"/>
      <c r="X1076" s="420"/>
      <c r="Y1076" s="420"/>
      <c r="Z1076" s="420"/>
      <c r="AA1076" s="420"/>
      <c r="AB1076" s="420"/>
    </row>
    <row r="1077" spans="1:28" s="421" customFormat="1" ht="29.25" customHeight="1">
      <c r="A1077" s="481" t="s">
        <v>729</v>
      </c>
      <c r="B1077" s="482" t="s">
        <v>26</v>
      </c>
      <c r="C1077" s="483"/>
      <c r="D1077" s="483"/>
      <c r="E1077" s="434"/>
      <c r="F1077" s="506"/>
      <c r="G1077" s="434"/>
      <c r="H1077" s="429"/>
      <c r="I1077" s="420"/>
      <c r="J1077" s="420"/>
      <c r="K1077" s="420"/>
      <c r="L1077" s="420"/>
      <c r="M1077" s="420"/>
      <c r="N1077" s="420"/>
      <c r="O1077" s="420"/>
      <c r="P1077" s="420"/>
      <c r="Q1077" s="420"/>
      <c r="R1077" s="420"/>
      <c r="S1077" s="420"/>
      <c r="T1077" s="420"/>
      <c r="U1077" s="420"/>
      <c r="V1077" s="420"/>
      <c r="W1077" s="420"/>
      <c r="X1077" s="420"/>
      <c r="Y1077" s="420"/>
      <c r="Z1077" s="420"/>
      <c r="AA1077" s="420"/>
      <c r="AB1077" s="420"/>
    </row>
    <row r="1078" spans="1:28" s="421" customFormat="1" ht="29.25" customHeight="1">
      <c r="A1078" s="481" t="s">
        <v>735</v>
      </c>
      <c r="B1078" s="482" t="s">
        <v>27</v>
      </c>
      <c r="C1078" s="483" t="s">
        <v>532</v>
      </c>
      <c r="D1078" s="483" t="s">
        <v>847</v>
      </c>
      <c r="E1078" s="434"/>
      <c r="F1078" s="506" t="e">
        <f>LUONGNGAY!$K$35</f>
        <v>#VALUE!</v>
      </c>
      <c r="G1078" s="434">
        <v>0.05</v>
      </c>
      <c r="H1078" s="429" t="e">
        <f>F1078*G1078</f>
        <v>#VALUE!</v>
      </c>
      <c r="I1078" s="420"/>
      <c r="J1078" s="420"/>
      <c r="K1078" s="420"/>
      <c r="L1078" s="420"/>
      <c r="M1078" s="420"/>
      <c r="N1078" s="420"/>
      <c r="O1078" s="420"/>
      <c r="P1078" s="420"/>
      <c r="Q1078" s="420"/>
      <c r="R1078" s="420"/>
      <c r="S1078" s="420"/>
      <c r="T1078" s="420"/>
      <c r="U1078" s="420"/>
      <c r="V1078" s="420"/>
      <c r="W1078" s="420"/>
      <c r="X1078" s="420"/>
      <c r="Y1078" s="420"/>
      <c r="Z1078" s="420"/>
      <c r="AA1078" s="420"/>
      <c r="AB1078" s="420"/>
    </row>
    <row r="1079" spans="1:28" s="421" customFormat="1" ht="29.25" customHeight="1">
      <c r="A1079" s="481" t="s">
        <v>736</v>
      </c>
      <c r="B1079" s="482" t="s">
        <v>25</v>
      </c>
      <c r="C1079" s="483" t="s">
        <v>532</v>
      </c>
      <c r="D1079" s="483" t="s">
        <v>847</v>
      </c>
      <c r="E1079" s="434"/>
      <c r="F1079" s="506" t="e">
        <f>LUONGNGAY!$K$35</f>
        <v>#VALUE!</v>
      </c>
      <c r="G1079" s="434">
        <v>0.1</v>
      </c>
      <c r="H1079" s="429" t="e">
        <f>F1079*G1079</f>
        <v>#VALUE!</v>
      </c>
      <c r="I1079" s="420"/>
      <c r="J1079" s="420"/>
      <c r="K1079" s="420"/>
      <c r="L1079" s="420"/>
      <c r="M1079" s="420"/>
      <c r="N1079" s="420"/>
      <c r="O1079" s="420"/>
      <c r="P1079" s="420"/>
      <c r="Q1079" s="420"/>
      <c r="R1079" s="420"/>
      <c r="S1079" s="420"/>
      <c r="T1079" s="420"/>
      <c r="U1079" s="420"/>
      <c r="V1079" s="420"/>
      <c r="W1079" s="420"/>
      <c r="X1079" s="420"/>
      <c r="Y1079" s="420"/>
      <c r="Z1079" s="420"/>
      <c r="AA1079" s="420"/>
      <c r="AB1079" s="420"/>
    </row>
  </sheetData>
  <mergeCells count="137">
    <mergeCell ref="E242:E243"/>
    <mergeCell ref="C238:C247"/>
    <mergeCell ref="D238:D247"/>
    <mergeCell ref="A229:H229"/>
    <mergeCell ref="A238:A247"/>
    <mergeCell ref="B238:B247"/>
    <mergeCell ref="E246:E247"/>
    <mergeCell ref="E94:E95"/>
    <mergeCell ref="E164:E165"/>
    <mergeCell ref="E170:E171"/>
    <mergeCell ref="C162:C171"/>
    <mergeCell ref="E244:E245"/>
    <mergeCell ref="E238:E239"/>
    <mergeCell ref="E240:E241"/>
    <mergeCell ref="D162:D171"/>
    <mergeCell ref="E166:E167"/>
    <mergeCell ref="E168:E169"/>
    <mergeCell ref="A836:H836"/>
    <mergeCell ref="D85:D86"/>
    <mergeCell ref="E85:E86"/>
    <mergeCell ref="A162:A171"/>
    <mergeCell ref="B162:B171"/>
    <mergeCell ref="E162:E163"/>
    <mergeCell ref="B92:B99"/>
    <mergeCell ref="C92:C99"/>
    <mergeCell ref="D92:D99"/>
    <mergeCell ref="E92:E93"/>
    <mergeCell ref="C606:C607"/>
    <mergeCell ref="E96:E97"/>
    <mergeCell ref="E98:E99"/>
    <mergeCell ref="A1038:H1038"/>
    <mergeCell ref="C602:C603"/>
    <mergeCell ref="A936:H936"/>
    <mergeCell ref="A675:H675"/>
    <mergeCell ref="A738:H738"/>
    <mergeCell ref="A769:H769"/>
    <mergeCell ref="A803:H803"/>
    <mergeCell ref="E540:E541"/>
    <mergeCell ref="A707:H707"/>
    <mergeCell ref="A868:H868"/>
    <mergeCell ref="A1005:H1005"/>
    <mergeCell ref="C604:C605"/>
    <mergeCell ref="E606:E607"/>
    <mergeCell ref="A902:H902"/>
    <mergeCell ref="F604:F605"/>
    <mergeCell ref="A606:A607"/>
    <mergeCell ref="B606:B607"/>
    <mergeCell ref="A613:A620"/>
    <mergeCell ref="D606:D607"/>
    <mergeCell ref="D531:D532"/>
    <mergeCell ref="E531:E532"/>
    <mergeCell ref="B528:B529"/>
    <mergeCell ref="C528:C529"/>
    <mergeCell ref="E528:E529"/>
    <mergeCell ref="A598:H598"/>
    <mergeCell ref="D538:D543"/>
    <mergeCell ref="E538:E539"/>
    <mergeCell ref="A153:H153"/>
    <mergeCell ref="A971:H971"/>
    <mergeCell ref="A604:A605"/>
    <mergeCell ref="B602:B603"/>
    <mergeCell ref="B604:B605"/>
    <mergeCell ref="G604:G605"/>
    <mergeCell ref="E613:E614"/>
    <mergeCell ref="E615:E616"/>
    <mergeCell ref="E617:E618"/>
    <mergeCell ref="E619:E620"/>
    <mergeCell ref="A3:H3"/>
    <mergeCell ref="B538:B543"/>
    <mergeCell ref="C538:C543"/>
    <mergeCell ref="A11:A12"/>
    <mergeCell ref="A602:A603"/>
    <mergeCell ref="A538:A543"/>
    <mergeCell ref="A85:A86"/>
    <mergeCell ref="B85:B86"/>
    <mergeCell ref="C85:C86"/>
    <mergeCell ref="A92:A99"/>
    <mergeCell ref="B18:B23"/>
    <mergeCell ref="E542:E543"/>
    <mergeCell ref="D528:D529"/>
    <mergeCell ref="C314:C323"/>
    <mergeCell ref="A1:H1"/>
    <mergeCell ref="B8:B9"/>
    <mergeCell ref="E8:E9"/>
    <mergeCell ref="B11:B12"/>
    <mergeCell ref="D8:D9"/>
    <mergeCell ref="E11:E12"/>
    <mergeCell ref="A314:A323"/>
    <mergeCell ref="A8:A9"/>
    <mergeCell ref="C8:C9"/>
    <mergeCell ref="E318:E319"/>
    <mergeCell ref="E320:E321"/>
    <mergeCell ref="D314:D323"/>
    <mergeCell ref="E314:E315"/>
    <mergeCell ref="E322:E323"/>
    <mergeCell ref="B314:B323"/>
    <mergeCell ref="D82:D83"/>
    <mergeCell ref="C393:C397"/>
    <mergeCell ref="D393:D397"/>
    <mergeCell ref="A528:A529"/>
    <mergeCell ref="A487:A491"/>
    <mergeCell ref="C11:C12"/>
    <mergeCell ref="D11:D12"/>
    <mergeCell ref="A18:A23"/>
    <mergeCell ref="C18:C23"/>
    <mergeCell ref="D18:D23"/>
    <mergeCell ref="D440:D444"/>
    <mergeCell ref="A82:A83"/>
    <mergeCell ref="C82:C83"/>
    <mergeCell ref="A1070:H1070"/>
    <mergeCell ref="A476:H476"/>
    <mergeCell ref="A429:H429"/>
    <mergeCell ref="A382:H382"/>
    <mergeCell ref="A523:H523"/>
    <mergeCell ref="A531:A532"/>
    <mergeCell ref="B531:B532"/>
    <mergeCell ref="C531:C532"/>
    <mergeCell ref="B613:B620"/>
    <mergeCell ref="C613:C620"/>
    <mergeCell ref="C440:C444"/>
    <mergeCell ref="B487:B491"/>
    <mergeCell ref="E18:E19"/>
    <mergeCell ref="E20:E21"/>
    <mergeCell ref="E22:E23"/>
    <mergeCell ref="E82:E83"/>
    <mergeCell ref="A78:H78"/>
    <mergeCell ref="B82:B83"/>
    <mergeCell ref="A305:H305"/>
    <mergeCell ref="D487:D491"/>
    <mergeCell ref="H604:H605"/>
    <mergeCell ref="E604:E605"/>
    <mergeCell ref="E316:E317"/>
    <mergeCell ref="A440:A444"/>
    <mergeCell ref="B440:B444"/>
    <mergeCell ref="C487:C491"/>
    <mergeCell ref="A393:A397"/>
    <mergeCell ref="B393:B397"/>
  </mergeCells>
  <phoneticPr fontId="5" type="noConversion"/>
  <printOptions horizontalCentered="1"/>
  <pageMargins left="0.62992125984252001" right="0.62992125984252001" top="0.70866141732283505" bottom="0.70866141732283505" header="0.31496062992126" footer="0.39370078740157499"/>
  <pageSetup paperSize="9" scale="90" firstPageNumber="109" orientation="landscape"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S394"/>
  <sheetViews>
    <sheetView topLeftCell="A22" zoomScale="87" zoomScaleNormal="87" workbookViewId="0">
      <selection activeCell="P16" sqref="P16"/>
    </sheetView>
  </sheetViews>
  <sheetFormatPr defaultRowHeight="16.5"/>
  <cols>
    <col min="1" max="1" width="6.109375" style="527" customWidth="1"/>
    <col min="2" max="2" width="19.5546875" style="527" customWidth="1"/>
    <col min="3" max="3" width="7.33203125" style="527" customWidth="1"/>
    <col min="4" max="4" width="6.88671875" style="409" customWidth="1"/>
    <col min="5" max="5" width="9.88671875" style="409" customWidth="1"/>
    <col min="6" max="6" width="8.33203125" style="409" customWidth="1"/>
    <col min="7" max="7" width="8.5546875" style="409" customWidth="1"/>
    <col min="8" max="8" width="10.5546875" style="409" customWidth="1"/>
    <col min="9" max="9" width="7.33203125" style="409" customWidth="1"/>
    <col min="10" max="10" width="10" style="409" customWidth="1"/>
    <col min="11" max="11" width="7.109375" style="409" customWidth="1"/>
    <col min="12" max="12" width="9.6640625" style="409" customWidth="1"/>
    <col min="13" max="13" width="11.6640625" style="409" customWidth="1"/>
    <col min="14" max="14" width="8.88671875" style="409"/>
    <col min="15" max="15" width="8.21875" style="409" customWidth="1"/>
    <col min="16" max="16" width="9.44140625" style="409" bestFit="1" customWidth="1"/>
    <col min="17" max="17" width="8.77734375" style="409" customWidth="1"/>
    <col min="18" max="18" width="8.88671875" style="409"/>
    <col min="19" max="16384" width="8.88671875" style="527"/>
  </cols>
  <sheetData>
    <row r="1" spans="1:13" ht="24.75" customHeight="1">
      <c r="A1" s="1227" t="s">
        <v>431</v>
      </c>
      <c r="B1" s="1227"/>
      <c r="C1" s="1227"/>
      <c r="D1" s="1227"/>
      <c r="E1" s="1227"/>
      <c r="F1" s="1227"/>
      <c r="G1" s="1227"/>
      <c r="H1" s="1227"/>
      <c r="I1" s="1227"/>
      <c r="J1" s="1227"/>
      <c r="K1" s="1227"/>
      <c r="L1" s="1227"/>
      <c r="M1" s="1227"/>
    </row>
    <row r="2" spans="1:13" ht="6.75" customHeight="1">
      <c r="A2" s="528"/>
      <c r="B2" s="528"/>
      <c r="C2" s="528"/>
      <c r="D2" s="528"/>
      <c r="E2" s="528"/>
      <c r="F2" s="528"/>
      <c r="G2" s="528"/>
      <c r="H2" s="528"/>
      <c r="I2" s="528"/>
      <c r="J2" s="528"/>
      <c r="K2" s="528"/>
      <c r="L2" s="528"/>
    </row>
    <row r="3" spans="1:13" ht="29.25" customHeight="1">
      <c r="A3" s="1228" t="s">
        <v>830</v>
      </c>
      <c r="B3" s="1229"/>
      <c r="C3" s="1229"/>
      <c r="D3" s="1229"/>
      <c r="E3" s="1229"/>
      <c r="F3" s="1229"/>
      <c r="G3" s="1229"/>
      <c r="H3" s="1229"/>
      <c r="I3" s="1229"/>
      <c r="J3" s="1229"/>
      <c r="K3" s="1229"/>
      <c r="L3" s="1229"/>
      <c r="M3" s="1229"/>
    </row>
    <row r="4" spans="1:13" ht="4.5" customHeight="1">
      <c r="A4" s="529"/>
      <c r="B4" s="529"/>
      <c r="C4" s="530"/>
      <c r="D4" s="530"/>
      <c r="E4" s="567"/>
      <c r="F4" s="531"/>
      <c r="G4" s="529"/>
      <c r="H4" s="529"/>
      <c r="I4" s="529"/>
      <c r="J4" s="529"/>
      <c r="K4" s="532"/>
      <c r="L4" s="532"/>
    </row>
    <row r="5" spans="1:13" ht="15.75" customHeight="1">
      <c r="A5" s="1203" t="s">
        <v>724</v>
      </c>
      <c r="B5" s="1203" t="s">
        <v>534</v>
      </c>
      <c r="C5" s="1203" t="s">
        <v>535</v>
      </c>
      <c r="D5" s="1206" t="s">
        <v>536</v>
      </c>
      <c r="E5" s="1203" t="s">
        <v>537</v>
      </c>
      <c r="F5" s="1203" t="s">
        <v>538</v>
      </c>
      <c r="G5" s="1212" t="s">
        <v>539</v>
      </c>
      <c r="H5" s="1214"/>
      <c r="I5" s="1214"/>
      <c r="J5" s="1214"/>
      <c r="K5" s="1214"/>
      <c r="L5" s="1213"/>
      <c r="M5" s="1203" t="s">
        <v>225</v>
      </c>
    </row>
    <row r="6" spans="1:13" ht="37.5" customHeight="1">
      <c r="A6" s="1204"/>
      <c r="B6" s="1204"/>
      <c r="C6" s="1204"/>
      <c r="D6" s="1207"/>
      <c r="E6" s="1204"/>
      <c r="F6" s="1204"/>
      <c r="G6" s="1209" t="s">
        <v>164</v>
      </c>
      <c r="H6" s="1210"/>
      <c r="I6" s="1209" t="s">
        <v>29</v>
      </c>
      <c r="J6" s="1210"/>
      <c r="K6" s="1209" t="s">
        <v>542</v>
      </c>
      <c r="L6" s="1210"/>
      <c r="M6" s="1204"/>
    </row>
    <row r="7" spans="1:13" ht="15" customHeight="1">
      <c r="A7" s="1205"/>
      <c r="B7" s="1205"/>
      <c r="C7" s="1205"/>
      <c r="D7" s="1208"/>
      <c r="E7" s="1205"/>
      <c r="F7" s="1205"/>
      <c r="G7" s="423" t="s">
        <v>739</v>
      </c>
      <c r="H7" s="423" t="s">
        <v>543</v>
      </c>
      <c r="I7" s="423" t="s">
        <v>739</v>
      </c>
      <c r="J7" s="423" t="s">
        <v>543</v>
      </c>
      <c r="K7" s="423" t="s">
        <v>739</v>
      </c>
      <c r="L7" s="423" t="s">
        <v>543</v>
      </c>
      <c r="M7" s="1205"/>
    </row>
    <row r="8" spans="1:13" ht="17.45" customHeight="1">
      <c r="A8" s="578">
        <v>1</v>
      </c>
      <c r="B8" s="579" t="s">
        <v>201</v>
      </c>
      <c r="C8" s="578" t="s">
        <v>202</v>
      </c>
      <c r="D8" s="578">
        <v>36</v>
      </c>
      <c r="E8" s="580">
        <f>'Bang gia'!E6</f>
        <v>230000</v>
      </c>
      <c r="F8" s="535">
        <f>E8/(D8*26)</f>
        <v>245.72649572649573</v>
      </c>
      <c r="G8" s="581">
        <v>0.59</v>
      </c>
      <c r="H8" s="580">
        <f>F8*G8</f>
        <v>144.97863247863248</v>
      </c>
      <c r="I8" s="581">
        <v>0.56499999999999995</v>
      </c>
      <c r="J8" s="582">
        <f t="shared" ref="J8:J23" si="0">F8*I8</f>
        <v>138.83547008547006</v>
      </c>
      <c r="K8" s="581">
        <v>0.14499999999999999</v>
      </c>
      <c r="L8" s="583">
        <f t="shared" ref="L8:L20" si="1">F8*K8</f>
        <v>35.630341880341881</v>
      </c>
      <c r="M8" s="582">
        <f t="shared" ref="M8:M23" si="2">H8+J8+L8</f>
        <v>319.4444444444444</v>
      </c>
    </row>
    <row r="9" spans="1:13" ht="17.45" customHeight="1">
      <c r="A9" s="533">
        <v>2</v>
      </c>
      <c r="B9" s="585" t="s">
        <v>203</v>
      </c>
      <c r="C9" s="533" t="s">
        <v>202</v>
      </c>
      <c r="D9" s="533">
        <v>96</v>
      </c>
      <c r="E9" s="535">
        <f>'Bang gia'!E7</f>
        <v>360000</v>
      </c>
      <c r="F9" s="535">
        <f>E9/(D9*26)</f>
        <v>144.23076923076923</v>
      </c>
      <c r="G9" s="539">
        <v>1.06</v>
      </c>
      <c r="H9" s="535">
        <f>F9*G9</f>
        <v>152.88461538461539</v>
      </c>
      <c r="I9" s="537">
        <v>0.61099999999999999</v>
      </c>
      <c r="J9" s="538">
        <f t="shared" si="0"/>
        <v>88.125</v>
      </c>
      <c r="K9" s="581">
        <v>0.14499999999999999</v>
      </c>
      <c r="L9" s="540">
        <f t="shared" si="1"/>
        <v>20.913461538461537</v>
      </c>
      <c r="M9" s="541">
        <f t="shared" si="2"/>
        <v>261.92307692307691</v>
      </c>
    </row>
    <row r="10" spans="1:13" ht="17.45" customHeight="1">
      <c r="A10" s="533">
        <v>3</v>
      </c>
      <c r="B10" s="534" t="s">
        <v>204</v>
      </c>
      <c r="C10" s="533" t="s">
        <v>202</v>
      </c>
      <c r="D10" s="533">
        <v>96</v>
      </c>
      <c r="E10" s="535">
        <f>'Bang gia'!E8</f>
        <v>754000</v>
      </c>
      <c r="F10" s="535">
        <f>E10/(D10*26)</f>
        <v>302.08333333333331</v>
      </c>
      <c r="G10" s="539">
        <v>1.06</v>
      </c>
      <c r="H10" s="535">
        <f t="shared" ref="H10:H23" si="3">F10*G10</f>
        <v>320.20833333333331</v>
      </c>
      <c r="I10" s="537">
        <v>0.61099999999999999</v>
      </c>
      <c r="J10" s="538">
        <f t="shared" si="0"/>
        <v>184.57291666666666</v>
      </c>
      <c r="K10" s="581">
        <v>0.14499999999999999</v>
      </c>
      <c r="L10" s="540">
        <f t="shared" si="1"/>
        <v>43.802083333333329</v>
      </c>
      <c r="M10" s="541">
        <f t="shared" si="2"/>
        <v>548.58333333333337</v>
      </c>
    </row>
    <row r="11" spans="1:13" ht="17.45" customHeight="1">
      <c r="A11" s="533">
        <v>4</v>
      </c>
      <c r="B11" s="534" t="s">
        <v>205</v>
      </c>
      <c r="C11" s="533" t="s">
        <v>202</v>
      </c>
      <c r="D11" s="533">
        <v>96</v>
      </c>
      <c r="E11" s="535">
        <f>'Bang gia'!E9</f>
        <v>2331000</v>
      </c>
      <c r="F11" s="535">
        <f t="shared" ref="F11:F22" si="4">E11/(D11*26)</f>
        <v>933.89423076923072</v>
      </c>
      <c r="G11" s="539">
        <v>0.59</v>
      </c>
      <c r="H11" s="535">
        <f t="shared" si="3"/>
        <v>550.99759615384608</v>
      </c>
      <c r="I11" s="537">
        <v>0.56499999999999995</v>
      </c>
      <c r="J11" s="538">
        <f t="shared" si="0"/>
        <v>527.65024038461536</v>
      </c>
      <c r="K11" s="581">
        <v>0.14499999999999999</v>
      </c>
      <c r="L11" s="540">
        <f t="shared" si="1"/>
        <v>135.41466346153845</v>
      </c>
      <c r="M11" s="541">
        <f t="shared" si="2"/>
        <v>1214.0625</v>
      </c>
    </row>
    <row r="12" spans="1:13" ht="17.45" customHeight="1">
      <c r="A12" s="533">
        <v>5</v>
      </c>
      <c r="B12" s="534" t="s">
        <v>206</v>
      </c>
      <c r="C12" s="533" t="s">
        <v>202</v>
      </c>
      <c r="D12" s="533">
        <v>24</v>
      </c>
      <c r="E12" s="535">
        <f>'Bang gia'!E10</f>
        <v>15000</v>
      </c>
      <c r="F12" s="535">
        <f t="shared" si="4"/>
        <v>24.03846153846154</v>
      </c>
      <c r="G12" s="539">
        <v>3.1E-2</v>
      </c>
      <c r="H12" s="535">
        <f t="shared" si="3"/>
        <v>0.74519230769230771</v>
      </c>
      <c r="I12" s="537">
        <v>4.2999999999999997E-2</v>
      </c>
      <c r="J12" s="538">
        <f t="shared" si="0"/>
        <v>1.033653846153846</v>
      </c>
      <c r="K12" s="539">
        <v>2E-3</v>
      </c>
      <c r="L12" s="540">
        <f t="shared" si="1"/>
        <v>4.807692307692308E-2</v>
      </c>
      <c r="M12" s="541">
        <f t="shared" si="2"/>
        <v>1.8269230769230769</v>
      </c>
    </row>
    <row r="13" spans="1:13" ht="17.45" customHeight="1">
      <c r="A13" s="533">
        <v>6</v>
      </c>
      <c r="B13" s="534" t="s">
        <v>207</v>
      </c>
      <c r="C13" s="533" t="s">
        <v>202</v>
      </c>
      <c r="D13" s="533">
        <v>36</v>
      </c>
      <c r="E13" s="535">
        <f>'Bang gia'!E11</f>
        <v>270000</v>
      </c>
      <c r="F13" s="535">
        <f t="shared" si="4"/>
        <v>288.46153846153845</v>
      </c>
      <c r="G13" s="539">
        <v>6.0000000000000001E-3</v>
      </c>
      <c r="H13" s="535">
        <f t="shared" si="3"/>
        <v>1.7307692307692308</v>
      </c>
      <c r="I13" s="537">
        <v>8.9999999999999993E-3</v>
      </c>
      <c r="J13" s="538">
        <f t="shared" si="0"/>
        <v>2.5961538461538458</v>
      </c>
      <c r="K13" s="539">
        <v>1E-3</v>
      </c>
      <c r="L13" s="540">
        <f t="shared" si="1"/>
        <v>0.28846153846153844</v>
      </c>
      <c r="M13" s="541">
        <f t="shared" si="2"/>
        <v>4.615384615384615</v>
      </c>
    </row>
    <row r="14" spans="1:13" ht="17.45" customHeight="1">
      <c r="A14" s="533">
        <v>7</v>
      </c>
      <c r="B14" s="534" t="s">
        <v>208</v>
      </c>
      <c r="C14" s="533" t="s">
        <v>202</v>
      </c>
      <c r="D14" s="533">
        <v>12</v>
      </c>
      <c r="E14" s="535">
        <f>'Bang gia'!E12</f>
        <v>48000</v>
      </c>
      <c r="F14" s="535">
        <f t="shared" si="4"/>
        <v>153.84615384615384</v>
      </c>
      <c r="G14" s="539">
        <v>2E-3</v>
      </c>
      <c r="H14" s="535">
        <f t="shared" si="3"/>
        <v>0.30769230769230771</v>
      </c>
      <c r="I14" s="537">
        <v>2E-3</v>
      </c>
      <c r="J14" s="538">
        <f t="shared" si="0"/>
        <v>0.30769230769230771</v>
      </c>
      <c r="K14" s="539">
        <v>1E-3</v>
      </c>
      <c r="L14" s="540">
        <f t="shared" si="1"/>
        <v>0.15384615384615385</v>
      </c>
      <c r="M14" s="541">
        <f t="shared" si="2"/>
        <v>0.76923076923076927</v>
      </c>
    </row>
    <row r="15" spans="1:13" ht="17.45" customHeight="1">
      <c r="A15" s="533">
        <v>8</v>
      </c>
      <c r="B15" s="534" t="s">
        <v>209</v>
      </c>
      <c r="C15" s="533" t="s">
        <v>202</v>
      </c>
      <c r="D15" s="533">
        <v>12</v>
      </c>
      <c r="E15" s="535">
        <f>'Bang gia'!E13</f>
        <v>25000</v>
      </c>
      <c r="F15" s="535">
        <f t="shared" si="4"/>
        <v>80.128205128205124</v>
      </c>
      <c r="G15" s="539">
        <v>6.2E-2</v>
      </c>
      <c r="H15" s="535">
        <f t="shared" si="3"/>
        <v>4.9679487179487181</v>
      </c>
      <c r="I15" s="537">
        <v>8.5000000000000006E-2</v>
      </c>
      <c r="J15" s="538">
        <f t="shared" si="0"/>
        <v>6.8108974358974361</v>
      </c>
      <c r="K15" s="539">
        <v>4.0000000000000001E-3</v>
      </c>
      <c r="L15" s="540">
        <f t="shared" si="1"/>
        <v>0.32051282051282048</v>
      </c>
      <c r="M15" s="541">
        <f t="shared" si="2"/>
        <v>12.099358974358974</v>
      </c>
    </row>
    <row r="16" spans="1:13" ht="17.45" customHeight="1">
      <c r="A16" s="533">
        <v>9</v>
      </c>
      <c r="B16" s="534" t="s">
        <v>210</v>
      </c>
      <c r="C16" s="533" t="s">
        <v>202</v>
      </c>
      <c r="D16" s="533">
        <v>12</v>
      </c>
      <c r="E16" s="535">
        <f>'Bang gia'!E14</f>
        <v>35000</v>
      </c>
      <c r="F16" s="535">
        <f t="shared" si="4"/>
        <v>112.17948717948718</v>
      </c>
      <c r="G16" s="539">
        <v>0.02</v>
      </c>
      <c r="H16" s="535">
        <f t="shared" si="3"/>
        <v>2.2435897435897436</v>
      </c>
      <c r="I16" s="537">
        <v>2.9000000000000001E-2</v>
      </c>
      <c r="J16" s="538">
        <f t="shared" si="0"/>
        <v>3.2532051282051286</v>
      </c>
      <c r="K16" s="539">
        <v>2E-3</v>
      </c>
      <c r="L16" s="540">
        <f t="shared" si="1"/>
        <v>0.22435897435897437</v>
      </c>
      <c r="M16" s="541">
        <f t="shared" si="2"/>
        <v>5.7211538461538467</v>
      </c>
    </row>
    <row r="17" spans="1:18" ht="17.45" customHeight="1">
      <c r="A17" s="533">
        <v>10</v>
      </c>
      <c r="B17" s="534" t="s">
        <v>211</v>
      </c>
      <c r="C17" s="533" t="s">
        <v>202</v>
      </c>
      <c r="D17" s="533">
        <v>9</v>
      </c>
      <c r="E17" s="535">
        <f>'Bang gia'!E15</f>
        <v>15000</v>
      </c>
      <c r="F17" s="535">
        <f t="shared" si="4"/>
        <v>64.102564102564102</v>
      </c>
      <c r="G17" s="539">
        <v>1.0999999999999999E-2</v>
      </c>
      <c r="H17" s="535">
        <f t="shared" si="3"/>
        <v>0.70512820512820507</v>
      </c>
      <c r="I17" s="537">
        <v>1.4E-2</v>
      </c>
      <c r="J17" s="538">
        <f t="shared" si="0"/>
        <v>0.89743589743589747</v>
      </c>
      <c r="K17" s="539">
        <v>1E-3</v>
      </c>
      <c r="L17" s="540">
        <f t="shared" si="1"/>
        <v>6.4102564102564097E-2</v>
      </c>
      <c r="M17" s="541">
        <f t="shared" si="2"/>
        <v>1.6666666666666667</v>
      </c>
    </row>
    <row r="18" spans="1:18" ht="17.45" customHeight="1">
      <c r="A18" s="533">
        <v>11</v>
      </c>
      <c r="B18" s="534" t="s">
        <v>544</v>
      </c>
      <c r="C18" s="533" t="s">
        <v>202</v>
      </c>
      <c r="D18" s="533">
        <v>12</v>
      </c>
      <c r="E18" s="535">
        <f>'Bang gia'!E16</f>
        <v>100000</v>
      </c>
      <c r="F18" s="535">
        <f t="shared" si="4"/>
        <v>320.5128205128205</v>
      </c>
      <c r="G18" s="539">
        <v>1.06</v>
      </c>
      <c r="H18" s="535">
        <f t="shared" si="3"/>
        <v>339.74358974358972</v>
      </c>
      <c r="I18" s="537">
        <v>0.61099999999999999</v>
      </c>
      <c r="J18" s="538">
        <f t="shared" si="0"/>
        <v>195.83333333333331</v>
      </c>
      <c r="K18" s="539">
        <v>0.14499999999999999</v>
      </c>
      <c r="L18" s="540">
        <f t="shared" si="1"/>
        <v>46.474358974358971</v>
      </c>
      <c r="M18" s="541">
        <f t="shared" si="2"/>
        <v>582.0512820512821</v>
      </c>
    </row>
    <row r="19" spans="1:18" ht="17.45" customHeight="1">
      <c r="A19" s="533">
        <v>12</v>
      </c>
      <c r="B19" s="534" t="s">
        <v>213</v>
      </c>
      <c r="C19" s="533" t="s">
        <v>381</v>
      </c>
      <c r="D19" s="533">
        <v>6</v>
      </c>
      <c r="E19" s="535">
        <f>'Bang gia'!E17</f>
        <v>18000</v>
      </c>
      <c r="F19" s="535">
        <f t="shared" si="4"/>
        <v>115.38461538461539</v>
      </c>
      <c r="G19" s="539">
        <v>1.06</v>
      </c>
      <c r="H19" s="535">
        <f t="shared" si="3"/>
        <v>122.30769230769232</v>
      </c>
      <c r="I19" s="537">
        <v>0.61099999999999999</v>
      </c>
      <c r="J19" s="538">
        <f t="shared" si="0"/>
        <v>70.5</v>
      </c>
      <c r="K19" s="539">
        <v>0.14499999999999999</v>
      </c>
      <c r="L19" s="540">
        <f t="shared" si="1"/>
        <v>16.73076923076923</v>
      </c>
      <c r="M19" s="541">
        <f t="shared" si="2"/>
        <v>209.53846153846155</v>
      </c>
    </row>
    <row r="20" spans="1:18" ht="17.45" customHeight="1">
      <c r="A20" s="533">
        <v>13</v>
      </c>
      <c r="B20" s="690" t="s">
        <v>382</v>
      </c>
      <c r="C20" s="533" t="s">
        <v>202</v>
      </c>
      <c r="D20" s="533">
        <v>12</v>
      </c>
      <c r="E20" s="643">
        <f>'Bang gia'!E18</f>
        <v>25000</v>
      </c>
      <c r="F20" s="535">
        <f t="shared" si="4"/>
        <v>80.128205128205124</v>
      </c>
      <c r="G20" s="638">
        <v>0.02</v>
      </c>
      <c r="H20" s="535">
        <f t="shared" si="3"/>
        <v>1.6025641025641024</v>
      </c>
      <c r="I20" s="639">
        <v>2.7E-2</v>
      </c>
      <c r="J20" s="538">
        <f t="shared" si="0"/>
        <v>2.1634615384615383</v>
      </c>
      <c r="K20" s="638">
        <v>0</v>
      </c>
      <c r="L20" s="540">
        <f t="shared" si="1"/>
        <v>0</v>
      </c>
      <c r="M20" s="541">
        <f t="shared" si="2"/>
        <v>3.7660256410256405</v>
      </c>
    </row>
    <row r="21" spans="1:18" ht="17.45" customHeight="1">
      <c r="A21" s="533">
        <v>14</v>
      </c>
      <c r="B21" s="690" t="s">
        <v>383</v>
      </c>
      <c r="C21" s="533" t="s">
        <v>202</v>
      </c>
      <c r="D21" s="533">
        <v>36</v>
      </c>
      <c r="E21" s="643">
        <f>'Bang gia'!E19</f>
        <v>870000</v>
      </c>
      <c r="F21" s="535">
        <f t="shared" si="4"/>
        <v>929.48717948717945</v>
      </c>
      <c r="G21" s="638">
        <v>0.41299999999999998</v>
      </c>
      <c r="H21" s="535">
        <f t="shared" si="3"/>
        <v>383.87820512820508</v>
      </c>
      <c r="I21" s="639">
        <v>0.39600000000000002</v>
      </c>
      <c r="J21" s="538">
        <f t="shared" si="0"/>
        <v>368.07692307692309</v>
      </c>
      <c r="K21" s="638">
        <v>0.10199999999999999</v>
      </c>
      <c r="L21" s="540">
        <f>F21*K21</f>
        <v>94.807692307692292</v>
      </c>
      <c r="M21" s="541">
        <f t="shared" si="2"/>
        <v>846.76282051282044</v>
      </c>
    </row>
    <row r="22" spans="1:18" ht="17.45" customHeight="1">
      <c r="A22" s="533">
        <v>15</v>
      </c>
      <c r="B22" s="690" t="s">
        <v>384</v>
      </c>
      <c r="C22" s="641" t="s">
        <v>385</v>
      </c>
      <c r="D22" s="641">
        <v>30</v>
      </c>
      <c r="E22" s="643">
        <f>'Bang gia'!E20</f>
        <v>65000</v>
      </c>
      <c r="F22" s="535">
        <f t="shared" si="4"/>
        <v>83.333333333333329</v>
      </c>
      <c r="G22" s="638">
        <v>1.06</v>
      </c>
      <c r="H22" s="535">
        <f t="shared" si="3"/>
        <v>88.333333333333329</v>
      </c>
      <c r="I22" s="639">
        <v>0.61099999999999999</v>
      </c>
      <c r="J22" s="538">
        <f t="shared" si="0"/>
        <v>50.916666666666664</v>
      </c>
      <c r="K22" s="638">
        <v>0.14499999999999999</v>
      </c>
      <c r="L22" s="540">
        <f>F22*K22</f>
        <v>12.083333333333332</v>
      </c>
      <c r="M22" s="541">
        <f t="shared" si="2"/>
        <v>151.33333333333334</v>
      </c>
    </row>
    <row r="23" spans="1:18" ht="17.45" customHeight="1">
      <c r="A23" s="641">
        <v>16</v>
      </c>
      <c r="B23" s="690" t="s">
        <v>386</v>
      </c>
      <c r="C23" s="641" t="s">
        <v>740</v>
      </c>
      <c r="D23" s="641"/>
      <c r="E23" s="643">
        <f>'Bang gia'!E21</f>
        <v>1554</v>
      </c>
      <c r="F23" s="643">
        <f>E23</f>
        <v>1554</v>
      </c>
      <c r="G23" s="638">
        <v>0.66900000000000004</v>
      </c>
      <c r="H23" s="643">
        <f t="shared" si="3"/>
        <v>1039.626</v>
      </c>
      <c r="I23" s="639">
        <v>0.51200000000000001</v>
      </c>
      <c r="J23" s="644">
        <f t="shared" si="0"/>
        <v>795.64800000000002</v>
      </c>
      <c r="K23" s="638">
        <v>0.128</v>
      </c>
      <c r="L23" s="645">
        <f>F23*K23</f>
        <v>198.91200000000001</v>
      </c>
      <c r="M23" s="646">
        <f t="shared" si="2"/>
        <v>2034.1859999999999</v>
      </c>
    </row>
    <row r="24" spans="1:18" s="692" customFormat="1" ht="17.45" customHeight="1">
      <c r="A24" s="652"/>
      <c r="B24" s="652" t="s">
        <v>545</v>
      </c>
      <c r="C24" s="652"/>
      <c r="D24" s="652"/>
      <c r="E24" s="577"/>
      <c r="F24" s="577"/>
      <c r="G24" s="691"/>
      <c r="H24" s="577">
        <f>SUM(H8:H23)</f>
        <v>3155.260882478633</v>
      </c>
      <c r="I24" s="577"/>
      <c r="J24" s="577">
        <f>SUM(J8:J23)</f>
        <v>2437.221050213675</v>
      </c>
      <c r="K24" s="577"/>
      <c r="L24" s="577">
        <f>SUM(L8:L23)</f>
        <v>605.86806303418803</v>
      </c>
      <c r="M24" s="577">
        <f>SUM(M8:M23)</f>
        <v>6198.3499957264949</v>
      </c>
      <c r="N24" s="624"/>
      <c r="O24" s="624"/>
      <c r="P24" s="624"/>
      <c r="Q24" s="624"/>
      <c r="R24" s="624"/>
    </row>
    <row r="25" spans="1:18" s="692" customFormat="1" ht="17.45" customHeight="1">
      <c r="A25" s="693"/>
      <c r="B25" s="693" t="s">
        <v>758</v>
      </c>
      <c r="C25" s="693"/>
      <c r="D25" s="693"/>
      <c r="E25" s="694"/>
      <c r="F25" s="694"/>
      <c r="G25" s="695"/>
      <c r="H25" s="694">
        <f>(H24-H23)*5%</f>
        <v>105.78174412393165</v>
      </c>
      <c r="I25" s="694"/>
      <c r="J25" s="694">
        <f>(J24-J23)*5%</f>
        <v>82.078652510683753</v>
      </c>
      <c r="K25" s="694"/>
      <c r="L25" s="694">
        <f>(L24-L23)*5%</f>
        <v>20.3478031517094</v>
      </c>
      <c r="M25" s="694">
        <f>(M24-M23)*5%</f>
        <v>208.20819978632477</v>
      </c>
      <c r="N25" s="624"/>
      <c r="O25" s="624"/>
      <c r="P25" s="624"/>
      <c r="Q25" s="624"/>
      <c r="R25" s="624"/>
    </row>
    <row r="26" spans="1:18" ht="17.45" customHeight="1">
      <c r="A26" s="542"/>
      <c r="B26" s="543" t="s">
        <v>546</v>
      </c>
      <c r="C26" s="542"/>
      <c r="D26" s="542"/>
      <c r="E26" s="591"/>
      <c r="F26" s="542"/>
      <c r="G26" s="542"/>
      <c r="H26" s="544">
        <f>H24+H25</f>
        <v>3261.0426266025647</v>
      </c>
      <c r="I26" s="544"/>
      <c r="J26" s="544">
        <f>J24+J25</f>
        <v>2519.2997027243587</v>
      </c>
      <c r="K26" s="544"/>
      <c r="L26" s="544">
        <f>L24+L25</f>
        <v>626.21586618589743</v>
      </c>
      <c r="M26" s="544">
        <f>M24+M25</f>
        <v>6406.55819551282</v>
      </c>
    </row>
    <row r="27" spans="1:18" ht="21" customHeight="1">
      <c r="A27" s="548"/>
      <c r="B27" s="549"/>
      <c r="C27" s="550"/>
      <c r="D27" s="551"/>
      <c r="E27" s="593"/>
      <c r="F27" s="551"/>
      <c r="G27" s="552"/>
      <c r="H27" s="552"/>
      <c r="I27" s="553"/>
      <c r="J27" s="553"/>
      <c r="K27" s="553"/>
      <c r="L27" s="553"/>
      <c r="M27" s="551"/>
    </row>
    <row r="28" spans="1:18" ht="17.45" customHeight="1">
      <c r="A28" s="696"/>
      <c r="B28" s="697" t="s">
        <v>547</v>
      </c>
      <c r="C28" s="697"/>
      <c r="D28" s="698"/>
      <c r="E28" s="699"/>
      <c r="F28" s="698"/>
      <c r="G28" s="700">
        <v>0.85</v>
      </c>
      <c r="H28" s="701">
        <f>H26*0.85</f>
        <v>2771.8862326121798</v>
      </c>
      <c r="I28" s="623">
        <v>1</v>
      </c>
      <c r="J28" s="701">
        <f>J26</f>
        <v>2519.2997027243587</v>
      </c>
      <c r="K28" s="623">
        <v>1</v>
      </c>
      <c r="L28" s="701">
        <f>L26</f>
        <v>626.21586618589743</v>
      </c>
      <c r="M28" s="701">
        <f>H28+J28+L28</f>
        <v>5917.4018015224356</v>
      </c>
      <c r="O28" s="590">
        <f>H28/8000</f>
        <v>0.34648577907652245</v>
      </c>
      <c r="P28" s="590">
        <f>J28/8000</f>
        <v>0.31491246284054486</v>
      </c>
      <c r="Q28" s="590">
        <f>L28/8000</f>
        <v>7.8276983273237177E-2</v>
      </c>
    </row>
    <row r="29" spans="1:18" ht="17.45" customHeight="1">
      <c r="A29" s="702"/>
      <c r="B29" s="703" t="s">
        <v>548</v>
      </c>
      <c r="C29" s="703"/>
      <c r="D29" s="704"/>
      <c r="E29" s="705"/>
      <c r="F29" s="704"/>
      <c r="G29" s="706">
        <v>0.9</v>
      </c>
      <c r="H29" s="707">
        <f>H26*0.9</f>
        <v>2934.9383639423081</v>
      </c>
      <c r="I29" s="708">
        <v>1</v>
      </c>
      <c r="J29" s="707">
        <f>J26</f>
        <v>2519.2997027243587</v>
      </c>
      <c r="K29" s="708">
        <v>1</v>
      </c>
      <c r="L29" s="707">
        <f>L26</f>
        <v>626.21586618589743</v>
      </c>
      <c r="M29" s="707">
        <f>H29+J29+L29</f>
        <v>6080.4539328525643</v>
      </c>
      <c r="O29" s="590">
        <f>H29/8000</f>
        <v>0.36686729549278851</v>
      </c>
      <c r="P29" s="590">
        <f>J29/8000</f>
        <v>0.31491246284054486</v>
      </c>
      <c r="Q29" s="590">
        <f>L29/8000</f>
        <v>7.8276983273237177E-2</v>
      </c>
    </row>
    <row r="30" spans="1:18" ht="17.45" customHeight="1">
      <c r="A30" s="709"/>
      <c r="B30" s="710" t="s">
        <v>549</v>
      </c>
      <c r="C30" s="710"/>
      <c r="D30" s="711"/>
      <c r="E30" s="712"/>
      <c r="F30" s="711"/>
      <c r="G30" s="713">
        <v>1</v>
      </c>
      <c r="H30" s="714">
        <f>H26</f>
        <v>3261.0426266025647</v>
      </c>
      <c r="I30" s="708">
        <v>1</v>
      </c>
      <c r="J30" s="714">
        <f>J26</f>
        <v>2519.2997027243587</v>
      </c>
      <c r="K30" s="708">
        <v>1</v>
      </c>
      <c r="L30" s="714">
        <f>L26</f>
        <v>626.21586618589743</v>
      </c>
      <c r="M30" s="714">
        <f>H30+J30+L30</f>
        <v>6406.5581955128209</v>
      </c>
      <c r="O30" s="590">
        <f>H30/8000</f>
        <v>0.40763032832532059</v>
      </c>
      <c r="P30" s="590">
        <f>J30/8000</f>
        <v>0.31491246284054486</v>
      </c>
      <c r="Q30" s="590">
        <f>L30/8000</f>
        <v>7.8276983273237177E-2</v>
      </c>
    </row>
    <row r="31" spans="1:18" ht="6" customHeight="1">
      <c r="A31" s="435"/>
      <c r="B31" s="561"/>
      <c r="C31" s="555"/>
      <c r="D31" s="449"/>
      <c r="E31" s="559"/>
      <c r="F31" s="449"/>
      <c r="G31" s="556"/>
      <c r="H31" s="556"/>
      <c r="I31" s="557"/>
      <c r="J31" s="557"/>
      <c r="K31" s="557"/>
      <c r="L31" s="557"/>
      <c r="M31" s="449"/>
      <c r="P31" s="590"/>
    </row>
    <row r="32" spans="1:18" ht="13.5" customHeight="1">
      <c r="A32" s="561"/>
      <c r="B32" s="554" t="s">
        <v>550</v>
      </c>
      <c r="C32" s="558"/>
      <c r="D32" s="449"/>
      <c r="E32" s="559"/>
      <c r="F32" s="449"/>
      <c r="G32" s="556"/>
      <c r="H32" s="556"/>
      <c r="I32" s="557"/>
      <c r="J32" s="557"/>
      <c r="K32" s="557"/>
      <c r="L32" s="557"/>
      <c r="M32" s="449"/>
    </row>
    <row r="33" spans="1:13" ht="41.45" customHeight="1">
      <c r="A33" s="435"/>
      <c r="B33" s="1223" t="s">
        <v>373</v>
      </c>
      <c r="C33" s="1223"/>
      <c r="D33" s="1223"/>
      <c r="E33" s="1223"/>
      <c r="F33" s="1223"/>
      <c r="G33" s="1223"/>
      <c r="H33" s="1223"/>
      <c r="I33" s="1223"/>
      <c r="J33" s="1223"/>
      <c r="K33" s="1223"/>
      <c r="L33" s="1223"/>
      <c r="M33" s="1223"/>
    </row>
    <row r="34" spans="1:13" ht="25.15" customHeight="1">
      <c r="A34" s="435"/>
      <c r="B34" s="1098" t="s">
        <v>374</v>
      </c>
      <c r="C34" s="1098"/>
      <c r="D34" s="1098"/>
      <c r="E34" s="1098"/>
      <c r="F34" s="1098"/>
      <c r="G34" s="1098"/>
      <c r="H34" s="1098"/>
      <c r="I34" s="1098"/>
      <c r="J34" s="1098"/>
      <c r="K34" s="1098"/>
      <c r="L34" s="1098"/>
      <c r="M34" s="1098"/>
    </row>
    <row r="35" spans="1:13" ht="25.15" customHeight="1">
      <c r="A35" s="435"/>
      <c r="B35" s="1098" t="s">
        <v>155</v>
      </c>
      <c r="C35" s="1098"/>
      <c r="D35" s="1098"/>
      <c r="E35" s="1098"/>
      <c r="F35" s="1098"/>
      <c r="G35" s="1098"/>
      <c r="H35" s="1098"/>
      <c r="I35" s="1098"/>
      <c r="J35" s="1098"/>
      <c r="K35" s="1098"/>
      <c r="L35" s="1098"/>
      <c r="M35" s="1098"/>
    </row>
    <row r="36" spans="1:13" ht="25.15" customHeight="1">
      <c r="A36" s="435"/>
      <c r="B36" s="1098" t="s">
        <v>380</v>
      </c>
      <c r="C36" s="1098"/>
      <c r="D36" s="1098"/>
      <c r="E36" s="1098"/>
      <c r="F36" s="1098"/>
      <c r="G36" s="1098"/>
      <c r="H36" s="1098"/>
      <c r="I36" s="1098"/>
      <c r="J36" s="1098"/>
      <c r="K36" s="1098"/>
      <c r="L36" s="1098"/>
      <c r="M36" s="1098"/>
    </row>
    <row r="37" spans="1:13" ht="26.45" customHeight="1">
      <c r="A37" s="435"/>
      <c r="B37" s="1098" t="s">
        <v>642</v>
      </c>
      <c r="C37" s="1098"/>
      <c r="D37" s="1098"/>
      <c r="E37" s="1098"/>
      <c r="F37" s="1098"/>
      <c r="G37" s="1098"/>
      <c r="H37" s="1098"/>
      <c r="I37" s="1098"/>
      <c r="J37" s="1098"/>
      <c r="K37" s="1098"/>
      <c r="L37" s="1098"/>
      <c r="M37" s="1098"/>
    </row>
    <row r="38" spans="1:13" ht="15.6" customHeight="1">
      <c r="A38" s="435"/>
      <c r="B38" s="1098"/>
      <c r="C38" s="1098"/>
      <c r="D38" s="1098"/>
      <c r="E38" s="1098"/>
      <c r="F38" s="1098"/>
      <c r="G38" s="1098"/>
      <c r="H38" s="1098"/>
      <c r="I38" s="1098"/>
      <c r="J38" s="1098"/>
      <c r="K38" s="1098"/>
      <c r="L38" s="1098"/>
      <c r="M38" s="1098"/>
    </row>
    <row r="39" spans="1:13" ht="28.5" customHeight="1">
      <c r="A39" s="1070" t="s">
        <v>171</v>
      </c>
      <c r="B39" s="1070"/>
      <c r="C39" s="1070"/>
      <c r="D39" s="1070"/>
      <c r="E39" s="1070"/>
      <c r="F39" s="1070"/>
      <c r="G39" s="1070"/>
      <c r="H39" s="1070"/>
      <c r="I39" s="1070"/>
      <c r="J39" s="1070"/>
      <c r="K39" s="1070"/>
      <c r="L39" s="1070"/>
      <c r="M39" s="1070"/>
    </row>
    <row r="40" spans="1:13" ht="5.25" customHeight="1">
      <c r="A40" s="715"/>
      <c r="B40" s="715"/>
      <c r="C40" s="716"/>
      <c r="D40" s="530"/>
      <c r="E40" s="567"/>
      <c r="F40" s="531"/>
      <c r="G40" s="529"/>
      <c r="H40" s="529"/>
      <c r="I40" s="529"/>
      <c r="J40" s="529"/>
      <c r="K40" s="532"/>
      <c r="L40" s="532"/>
    </row>
    <row r="41" spans="1:13" ht="21" customHeight="1">
      <c r="A41" s="1203" t="s">
        <v>724</v>
      </c>
      <c r="B41" s="1203" t="s">
        <v>534</v>
      </c>
      <c r="C41" s="1203" t="s">
        <v>535</v>
      </c>
      <c r="D41" s="1206" t="s">
        <v>536</v>
      </c>
      <c r="E41" s="1203" t="s">
        <v>537</v>
      </c>
      <c r="F41" s="1203" t="s">
        <v>538</v>
      </c>
      <c r="G41" s="1212" t="s">
        <v>539</v>
      </c>
      <c r="H41" s="1214"/>
      <c r="I41" s="1214"/>
      <c r="J41" s="1214"/>
      <c r="K41" s="1214"/>
      <c r="L41" s="1213"/>
      <c r="M41" s="1203" t="s">
        <v>157</v>
      </c>
    </row>
    <row r="42" spans="1:13" ht="31.9" customHeight="1">
      <c r="A42" s="1204"/>
      <c r="B42" s="1204"/>
      <c r="C42" s="1204"/>
      <c r="D42" s="1207"/>
      <c r="E42" s="1204"/>
      <c r="F42" s="1204"/>
      <c r="G42" s="1209" t="s">
        <v>484</v>
      </c>
      <c r="H42" s="1210"/>
      <c r="I42" s="1209" t="s">
        <v>29</v>
      </c>
      <c r="J42" s="1210"/>
      <c r="K42" s="1209" t="s">
        <v>542</v>
      </c>
      <c r="L42" s="1210"/>
      <c r="M42" s="1204"/>
    </row>
    <row r="43" spans="1:13" ht="15" customHeight="1">
      <c r="A43" s="1205"/>
      <c r="B43" s="1205"/>
      <c r="C43" s="1205"/>
      <c r="D43" s="1208"/>
      <c r="E43" s="1205"/>
      <c r="F43" s="1205"/>
      <c r="G43" s="524" t="s">
        <v>739</v>
      </c>
      <c r="H43" s="524" t="s">
        <v>497</v>
      </c>
      <c r="I43" s="524" t="s">
        <v>739</v>
      </c>
      <c r="J43" s="524" t="s">
        <v>497</v>
      </c>
      <c r="K43" s="524" t="s">
        <v>739</v>
      </c>
      <c r="L43" s="524" t="s">
        <v>497</v>
      </c>
      <c r="M43" s="1205"/>
    </row>
    <row r="44" spans="1:13" ht="16.899999999999999" customHeight="1">
      <c r="A44" s="578">
        <v>1</v>
      </c>
      <c r="B44" s="579" t="s">
        <v>201</v>
      </c>
      <c r="C44" s="578" t="s">
        <v>202</v>
      </c>
      <c r="D44" s="578">
        <v>36</v>
      </c>
      <c r="E44" s="580">
        <f>'Bang gia'!E6</f>
        <v>230000</v>
      </c>
      <c r="F44" s="535">
        <f>E44/(D44*26)</f>
        <v>245.72649572649573</v>
      </c>
      <c r="G44" s="717">
        <v>0.75900000000000001</v>
      </c>
      <c r="H44" s="538">
        <f>F44*G44</f>
        <v>186.50641025641025</v>
      </c>
      <c r="I44" s="717">
        <v>0.90800000000000003</v>
      </c>
      <c r="J44" s="582">
        <f t="shared" ref="J44:J59" si="5">F44*I44</f>
        <v>223.11965811965814</v>
      </c>
      <c r="K44" s="718">
        <v>0.16800000000000001</v>
      </c>
      <c r="L44" s="583">
        <f t="shared" ref="L44:L56" si="6">F44*K44</f>
        <v>41.282051282051285</v>
      </c>
      <c r="M44" s="582">
        <f t="shared" ref="M44:M60" si="7">H44+J44+L44</f>
        <v>450.90811965811963</v>
      </c>
    </row>
    <row r="45" spans="1:13" ht="16.899999999999999" customHeight="1">
      <c r="A45" s="533">
        <v>2</v>
      </c>
      <c r="B45" s="585" t="s">
        <v>203</v>
      </c>
      <c r="C45" s="533" t="s">
        <v>202</v>
      </c>
      <c r="D45" s="533">
        <v>96</v>
      </c>
      <c r="E45" s="535">
        <f>'Bang gia'!E7</f>
        <v>360000</v>
      </c>
      <c r="F45" s="535">
        <f>E45/(D45*26)</f>
        <v>144.23076923076923</v>
      </c>
      <c r="G45" s="719">
        <v>1.373</v>
      </c>
      <c r="H45" s="538">
        <f>F45*G45</f>
        <v>198.02884615384616</v>
      </c>
      <c r="I45" s="720">
        <v>1.143</v>
      </c>
      <c r="J45" s="721">
        <f t="shared" si="5"/>
        <v>164.85576923076923</v>
      </c>
      <c r="K45" s="722">
        <v>0.16800000000000001</v>
      </c>
      <c r="L45" s="723">
        <f t="shared" si="6"/>
        <v>24.23076923076923</v>
      </c>
      <c r="M45" s="541">
        <f t="shared" si="7"/>
        <v>387.11538461538458</v>
      </c>
    </row>
    <row r="46" spans="1:13" ht="16.899999999999999" customHeight="1">
      <c r="A46" s="533">
        <v>3</v>
      </c>
      <c r="B46" s="534" t="s">
        <v>204</v>
      </c>
      <c r="C46" s="533" t="s">
        <v>202</v>
      </c>
      <c r="D46" s="533">
        <v>96</v>
      </c>
      <c r="E46" s="535">
        <f>'Bang gia'!E8</f>
        <v>754000</v>
      </c>
      <c r="F46" s="535">
        <f>E46/(D46*26)</f>
        <v>302.08333333333331</v>
      </c>
      <c r="G46" s="719">
        <v>1.373</v>
      </c>
      <c r="H46" s="538">
        <f t="shared" ref="H46:H58" si="8">F46*G46</f>
        <v>414.76041666666663</v>
      </c>
      <c r="I46" s="720">
        <v>1.143</v>
      </c>
      <c r="J46" s="721">
        <f t="shared" si="5"/>
        <v>345.28125</v>
      </c>
      <c r="K46" s="722">
        <v>0.16800000000000001</v>
      </c>
      <c r="L46" s="723">
        <f t="shared" si="6"/>
        <v>50.75</v>
      </c>
      <c r="M46" s="541">
        <f t="shared" si="7"/>
        <v>810.79166666666663</v>
      </c>
    </row>
    <row r="47" spans="1:13" ht="16.899999999999999" customHeight="1">
      <c r="A47" s="533">
        <v>4</v>
      </c>
      <c r="B47" s="534" t="s">
        <v>205</v>
      </c>
      <c r="C47" s="533" t="s">
        <v>202</v>
      </c>
      <c r="D47" s="533">
        <v>96</v>
      </c>
      <c r="E47" s="535">
        <f>'Bang gia'!E9</f>
        <v>2331000</v>
      </c>
      <c r="F47" s="535">
        <f t="shared" ref="F47:F58" si="9">E47/(D47*26)</f>
        <v>933.89423076923072</v>
      </c>
      <c r="G47" s="719">
        <v>0.74299999999999999</v>
      </c>
      <c r="H47" s="538">
        <f t="shared" si="8"/>
        <v>693.88341346153845</v>
      </c>
      <c r="I47" s="720">
        <v>0.90800000000000003</v>
      </c>
      <c r="J47" s="538">
        <f t="shared" si="5"/>
        <v>847.97596153846155</v>
      </c>
      <c r="K47" s="724">
        <v>0.16800000000000001</v>
      </c>
      <c r="L47" s="540">
        <f t="shared" si="6"/>
        <v>156.89423076923077</v>
      </c>
      <c r="M47" s="541">
        <f t="shared" si="7"/>
        <v>1698.7536057692307</v>
      </c>
    </row>
    <row r="48" spans="1:13" ht="16.899999999999999" customHeight="1">
      <c r="A48" s="533">
        <v>5</v>
      </c>
      <c r="B48" s="534" t="s">
        <v>206</v>
      </c>
      <c r="C48" s="533" t="s">
        <v>202</v>
      </c>
      <c r="D48" s="533">
        <v>24</v>
      </c>
      <c r="E48" s="535">
        <f>'Bang gia'!E10</f>
        <v>15000</v>
      </c>
      <c r="F48" s="535">
        <f t="shared" si="9"/>
        <v>24.03846153846154</v>
      </c>
      <c r="G48" s="719">
        <v>0.111</v>
      </c>
      <c r="H48" s="538">
        <f t="shared" si="8"/>
        <v>2.6682692307692308</v>
      </c>
      <c r="I48" s="720">
        <v>4.8000000000000001E-2</v>
      </c>
      <c r="J48" s="538">
        <f t="shared" si="5"/>
        <v>1.153846153846154</v>
      </c>
      <c r="K48" s="719">
        <v>3.0000000000000001E-3</v>
      </c>
      <c r="L48" s="540">
        <f t="shared" si="6"/>
        <v>7.2115384615384623E-2</v>
      </c>
      <c r="M48" s="541">
        <f t="shared" si="7"/>
        <v>3.8942307692307696</v>
      </c>
    </row>
    <row r="49" spans="1:15" ht="16.899999999999999" customHeight="1">
      <c r="A49" s="533">
        <v>6</v>
      </c>
      <c r="B49" s="534" t="s">
        <v>207</v>
      </c>
      <c r="C49" s="533" t="s">
        <v>202</v>
      </c>
      <c r="D49" s="533">
        <v>36</v>
      </c>
      <c r="E49" s="535">
        <f>'Bang gia'!E11</f>
        <v>270000</v>
      </c>
      <c r="F49" s="535">
        <f t="shared" si="9"/>
        <v>288.46153846153845</v>
      </c>
      <c r="G49" s="719">
        <v>2.1999999999999999E-2</v>
      </c>
      <c r="H49" s="538">
        <f t="shared" si="8"/>
        <v>6.3461538461538458</v>
      </c>
      <c r="I49" s="720">
        <v>8.9999999999999993E-3</v>
      </c>
      <c r="J49" s="538">
        <f t="shared" si="5"/>
        <v>2.5961538461538458</v>
      </c>
      <c r="K49" s="719">
        <v>1E-3</v>
      </c>
      <c r="L49" s="540">
        <f t="shared" si="6"/>
        <v>0.28846153846153844</v>
      </c>
      <c r="M49" s="541">
        <f t="shared" si="7"/>
        <v>9.2307692307692299</v>
      </c>
    </row>
    <row r="50" spans="1:15" ht="16.899999999999999" customHeight="1">
      <c r="A50" s="533">
        <v>7</v>
      </c>
      <c r="B50" s="534" t="s">
        <v>208</v>
      </c>
      <c r="C50" s="533" t="s">
        <v>202</v>
      </c>
      <c r="D50" s="533">
        <v>12</v>
      </c>
      <c r="E50" s="535">
        <f>'Bang gia'!E12</f>
        <v>48000</v>
      </c>
      <c r="F50" s="535">
        <f t="shared" si="9"/>
        <v>153.84615384615384</v>
      </c>
      <c r="G50" s="719">
        <v>5.0000000000000001E-3</v>
      </c>
      <c r="H50" s="538">
        <f t="shared" si="8"/>
        <v>0.76923076923076916</v>
      </c>
      <c r="I50" s="720">
        <v>2E-3</v>
      </c>
      <c r="J50" s="538">
        <f t="shared" si="5"/>
        <v>0.30769230769230771</v>
      </c>
      <c r="K50" s="719">
        <v>1E-3</v>
      </c>
      <c r="L50" s="540">
        <f t="shared" si="6"/>
        <v>0.15384615384615385</v>
      </c>
      <c r="M50" s="541">
        <f t="shared" si="7"/>
        <v>1.2307692307692308</v>
      </c>
    </row>
    <row r="51" spans="1:15" ht="16.899999999999999" customHeight="1">
      <c r="A51" s="533">
        <v>8</v>
      </c>
      <c r="B51" s="534" t="s">
        <v>209</v>
      </c>
      <c r="C51" s="533" t="s">
        <v>202</v>
      </c>
      <c r="D51" s="533">
        <v>12</v>
      </c>
      <c r="E51" s="535">
        <f>'Bang gia'!E13</f>
        <v>25000</v>
      </c>
      <c r="F51" s="535">
        <f t="shared" si="9"/>
        <v>80.128205128205124</v>
      </c>
      <c r="G51" s="719">
        <v>2.5000000000000001E-2</v>
      </c>
      <c r="H51" s="538">
        <f t="shared" si="8"/>
        <v>2.0032051282051282</v>
      </c>
      <c r="I51" s="720">
        <v>1.0999999999999999E-2</v>
      </c>
      <c r="J51" s="538">
        <f t="shared" si="5"/>
        <v>0.88141025641025628</v>
      </c>
      <c r="K51" s="719">
        <v>5.0000000000000001E-3</v>
      </c>
      <c r="L51" s="540">
        <f t="shared" si="6"/>
        <v>0.40064102564102561</v>
      </c>
      <c r="M51" s="541">
        <f t="shared" si="7"/>
        <v>3.2852564102564101</v>
      </c>
    </row>
    <row r="52" spans="1:15" ht="16.899999999999999" customHeight="1">
      <c r="A52" s="533">
        <v>9</v>
      </c>
      <c r="B52" s="534" t="s">
        <v>210</v>
      </c>
      <c r="C52" s="533" t="s">
        <v>202</v>
      </c>
      <c r="D52" s="533">
        <v>12</v>
      </c>
      <c r="E52" s="535">
        <f>'Bang gia'!E14</f>
        <v>35000</v>
      </c>
      <c r="F52" s="535">
        <f t="shared" si="9"/>
        <v>112.17948717948718</v>
      </c>
      <c r="G52" s="719">
        <v>7.3999999999999996E-2</v>
      </c>
      <c r="H52" s="538">
        <f t="shared" si="8"/>
        <v>8.3012820512820511</v>
      </c>
      <c r="I52" s="720">
        <v>3.1E-2</v>
      </c>
      <c r="J52" s="538">
        <f t="shared" si="5"/>
        <v>3.4775641025641026</v>
      </c>
      <c r="K52" s="719">
        <v>2E-3</v>
      </c>
      <c r="L52" s="540">
        <f t="shared" si="6"/>
        <v>0.22435897435897437</v>
      </c>
      <c r="M52" s="541">
        <f t="shared" si="7"/>
        <v>12.003205128205128</v>
      </c>
    </row>
    <row r="53" spans="1:15" ht="16.899999999999999" customHeight="1">
      <c r="A53" s="533">
        <v>10</v>
      </c>
      <c r="B53" s="534" t="s">
        <v>211</v>
      </c>
      <c r="C53" s="533" t="s">
        <v>202</v>
      </c>
      <c r="D53" s="533">
        <v>9</v>
      </c>
      <c r="E53" s="535">
        <f>'Bang gia'!E15</f>
        <v>15000</v>
      </c>
      <c r="F53" s="535">
        <f t="shared" si="9"/>
        <v>64.102564102564102</v>
      </c>
      <c r="G53" s="719">
        <v>3.5000000000000003E-2</v>
      </c>
      <c r="H53" s="538">
        <f t="shared" si="8"/>
        <v>2.2435897435897436</v>
      </c>
      <c r="I53" s="720">
        <v>1.4999999999999999E-2</v>
      </c>
      <c r="J53" s="538">
        <f t="shared" si="5"/>
        <v>0.96153846153846145</v>
      </c>
      <c r="K53" s="719">
        <v>1E-3</v>
      </c>
      <c r="L53" s="540">
        <f t="shared" si="6"/>
        <v>6.4102564102564097E-2</v>
      </c>
      <c r="M53" s="541">
        <f t="shared" si="7"/>
        <v>3.2692307692307692</v>
      </c>
    </row>
    <row r="54" spans="1:15" ht="16.899999999999999" customHeight="1">
      <c r="A54" s="533">
        <v>11</v>
      </c>
      <c r="B54" s="534" t="s">
        <v>544</v>
      </c>
      <c r="C54" s="533" t="s">
        <v>202</v>
      </c>
      <c r="D54" s="533">
        <v>12</v>
      </c>
      <c r="E54" s="535">
        <f>'Bang gia'!E16</f>
        <v>100000</v>
      </c>
      <c r="F54" s="535">
        <f t="shared" si="9"/>
        <v>320.5128205128205</v>
      </c>
      <c r="G54" s="719">
        <v>1.373</v>
      </c>
      <c r="H54" s="538">
        <f t="shared" si="8"/>
        <v>440.06410256410254</v>
      </c>
      <c r="I54" s="720">
        <v>1.143</v>
      </c>
      <c r="J54" s="538">
        <f t="shared" si="5"/>
        <v>366.34615384615381</v>
      </c>
      <c r="K54" s="719">
        <v>0.16800000000000001</v>
      </c>
      <c r="L54" s="540">
        <f t="shared" si="6"/>
        <v>53.846153846153847</v>
      </c>
      <c r="M54" s="541">
        <f t="shared" si="7"/>
        <v>860.25641025641016</v>
      </c>
    </row>
    <row r="55" spans="1:15" ht="16.899999999999999" customHeight="1">
      <c r="A55" s="533">
        <v>12</v>
      </c>
      <c r="B55" s="534" t="s">
        <v>213</v>
      </c>
      <c r="C55" s="533" t="s">
        <v>381</v>
      </c>
      <c r="D55" s="533">
        <v>6</v>
      </c>
      <c r="E55" s="535">
        <f>'Bang gia'!E17</f>
        <v>18000</v>
      </c>
      <c r="F55" s="535">
        <f t="shared" si="9"/>
        <v>115.38461538461539</v>
      </c>
      <c r="G55" s="719">
        <v>1.373</v>
      </c>
      <c r="H55" s="538">
        <f t="shared" si="8"/>
        <v>158.42307692307693</v>
      </c>
      <c r="I55" s="720">
        <v>1.143</v>
      </c>
      <c r="J55" s="538">
        <f t="shared" si="5"/>
        <v>131.88461538461539</v>
      </c>
      <c r="K55" s="719">
        <v>0.16800000000000001</v>
      </c>
      <c r="L55" s="540">
        <f t="shared" si="6"/>
        <v>19.384615384615387</v>
      </c>
      <c r="M55" s="541">
        <f t="shared" si="7"/>
        <v>309.69230769230774</v>
      </c>
    </row>
    <row r="56" spans="1:15" ht="16.899999999999999" customHeight="1">
      <c r="A56" s="533">
        <v>13</v>
      </c>
      <c r="B56" s="690" t="s">
        <v>382</v>
      </c>
      <c r="C56" s="533" t="s">
        <v>202</v>
      </c>
      <c r="D56" s="533">
        <v>12</v>
      </c>
      <c r="E56" s="643">
        <f>'Bang gia'!E18</f>
        <v>25000</v>
      </c>
      <c r="F56" s="535">
        <f t="shared" si="9"/>
        <v>80.128205128205124</v>
      </c>
      <c r="G56" s="725">
        <v>7.3999999999999996E-2</v>
      </c>
      <c r="H56" s="538">
        <f t="shared" si="8"/>
        <v>5.9294871794871788</v>
      </c>
      <c r="I56" s="726">
        <v>3.2000000000000001E-2</v>
      </c>
      <c r="J56" s="538">
        <f t="shared" si="5"/>
        <v>2.5641025641025639</v>
      </c>
      <c r="K56" s="725">
        <v>2E-3</v>
      </c>
      <c r="L56" s="540">
        <f t="shared" si="6"/>
        <v>0.16025641025641024</v>
      </c>
      <c r="M56" s="541">
        <f t="shared" si="7"/>
        <v>8.6538461538461533</v>
      </c>
    </row>
    <row r="57" spans="1:15" ht="16.899999999999999" customHeight="1">
      <c r="A57" s="533">
        <v>14</v>
      </c>
      <c r="B57" s="690" t="s">
        <v>383</v>
      </c>
      <c r="C57" s="533" t="s">
        <v>202</v>
      </c>
      <c r="D57" s="533">
        <v>36</v>
      </c>
      <c r="E57" s="643">
        <f>'Bang gia'!E19</f>
        <v>870000</v>
      </c>
      <c r="F57" s="535">
        <f t="shared" si="9"/>
        <v>929.48717948717945</v>
      </c>
      <c r="G57" s="725">
        <v>0.53100000000000003</v>
      </c>
      <c r="H57" s="538">
        <f t="shared" si="8"/>
        <v>493.55769230769232</v>
      </c>
      <c r="I57" s="726">
        <v>0.45400000000000001</v>
      </c>
      <c r="J57" s="538">
        <f t="shared" si="5"/>
        <v>421.9871794871795</v>
      </c>
      <c r="K57" s="725">
        <v>8.4000000000000005E-2</v>
      </c>
      <c r="L57" s="540">
        <f>F57*K57</f>
        <v>78.07692307692308</v>
      </c>
      <c r="M57" s="541">
        <f t="shared" si="7"/>
        <v>993.62179487179492</v>
      </c>
    </row>
    <row r="58" spans="1:15" ht="16.899999999999999" customHeight="1">
      <c r="A58" s="533">
        <v>15</v>
      </c>
      <c r="B58" s="690" t="s">
        <v>384</v>
      </c>
      <c r="C58" s="641" t="s">
        <v>385</v>
      </c>
      <c r="D58" s="641">
        <v>30</v>
      </c>
      <c r="E58" s="643">
        <f>'Bang gia'!E20</f>
        <v>65000</v>
      </c>
      <c r="F58" s="535">
        <f t="shared" si="9"/>
        <v>83.333333333333329</v>
      </c>
      <c r="G58" s="725">
        <v>1.373</v>
      </c>
      <c r="H58" s="538">
        <f t="shared" si="8"/>
        <v>114.41666666666666</v>
      </c>
      <c r="I58" s="726">
        <v>1.143</v>
      </c>
      <c r="J58" s="538">
        <f t="shared" si="5"/>
        <v>95.25</v>
      </c>
      <c r="K58" s="725">
        <v>0.16800000000000001</v>
      </c>
      <c r="L58" s="540">
        <f>F58*K58</f>
        <v>14</v>
      </c>
      <c r="M58" s="541">
        <f t="shared" si="7"/>
        <v>223.66666666666666</v>
      </c>
    </row>
    <row r="59" spans="1:15" ht="16.899999999999999" customHeight="1">
      <c r="A59" s="641">
        <v>16</v>
      </c>
      <c r="B59" s="690" t="s">
        <v>386</v>
      </c>
      <c r="C59" s="641" t="s">
        <v>740</v>
      </c>
      <c r="D59" s="641"/>
      <c r="E59" s="643">
        <f>'Bang gia'!E21</f>
        <v>1554</v>
      </c>
      <c r="F59" s="643">
        <f>E59</f>
        <v>1554</v>
      </c>
      <c r="G59" s="725">
        <v>0.86399999999999999</v>
      </c>
      <c r="H59" s="538">
        <f>F59*G59</f>
        <v>1342.6559999999999</v>
      </c>
      <c r="I59" s="726">
        <v>0.72899999999999998</v>
      </c>
      <c r="J59" s="644">
        <f t="shared" si="5"/>
        <v>1132.866</v>
      </c>
      <c r="K59" s="725">
        <v>0.121</v>
      </c>
      <c r="L59" s="645">
        <f>F59*K59</f>
        <v>188.03399999999999</v>
      </c>
      <c r="M59" s="646">
        <f t="shared" si="7"/>
        <v>2663.556</v>
      </c>
    </row>
    <row r="60" spans="1:15" ht="16.899999999999999" customHeight="1">
      <c r="A60" s="569"/>
      <c r="B60" s="652" t="s">
        <v>545</v>
      </c>
      <c r="C60" s="569"/>
      <c r="D60" s="569"/>
      <c r="E60" s="571"/>
      <c r="F60" s="571"/>
      <c r="G60" s="727"/>
      <c r="H60" s="546">
        <f>SUM(H44:H59)</f>
        <v>4070.5578429487177</v>
      </c>
      <c r="I60" s="728"/>
      <c r="J60" s="655">
        <f>SUM(J44:J59)</f>
        <v>3741.5088952991455</v>
      </c>
      <c r="K60" s="691"/>
      <c r="L60" s="546">
        <f>SUM(L44:L59)</f>
        <v>627.86252564102551</v>
      </c>
      <c r="M60" s="546">
        <f t="shared" si="7"/>
        <v>8439.9292638888892</v>
      </c>
    </row>
    <row r="61" spans="1:15" ht="16.899999999999999" customHeight="1">
      <c r="A61" s="569"/>
      <c r="B61" s="652" t="s">
        <v>758</v>
      </c>
      <c r="C61" s="569"/>
      <c r="D61" s="569"/>
      <c r="E61" s="571"/>
      <c r="F61" s="571"/>
      <c r="G61" s="727"/>
      <c r="H61" s="546">
        <f>(H60-H59)*5%</f>
        <v>136.39509214743589</v>
      </c>
      <c r="I61" s="546"/>
      <c r="J61" s="546">
        <f>(J60-J59)*5%</f>
        <v>130.43214476495729</v>
      </c>
      <c r="K61" s="546"/>
      <c r="L61" s="546">
        <f>(L60-L59)*5%</f>
        <v>21.991426282051279</v>
      </c>
      <c r="M61" s="546">
        <f>(M60-M59)*5%</f>
        <v>288.81866319444447</v>
      </c>
    </row>
    <row r="62" spans="1:15" ht="16.899999999999999" customHeight="1">
      <c r="A62" s="542"/>
      <c r="B62" s="543" t="s">
        <v>546</v>
      </c>
      <c r="C62" s="542"/>
      <c r="D62" s="542"/>
      <c r="E62" s="591"/>
      <c r="F62" s="542"/>
      <c r="G62" s="542"/>
      <c r="H62" s="546">
        <f>H60+H61</f>
        <v>4206.9529350961539</v>
      </c>
      <c r="I62" s="546"/>
      <c r="J62" s="546">
        <f>J60+J61</f>
        <v>3871.9410400641027</v>
      </c>
      <c r="K62" s="546"/>
      <c r="L62" s="546">
        <f>L60+L61</f>
        <v>649.85395192307681</v>
      </c>
      <c r="M62" s="546">
        <f>M60+M61</f>
        <v>8728.7479270833337</v>
      </c>
    </row>
    <row r="63" spans="1:15" ht="3.75" customHeight="1">
      <c r="A63" s="548"/>
      <c r="B63" s="549"/>
      <c r="C63" s="550"/>
      <c r="D63" s="551"/>
      <c r="E63" s="593"/>
      <c r="F63" s="551"/>
      <c r="G63" s="552"/>
      <c r="H63" s="552"/>
      <c r="I63" s="553"/>
      <c r="J63" s="553"/>
      <c r="K63" s="553"/>
      <c r="L63" s="553"/>
      <c r="M63" s="551"/>
    </row>
    <row r="64" spans="1:15" ht="17.45" customHeight="1">
      <c r="A64" s="696"/>
      <c r="B64" s="697" t="s">
        <v>548</v>
      </c>
      <c r="C64" s="697"/>
      <c r="D64" s="698"/>
      <c r="E64" s="699"/>
      <c r="F64" s="698"/>
      <c r="G64" s="729">
        <v>0.9</v>
      </c>
      <c r="H64" s="701">
        <f>H62*0.9</f>
        <v>3786.2576415865387</v>
      </c>
      <c r="I64" s="730">
        <v>1</v>
      </c>
      <c r="J64" s="701">
        <f>J62</f>
        <v>3871.9410400641027</v>
      </c>
      <c r="K64" s="730">
        <v>1</v>
      </c>
      <c r="L64" s="701">
        <f>L62</f>
        <v>649.85395192307681</v>
      </c>
      <c r="M64" s="701">
        <f>H64+J64+L64</f>
        <v>8308.0526335737177</v>
      </c>
      <c r="O64" s="590">
        <f>H64/5000</f>
        <v>0.7572515283173078</v>
      </c>
    </row>
    <row r="65" spans="1:15" ht="17.45" customHeight="1">
      <c r="A65" s="702"/>
      <c r="B65" s="703" t="s">
        <v>549</v>
      </c>
      <c r="C65" s="703"/>
      <c r="D65" s="704"/>
      <c r="E65" s="705"/>
      <c r="F65" s="704"/>
      <c r="G65" s="730">
        <v>1</v>
      </c>
      <c r="H65" s="707">
        <f>H62</f>
        <v>4206.9529350961539</v>
      </c>
      <c r="I65" s="730">
        <v>1</v>
      </c>
      <c r="J65" s="707">
        <f>J62*1</f>
        <v>3871.9410400641027</v>
      </c>
      <c r="K65" s="730">
        <v>1</v>
      </c>
      <c r="L65" s="707">
        <f>L62</f>
        <v>649.85395192307681</v>
      </c>
      <c r="M65" s="707">
        <f>H65+J65+L65</f>
        <v>8728.7479270833337</v>
      </c>
      <c r="O65" s="590">
        <f>H65/5000</f>
        <v>0.84139058701923075</v>
      </c>
    </row>
    <row r="66" spans="1:15" ht="17.45" customHeight="1">
      <c r="A66" s="702"/>
      <c r="B66" s="703" t="s">
        <v>551</v>
      </c>
      <c r="C66" s="703"/>
      <c r="D66" s="704"/>
      <c r="E66" s="705"/>
      <c r="F66" s="704"/>
      <c r="G66" s="730">
        <v>1.1000000000000001</v>
      </c>
      <c r="H66" s="707">
        <f>H62*1.1</f>
        <v>4627.6482286057699</v>
      </c>
      <c r="I66" s="730">
        <v>1</v>
      </c>
      <c r="J66" s="707">
        <f>J62*1</f>
        <v>3871.9410400641027</v>
      </c>
      <c r="K66" s="730">
        <v>1</v>
      </c>
      <c r="L66" s="707">
        <f>L62</f>
        <v>649.85395192307681</v>
      </c>
      <c r="M66" s="707">
        <f>H66+J66+L66</f>
        <v>9149.4432205929479</v>
      </c>
      <c r="O66" s="590">
        <f>H66/5000</f>
        <v>0.92552964572115393</v>
      </c>
    </row>
    <row r="67" spans="1:15" ht="17.45" customHeight="1">
      <c r="A67" s="709"/>
      <c r="B67" s="710" t="s">
        <v>552</v>
      </c>
      <c r="C67" s="710"/>
      <c r="D67" s="711"/>
      <c r="E67" s="712"/>
      <c r="F67" s="711"/>
      <c r="G67" s="731">
        <v>1.2</v>
      </c>
      <c r="H67" s="714">
        <f>H62*1.2</f>
        <v>5048.3435221153841</v>
      </c>
      <c r="I67" s="730">
        <v>1</v>
      </c>
      <c r="J67" s="714">
        <f>J62*1</f>
        <v>3871.9410400641027</v>
      </c>
      <c r="K67" s="730">
        <v>1</v>
      </c>
      <c r="L67" s="714">
        <f>L62</f>
        <v>649.85395192307681</v>
      </c>
      <c r="M67" s="714">
        <f>H67+J67+L67</f>
        <v>9570.1385141025639</v>
      </c>
      <c r="O67" s="590">
        <f>H67/5000</f>
        <v>1.0096687044230768</v>
      </c>
    </row>
    <row r="68" spans="1:15" ht="3.75" customHeight="1">
      <c r="A68" s="435"/>
      <c r="B68" s="555"/>
      <c r="C68" s="555"/>
      <c r="D68" s="449"/>
      <c r="E68" s="559"/>
      <c r="F68" s="449"/>
      <c r="G68" s="732"/>
      <c r="H68" s="556"/>
      <c r="I68" s="557"/>
      <c r="J68" s="557"/>
      <c r="K68" s="557"/>
      <c r="L68" s="557"/>
      <c r="M68" s="449"/>
    </row>
    <row r="69" spans="1:15" ht="15.6" customHeight="1">
      <c r="A69" s="561"/>
      <c r="B69" s="554" t="s">
        <v>550</v>
      </c>
      <c r="C69" s="558"/>
      <c r="D69" s="449"/>
      <c r="E69" s="559"/>
      <c r="F69" s="449"/>
      <c r="G69" s="556"/>
      <c r="H69" s="556"/>
      <c r="I69" s="557"/>
      <c r="J69" s="557"/>
      <c r="K69" s="557"/>
      <c r="L69" s="557"/>
      <c r="M69" s="449"/>
    </row>
    <row r="70" spans="1:15" ht="40.15" customHeight="1">
      <c r="A70" s="435"/>
      <c r="B70" s="1211" t="s">
        <v>595</v>
      </c>
      <c r="C70" s="1211"/>
      <c r="D70" s="1211"/>
      <c r="E70" s="1211"/>
      <c r="F70" s="1211"/>
      <c r="G70" s="1211"/>
      <c r="H70" s="1211"/>
      <c r="I70" s="1211"/>
      <c r="J70" s="1211"/>
      <c r="K70" s="1211"/>
      <c r="L70" s="1211"/>
      <c r="M70" s="1211"/>
    </row>
    <row r="71" spans="1:15" ht="19.899999999999999" customHeight="1">
      <c r="A71" s="435"/>
      <c r="B71" s="1098" t="s">
        <v>596</v>
      </c>
      <c r="C71" s="1098"/>
      <c r="D71" s="1098"/>
      <c r="E71" s="1098"/>
      <c r="F71" s="1098"/>
      <c r="G71" s="1098"/>
      <c r="H71" s="1098"/>
      <c r="I71" s="1098"/>
      <c r="J71" s="1098"/>
      <c r="K71" s="1098"/>
      <c r="L71" s="1098"/>
      <c r="M71" s="1098"/>
    </row>
    <row r="72" spans="1:15" ht="19.899999999999999" customHeight="1">
      <c r="A72" s="435"/>
      <c r="B72" s="1098" t="s">
        <v>671</v>
      </c>
      <c r="C72" s="1098"/>
      <c r="D72" s="1098"/>
      <c r="E72" s="1098"/>
      <c r="F72" s="1098"/>
      <c r="G72" s="1098"/>
      <c r="H72" s="1098"/>
      <c r="I72" s="1098"/>
      <c r="J72" s="1098"/>
      <c r="K72" s="1098"/>
      <c r="L72" s="1098"/>
      <c r="M72" s="1098"/>
    </row>
    <row r="73" spans="1:15" ht="28.15" customHeight="1">
      <c r="A73" s="435"/>
      <c r="B73" s="1098" t="s">
        <v>672</v>
      </c>
      <c r="C73" s="1098"/>
      <c r="D73" s="1098"/>
      <c r="E73" s="1098"/>
      <c r="F73" s="1098"/>
      <c r="G73" s="1098"/>
      <c r="H73" s="1098"/>
      <c r="I73" s="1098"/>
      <c r="J73" s="1098"/>
      <c r="K73" s="1098"/>
      <c r="L73" s="1098"/>
      <c r="M73" s="1098"/>
    </row>
    <row r="74" spans="1:15" ht="34.15" customHeight="1">
      <c r="A74" s="435"/>
      <c r="B74" s="1098" t="s">
        <v>673</v>
      </c>
      <c r="C74" s="1098"/>
      <c r="D74" s="1098"/>
      <c r="E74" s="1098"/>
      <c r="F74" s="1098"/>
      <c r="G74" s="1098"/>
      <c r="H74" s="1098"/>
      <c r="I74" s="1098"/>
      <c r="J74" s="1098"/>
      <c r="K74" s="1098"/>
      <c r="L74" s="1098"/>
      <c r="M74" s="1098"/>
    </row>
    <row r="75" spans="1:15" ht="19.899999999999999" customHeight="1">
      <c r="A75" s="435"/>
      <c r="B75" s="1098"/>
      <c r="C75" s="1098"/>
      <c r="D75" s="1098"/>
      <c r="E75" s="1098"/>
      <c r="F75" s="1098"/>
      <c r="G75" s="1098"/>
      <c r="H75" s="1098"/>
      <c r="I75" s="1098"/>
      <c r="J75" s="1098"/>
      <c r="K75" s="1098"/>
      <c r="L75" s="1098"/>
      <c r="M75" s="1098"/>
    </row>
    <row r="76" spans="1:15" ht="36" customHeight="1">
      <c r="A76" s="1177" t="s">
        <v>172</v>
      </c>
      <c r="B76" s="1177"/>
      <c r="C76" s="1177"/>
      <c r="D76" s="1177"/>
      <c r="E76" s="1177"/>
      <c r="F76" s="1177"/>
      <c r="G76" s="1177"/>
      <c r="H76" s="1177"/>
      <c r="I76" s="1177"/>
      <c r="J76" s="1177"/>
      <c r="K76" s="1177"/>
      <c r="L76" s="1177"/>
      <c r="M76" s="1177"/>
    </row>
    <row r="77" spans="1:15" ht="9" customHeight="1">
      <c r="A77" s="529"/>
      <c r="B77" s="529"/>
      <c r="C77" s="530"/>
      <c r="D77" s="530"/>
      <c r="E77" s="567"/>
      <c r="F77" s="531"/>
      <c r="G77" s="529"/>
      <c r="H77" s="529"/>
      <c r="I77" s="529"/>
      <c r="J77" s="529"/>
      <c r="K77" s="532"/>
      <c r="L77" s="532"/>
    </row>
    <row r="78" spans="1:15" ht="21" customHeight="1">
      <c r="A78" s="1203" t="s">
        <v>724</v>
      </c>
      <c r="B78" s="1203" t="s">
        <v>534</v>
      </c>
      <c r="C78" s="1203" t="s">
        <v>535</v>
      </c>
      <c r="D78" s="1206" t="s">
        <v>536</v>
      </c>
      <c r="E78" s="1203" t="s">
        <v>537</v>
      </c>
      <c r="F78" s="1203" t="s">
        <v>538</v>
      </c>
      <c r="G78" s="1212" t="s">
        <v>539</v>
      </c>
      <c r="H78" s="1214"/>
      <c r="I78" s="1214"/>
      <c r="J78" s="1214"/>
      <c r="K78" s="1214"/>
      <c r="L78" s="1213"/>
      <c r="M78" s="1203" t="s">
        <v>226</v>
      </c>
    </row>
    <row r="79" spans="1:15" ht="41.25" customHeight="1">
      <c r="A79" s="1204"/>
      <c r="B79" s="1204"/>
      <c r="C79" s="1204"/>
      <c r="D79" s="1207"/>
      <c r="E79" s="1204"/>
      <c r="F79" s="1204"/>
      <c r="G79" s="1212" t="s">
        <v>164</v>
      </c>
      <c r="H79" s="1213"/>
      <c r="I79" s="1212" t="s">
        <v>29</v>
      </c>
      <c r="J79" s="1213"/>
      <c r="K79" s="1212" t="s">
        <v>30</v>
      </c>
      <c r="L79" s="1213"/>
      <c r="M79" s="1204"/>
    </row>
    <row r="80" spans="1:15" ht="18.75" customHeight="1">
      <c r="A80" s="1205"/>
      <c r="B80" s="1205"/>
      <c r="C80" s="1205"/>
      <c r="D80" s="1208"/>
      <c r="E80" s="1205"/>
      <c r="F80" s="1205"/>
      <c r="G80" s="423" t="s">
        <v>739</v>
      </c>
      <c r="H80" s="423" t="s">
        <v>268</v>
      </c>
      <c r="I80" s="423" t="s">
        <v>739</v>
      </c>
      <c r="J80" s="423" t="s">
        <v>268</v>
      </c>
      <c r="K80" s="423" t="s">
        <v>739</v>
      </c>
      <c r="L80" s="423" t="s">
        <v>268</v>
      </c>
      <c r="M80" s="1205"/>
    </row>
    <row r="81" spans="1:17" ht="24" customHeight="1">
      <c r="A81" s="578">
        <v>1</v>
      </c>
      <c r="B81" s="579" t="s">
        <v>201</v>
      </c>
      <c r="C81" s="578" t="s">
        <v>202</v>
      </c>
      <c r="D81" s="578">
        <v>36</v>
      </c>
      <c r="E81" s="580">
        <f>'Bang gia'!E6</f>
        <v>230000</v>
      </c>
      <c r="F81" s="535">
        <f>E81/(D81*26)</f>
        <v>245.72649572649573</v>
      </c>
      <c r="G81" s="581">
        <v>1.34</v>
      </c>
      <c r="H81" s="580">
        <f>F81*G81</f>
        <v>329.27350427350427</v>
      </c>
      <c r="I81" s="581">
        <v>1.4</v>
      </c>
      <c r="J81" s="582">
        <f t="shared" ref="J81:J93" si="10">F81*I81</f>
        <v>344.017094017094</v>
      </c>
      <c r="K81" s="581"/>
      <c r="L81" s="583"/>
      <c r="M81" s="582">
        <f t="shared" ref="M81:M94" si="11">H81+J81+L81</f>
        <v>673.29059829059827</v>
      </c>
    </row>
    <row r="82" spans="1:17" ht="24" customHeight="1">
      <c r="A82" s="533">
        <v>2</v>
      </c>
      <c r="B82" s="585" t="s">
        <v>203</v>
      </c>
      <c r="C82" s="533" t="s">
        <v>202</v>
      </c>
      <c r="D82" s="533">
        <v>96</v>
      </c>
      <c r="E82" s="535">
        <f>'Bang gia'!E7</f>
        <v>360000</v>
      </c>
      <c r="F82" s="535">
        <f>E82/(D82*26)</f>
        <v>144.23076923076923</v>
      </c>
      <c r="G82" s="539">
        <v>1.74</v>
      </c>
      <c r="H82" s="535">
        <f>F82*G82</f>
        <v>250.96153846153845</v>
      </c>
      <c r="I82" s="537">
        <v>1.4</v>
      </c>
      <c r="J82" s="538">
        <f t="shared" si="10"/>
        <v>201.92307692307691</v>
      </c>
      <c r="K82" s="539"/>
      <c r="L82" s="540"/>
      <c r="M82" s="541">
        <f t="shared" si="11"/>
        <v>452.88461538461536</v>
      </c>
    </row>
    <row r="83" spans="1:17" ht="24" customHeight="1">
      <c r="A83" s="533">
        <v>3</v>
      </c>
      <c r="B83" s="534" t="s">
        <v>204</v>
      </c>
      <c r="C83" s="533" t="s">
        <v>202</v>
      </c>
      <c r="D83" s="533">
        <v>96</v>
      </c>
      <c r="E83" s="535">
        <f>'Bang gia'!E8</f>
        <v>754000</v>
      </c>
      <c r="F83" s="535">
        <f>E83/(D83*26)</f>
        <v>302.08333333333331</v>
      </c>
      <c r="G83" s="539">
        <v>1.74</v>
      </c>
      <c r="H83" s="535">
        <f t="shared" ref="H83:H93" si="12">F83*G83</f>
        <v>525.625</v>
      </c>
      <c r="I83" s="537">
        <v>1.4</v>
      </c>
      <c r="J83" s="538">
        <f t="shared" si="10"/>
        <v>422.91666666666663</v>
      </c>
      <c r="K83" s="539"/>
      <c r="L83" s="540"/>
      <c r="M83" s="541">
        <f t="shared" si="11"/>
        <v>948.54166666666663</v>
      </c>
    </row>
    <row r="84" spans="1:17" ht="24" customHeight="1">
      <c r="A84" s="533">
        <v>4</v>
      </c>
      <c r="B84" s="534" t="s">
        <v>205</v>
      </c>
      <c r="C84" s="533" t="s">
        <v>202</v>
      </c>
      <c r="D84" s="533">
        <v>96</v>
      </c>
      <c r="E84" s="535">
        <f>'Bang gia'!E9</f>
        <v>2331000</v>
      </c>
      <c r="F84" s="535">
        <f t="shared" ref="F84:F92" si="13">E84/(D84*26)</f>
        <v>933.89423076923072</v>
      </c>
      <c r="G84" s="539">
        <v>1.34</v>
      </c>
      <c r="H84" s="535">
        <f t="shared" si="12"/>
        <v>1251.4182692307693</v>
      </c>
      <c r="I84" s="537">
        <v>1.4</v>
      </c>
      <c r="J84" s="538">
        <f t="shared" si="10"/>
        <v>1307.4519230769229</v>
      </c>
      <c r="K84" s="539"/>
      <c r="L84" s="540"/>
      <c r="M84" s="541">
        <f t="shared" si="11"/>
        <v>2558.8701923076924</v>
      </c>
    </row>
    <row r="85" spans="1:17" ht="24" customHeight="1">
      <c r="A85" s="533">
        <v>5</v>
      </c>
      <c r="B85" s="534" t="s">
        <v>207</v>
      </c>
      <c r="C85" s="533" t="s">
        <v>202</v>
      </c>
      <c r="D85" s="533">
        <v>36</v>
      </c>
      <c r="E85" s="535">
        <f>'Bang gia'!E11</f>
        <v>270000</v>
      </c>
      <c r="F85" s="535">
        <f t="shared" si="13"/>
        <v>288.46153846153845</v>
      </c>
      <c r="G85" s="539">
        <v>0.01</v>
      </c>
      <c r="H85" s="535">
        <f t="shared" si="12"/>
        <v>2.8846153846153846</v>
      </c>
      <c r="I85" s="537">
        <v>5.0000000000000001E-3</v>
      </c>
      <c r="J85" s="538">
        <f t="shared" si="10"/>
        <v>1.4423076923076923</v>
      </c>
      <c r="K85" s="539"/>
      <c r="L85" s="540"/>
      <c r="M85" s="541">
        <f t="shared" si="11"/>
        <v>4.3269230769230766</v>
      </c>
    </row>
    <row r="86" spans="1:17" ht="24" customHeight="1">
      <c r="A86" s="533">
        <v>6</v>
      </c>
      <c r="B86" s="534" t="s">
        <v>209</v>
      </c>
      <c r="C86" s="533" t="s">
        <v>202</v>
      </c>
      <c r="D86" s="533">
        <v>12</v>
      </c>
      <c r="E86" s="535">
        <f>'Bang gia'!E13</f>
        <v>25000</v>
      </c>
      <c r="F86" s="535">
        <f t="shared" si="13"/>
        <v>80.128205128205124</v>
      </c>
      <c r="G86" s="539">
        <v>0.01</v>
      </c>
      <c r="H86" s="535">
        <f t="shared" si="12"/>
        <v>0.80128205128205121</v>
      </c>
      <c r="I86" s="537">
        <v>0.01</v>
      </c>
      <c r="J86" s="538">
        <f t="shared" si="10"/>
        <v>0.80128205128205121</v>
      </c>
      <c r="K86" s="539"/>
      <c r="L86" s="540"/>
      <c r="M86" s="541">
        <f t="shared" si="11"/>
        <v>1.6025641025641024</v>
      </c>
    </row>
    <row r="87" spans="1:17" ht="24" customHeight="1">
      <c r="A87" s="533">
        <v>7</v>
      </c>
      <c r="B87" s="534" t="s">
        <v>211</v>
      </c>
      <c r="C87" s="533" t="s">
        <v>202</v>
      </c>
      <c r="D87" s="533">
        <v>9</v>
      </c>
      <c r="E87" s="535">
        <f>'Bang gia'!E15</f>
        <v>15000</v>
      </c>
      <c r="F87" s="535">
        <f t="shared" si="13"/>
        <v>64.102564102564102</v>
      </c>
      <c r="G87" s="539">
        <v>0.01</v>
      </c>
      <c r="H87" s="535">
        <f t="shared" si="12"/>
        <v>0.64102564102564108</v>
      </c>
      <c r="I87" s="537">
        <v>5.0000000000000001E-3</v>
      </c>
      <c r="J87" s="538">
        <f t="shared" si="10"/>
        <v>0.32051282051282054</v>
      </c>
      <c r="K87" s="539"/>
      <c r="L87" s="540"/>
      <c r="M87" s="541">
        <f t="shared" si="11"/>
        <v>0.96153846153846168</v>
      </c>
    </row>
    <row r="88" spans="1:17" ht="24" customHeight="1">
      <c r="A88" s="533">
        <v>8</v>
      </c>
      <c r="B88" s="534" t="s">
        <v>544</v>
      </c>
      <c r="C88" s="533" t="s">
        <v>202</v>
      </c>
      <c r="D88" s="533">
        <v>12</v>
      </c>
      <c r="E88" s="535">
        <f>'Bang gia'!E16</f>
        <v>100000</v>
      </c>
      <c r="F88" s="535">
        <f t="shared" si="13"/>
        <v>320.5128205128205</v>
      </c>
      <c r="G88" s="539">
        <v>1.74</v>
      </c>
      <c r="H88" s="535">
        <f t="shared" si="12"/>
        <v>557.69230769230762</v>
      </c>
      <c r="I88" s="537">
        <v>1.4</v>
      </c>
      <c r="J88" s="538">
        <f t="shared" si="10"/>
        <v>448.71794871794867</v>
      </c>
      <c r="K88" s="539"/>
      <c r="L88" s="540"/>
      <c r="M88" s="541">
        <f t="shared" si="11"/>
        <v>1006.4102564102564</v>
      </c>
    </row>
    <row r="89" spans="1:17" ht="24" customHeight="1">
      <c r="A89" s="533">
        <v>9</v>
      </c>
      <c r="B89" s="534" t="s">
        <v>213</v>
      </c>
      <c r="C89" s="533" t="s">
        <v>381</v>
      </c>
      <c r="D89" s="533">
        <v>6</v>
      </c>
      <c r="E89" s="535">
        <f>'Bang gia'!E17</f>
        <v>18000</v>
      </c>
      <c r="F89" s="535">
        <f t="shared" si="13"/>
        <v>115.38461538461539</v>
      </c>
      <c r="G89" s="539">
        <v>1.74</v>
      </c>
      <c r="H89" s="535">
        <f t="shared" si="12"/>
        <v>200.76923076923077</v>
      </c>
      <c r="I89" s="537">
        <v>1.4</v>
      </c>
      <c r="J89" s="538">
        <f t="shared" si="10"/>
        <v>161.53846153846152</v>
      </c>
      <c r="K89" s="539"/>
      <c r="L89" s="540"/>
      <c r="M89" s="541">
        <f t="shared" si="11"/>
        <v>362.30769230769226</v>
      </c>
    </row>
    <row r="90" spans="1:17" ht="24" customHeight="1">
      <c r="A90" s="533">
        <v>10</v>
      </c>
      <c r="B90" s="690" t="s">
        <v>382</v>
      </c>
      <c r="C90" s="533" t="s">
        <v>202</v>
      </c>
      <c r="D90" s="533">
        <v>12</v>
      </c>
      <c r="E90" s="643">
        <f>'Bang gia'!E18</f>
        <v>25000</v>
      </c>
      <c r="F90" s="535">
        <f t="shared" si="13"/>
        <v>80.128205128205124</v>
      </c>
      <c r="G90" s="638">
        <v>0.05</v>
      </c>
      <c r="H90" s="535">
        <f t="shared" si="12"/>
        <v>4.0064102564102564</v>
      </c>
      <c r="I90" s="639">
        <v>0.05</v>
      </c>
      <c r="J90" s="538">
        <f t="shared" si="10"/>
        <v>4.0064102564102564</v>
      </c>
      <c r="K90" s="638"/>
      <c r="L90" s="540"/>
      <c r="M90" s="541">
        <f t="shared" si="11"/>
        <v>8.0128205128205128</v>
      </c>
    </row>
    <row r="91" spans="1:17" ht="24" customHeight="1">
      <c r="A91" s="533">
        <v>11</v>
      </c>
      <c r="B91" s="690" t="s">
        <v>383</v>
      </c>
      <c r="C91" s="533" t="s">
        <v>202</v>
      </c>
      <c r="D91" s="533">
        <v>36</v>
      </c>
      <c r="E91" s="643">
        <f>'Bang gia'!E19</f>
        <v>870000</v>
      </c>
      <c r="F91" s="535">
        <f t="shared" si="13"/>
        <v>929.48717948717945</v>
      </c>
      <c r="G91" s="638">
        <v>0.87</v>
      </c>
      <c r="H91" s="535">
        <f t="shared" si="12"/>
        <v>808.65384615384608</v>
      </c>
      <c r="I91" s="639">
        <v>0.93</v>
      </c>
      <c r="J91" s="538">
        <f t="shared" si="10"/>
        <v>864.42307692307691</v>
      </c>
      <c r="K91" s="638"/>
      <c r="L91" s="540"/>
      <c r="M91" s="541">
        <f t="shared" si="11"/>
        <v>1673.0769230769229</v>
      </c>
    </row>
    <row r="92" spans="1:17" ht="24" customHeight="1">
      <c r="A92" s="533">
        <v>12</v>
      </c>
      <c r="B92" s="690" t="s">
        <v>384</v>
      </c>
      <c r="C92" s="641" t="s">
        <v>385</v>
      </c>
      <c r="D92" s="641">
        <v>30</v>
      </c>
      <c r="E92" s="643">
        <f>'Bang gia'!E20</f>
        <v>65000</v>
      </c>
      <c r="F92" s="535">
        <f t="shared" si="13"/>
        <v>83.333333333333329</v>
      </c>
      <c r="G92" s="638">
        <v>1.34</v>
      </c>
      <c r="H92" s="535">
        <f t="shared" si="12"/>
        <v>111.66666666666667</v>
      </c>
      <c r="I92" s="639">
        <v>1.4</v>
      </c>
      <c r="J92" s="538">
        <f t="shared" si="10"/>
        <v>116.66666666666666</v>
      </c>
      <c r="K92" s="638"/>
      <c r="L92" s="540"/>
      <c r="M92" s="541">
        <f t="shared" si="11"/>
        <v>228.33333333333331</v>
      </c>
    </row>
    <row r="93" spans="1:17" ht="24" customHeight="1">
      <c r="A93" s="641">
        <v>13</v>
      </c>
      <c r="B93" s="690" t="s">
        <v>386</v>
      </c>
      <c r="C93" s="641" t="s">
        <v>740</v>
      </c>
      <c r="D93" s="641"/>
      <c r="E93" s="643">
        <f>'Bang gia'!E21</f>
        <v>1554</v>
      </c>
      <c r="F93" s="643">
        <f>E93</f>
        <v>1554</v>
      </c>
      <c r="G93" s="638">
        <v>1.125</v>
      </c>
      <c r="H93" s="643">
        <f t="shared" si="12"/>
        <v>1748.25</v>
      </c>
      <c r="I93" s="639">
        <v>1.1919999999999999</v>
      </c>
      <c r="J93" s="644">
        <f t="shared" si="10"/>
        <v>1852.3679999999999</v>
      </c>
      <c r="K93" s="638"/>
      <c r="L93" s="645"/>
      <c r="M93" s="646">
        <f t="shared" si="11"/>
        <v>3600.6179999999999</v>
      </c>
    </row>
    <row r="94" spans="1:17" ht="24" customHeight="1">
      <c r="A94" s="569"/>
      <c r="B94" s="652" t="s">
        <v>545</v>
      </c>
      <c r="C94" s="569"/>
      <c r="D94" s="569"/>
      <c r="E94" s="571"/>
      <c r="F94" s="571"/>
      <c r="G94" s="572"/>
      <c r="H94" s="577">
        <f>SUM(H81:H93)</f>
        <v>5792.6436965811972</v>
      </c>
      <c r="I94" s="654"/>
      <c r="J94" s="655">
        <f>SUM(J81:J93)</f>
        <v>5726.5934273504263</v>
      </c>
      <c r="K94" s="576"/>
      <c r="L94" s="546"/>
      <c r="M94" s="546">
        <f t="shared" si="11"/>
        <v>11519.237123931624</v>
      </c>
    </row>
    <row r="95" spans="1:17" ht="24" customHeight="1">
      <c r="A95" s="569"/>
      <c r="B95" s="652" t="s">
        <v>758</v>
      </c>
      <c r="C95" s="569"/>
      <c r="D95" s="569"/>
      <c r="E95" s="571"/>
      <c r="F95" s="571"/>
      <c r="G95" s="572"/>
      <c r="H95" s="577">
        <f>(H94-H93)*5%</f>
        <v>202.21968482905987</v>
      </c>
      <c r="I95" s="577"/>
      <c r="J95" s="577">
        <f>(J94-J93)*5%</f>
        <v>193.71127136752133</v>
      </c>
      <c r="K95" s="655"/>
      <c r="L95" s="655"/>
      <c r="M95" s="577">
        <f>(M94-M93)*5%</f>
        <v>395.93095619658118</v>
      </c>
    </row>
    <row r="96" spans="1:17" ht="24" customHeight="1">
      <c r="A96" s="542"/>
      <c r="B96" s="543" t="s">
        <v>546</v>
      </c>
      <c r="C96" s="542"/>
      <c r="D96" s="542"/>
      <c r="E96" s="591"/>
      <c r="F96" s="542"/>
      <c r="G96" s="542"/>
      <c r="H96" s="544">
        <f>H94+H95</f>
        <v>5994.8633814102568</v>
      </c>
      <c r="I96" s="544"/>
      <c r="J96" s="655">
        <f>J94+J95</f>
        <v>5920.3046987179478</v>
      </c>
      <c r="K96" s="655"/>
      <c r="L96" s="655"/>
      <c r="M96" s="655">
        <f>M94+M95</f>
        <v>11915.168080128205</v>
      </c>
      <c r="O96" s="592">
        <f>H96*1.3</f>
        <v>7793.3223958333338</v>
      </c>
      <c r="P96" s="592">
        <f>I96*1.3</f>
        <v>0</v>
      </c>
      <c r="Q96" s="592">
        <f>J96*1.3</f>
        <v>7696.3961083333324</v>
      </c>
    </row>
    <row r="97" spans="1:13" ht="10.5" customHeight="1">
      <c r="A97" s="449"/>
      <c r="B97" s="733"/>
      <c r="C97" s="449"/>
      <c r="D97" s="449"/>
      <c r="E97" s="559"/>
      <c r="F97" s="449"/>
      <c r="G97" s="449"/>
      <c r="H97" s="557"/>
      <c r="I97" s="561"/>
      <c r="J97" s="734"/>
      <c r="K97" s="561"/>
      <c r="L97" s="734"/>
      <c r="M97" s="734"/>
    </row>
    <row r="98" spans="1:13" ht="17.100000000000001" customHeight="1">
      <c r="A98" s="449"/>
      <c r="B98" s="554" t="s">
        <v>550</v>
      </c>
      <c r="C98" s="449"/>
      <c r="D98" s="449"/>
      <c r="E98" s="559"/>
      <c r="F98" s="449"/>
      <c r="G98" s="449"/>
      <c r="H98" s="557"/>
      <c r="I98" s="561"/>
      <c r="J98" s="734"/>
      <c r="K98" s="561"/>
      <c r="L98" s="734"/>
      <c r="M98" s="734"/>
    </row>
    <row r="99" spans="1:13" ht="29.45" customHeight="1">
      <c r="A99" s="449"/>
      <c r="B99" s="1217" t="s">
        <v>227</v>
      </c>
      <c r="C99" s="1217"/>
      <c r="D99" s="1217"/>
      <c r="E99" s="1217"/>
      <c r="F99" s="1217"/>
      <c r="G99" s="1217"/>
      <c r="H99" s="1217"/>
      <c r="I99" s="1217"/>
      <c r="J99" s="1217"/>
      <c r="K99" s="1217"/>
      <c r="L99" s="734"/>
      <c r="M99" s="734"/>
    </row>
    <row r="100" spans="1:13" ht="38.450000000000003" customHeight="1">
      <c r="A100" s="449"/>
      <c r="B100" s="1217" t="s">
        <v>692</v>
      </c>
      <c r="C100" s="1217"/>
      <c r="D100" s="1217"/>
      <c r="E100" s="1217"/>
      <c r="F100" s="1217"/>
      <c r="G100" s="1217"/>
      <c r="H100" s="1217"/>
      <c r="I100" s="1217"/>
      <c r="J100" s="1217"/>
      <c r="K100" s="1217"/>
      <c r="L100" s="1217"/>
      <c r="M100" s="1217"/>
    </row>
    <row r="101" spans="1:13" ht="17.100000000000001" customHeight="1">
      <c r="A101" s="449"/>
      <c r="B101" s="560"/>
      <c r="C101" s="449"/>
      <c r="D101" s="449"/>
      <c r="E101" s="559"/>
      <c r="F101" s="449"/>
      <c r="G101" s="449"/>
      <c r="H101" s="557"/>
      <c r="I101" s="561"/>
      <c r="J101" s="734"/>
      <c r="K101" s="561"/>
      <c r="L101" s="734"/>
      <c r="M101" s="734"/>
    </row>
    <row r="102" spans="1:13" ht="36" customHeight="1">
      <c r="A102" s="1177" t="s">
        <v>853</v>
      </c>
      <c r="B102" s="1177"/>
      <c r="C102" s="1177"/>
      <c r="D102" s="1177"/>
      <c r="E102" s="1177"/>
      <c r="F102" s="1177"/>
      <c r="G102" s="1177"/>
      <c r="H102" s="1177"/>
      <c r="I102" s="1177"/>
      <c r="J102" s="1177"/>
      <c r="K102" s="1177"/>
      <c r="L102" s="1177"/>
      <c r="M102" s="1177"/>
    </row>
    <row r="103" spans="1:13" ht="9" customHeight="1">
      <c r="A103" s="529"/>
      <c r="B103" s="529"/>
      <c r="C103" s="530"/>
      <c r="D103" s="530"/>
      <c r="E103" s="567"/>
      <c r="F103" s="531"/>
      <c r="G103" s="529"/>
      <c r="H103" s="529"/>
      <c r="I103" s="529"/>
      <c r="J103" s="529"/>
      <c r="K103" s="532"/>
      <c r="L103" s="532"/>
    </row>
    <row r="104" spans="1:13" ht="21" customHeight="1">
      <c r="A104" s="1203" t="s">
        <v>724</v>
      </c>
      <c r="B104" s="1203" t="s">
        <v>534</v>
      </c>
      <c r="C104" s="1203" t="s">
        <v>535</v>
      </c>
      <c r="D104" s="1206" t="s">
        <v>536</v>
      </c>
      <c r="E104" s="1203" t="s">
        <v>537</v>
      </c>
      <c r="F104" s="1203" t="s">
        <v>538</v>
      </c>
      <c r="G104" s="1212" t="s">
        <v>539</v>
      </c>
      <c r="H104" s="1214"/>
      <c r="I104" s="1214"/>
      <c r="J104" s="1214"/>
      <c r="K104" s="1214"/>
      <c r="L104" s="1213"/>
      <c r="M104" s="1203" t="s">
        <v>269</v>
      </c>
    </row>
    <row r="105" spans="1:13" ht="41.25" customHeight="1">
      <c r="A105" s="1204"/>
      <c r="B105" s="1204"/>
      <c r="C105" s="1204"/>
      <c r="D105" s="1207"/>
      <c r="E105" s="1204"/>
      <c r="F105" s="1204"/>
      <c r="G105" s="1212" t="s">
        <v>164</v>
      </c>
      <c r="H105" s="1213"/>
      <c r="I105" s="1212" t="s">
        <v>29</v>
      </c>
      <c r="J105" s="1213"/>
      <c r="K105" s="1212" t="s">
        <v>30</v>
      </c>
      <c r="L105" s="1213"/>
      <c r="M105" s="1204"/>
    </row>
    <row r="106" spans="1:13" ht="18.75" customHeight="1">
      <c r="A106" s="1205"/>
      <c r="B106" s="1205"/>
      <c r="C106" s="1205"/>
      <c r="D106" s="1208"/>
      <c r="E106" s="1205"/>
      <c r="F106" s="1205"/>
      <c r="G106" s="423" t="s">
        <v>739</v>
      </c>
      <c r="H106" s="423" t="s">
        <v>268</v>
      </c>
      <c r="I106" s="423" t="s">
        <v>739</v>
      </c>
      <c r="J106" s="423" t="s">
        <v>268</v>
      </c>
      <c r="K106" s="423" t="s">
        <v>739</v>
      </c>
      <c r="L106" s="423" t="s">
        <v>268</v>
      </c>
      <c r="M106" s="1205"/>
    </row>
    <row r="107" spans="1:13" ht="23.45" customHeight="1">
      <c r="A107" s="578">
        <v>1</v>
      </c>
      <c r="B107" s="579" t="s">
        <v>201</v>
      </c>
      <c r="C107" s="578" t="s">
        <v>202</v>
      </c>
      <c r="D107" s="578">
        <v>36</v>
      </c>
      <c r="E107" s="580">
        <f t="shared" ref="E107:E119" si="14">E81</f>
        <v>230000</v>
      </c>
      <c r="F107" s="535">
        <f>E107/(D107*26)</f>
        <v>245.72649572649573</v>
      </c>
      <c r="G107" s="581">
        <v>0.86</v>
      </c>
      <c r="H107" s="580">
        <f>F107*G107</f>
        <v>211.32478632478632</v>
      </c>
      <c r="I107" s="581">
        <v>1.88</v>
      </c>
      <c r="J107" s="582">
        <f t="shared" ref="J107:J119" si="15">F107*I107</f>
        <v>461.96581196581195</v>
      </c>
      <c r="K107" s="581"/>
      <c r="L107" s="583"/>
      <c r="M107" s="582">
        <f t="shared" ref="M107:M120" si="16">H107+J107+L107</f>
        <v>673.29059829059827</v>
      </c>
    </row>
    <row r="108" spans="1:13" ht="23.45" customHeight="1">
      <c r="A108" s="533">
        <v>2</v>
      </c>
      <c r="B108" s="585" t="s">
        <v>203</v>
      </c>
      <c r="C108" s="533" t="s">
        <v>202</v>
      </c>
      <c r="D108" s="533">
        <v>96</v>
      </c>
      <c r="E108" s="535">
        <f t="shared" si="14"/>
        <v>360000</v>
      </c>
      <c r="F108" s="535">
        <f>E108/(D108*26)</f>
        <v>144.23076923076923</v>
      </c>
      <c r="G108" s="539">
        <v>0.86</v>
      </c>
      <c r="H108" s="535">
        <f>F108*G108</f>
        <v>124.03846153846153</v>
      </c>
      <c r="I108" s="537">
        <v>2.2799999999999998</v>
      </c>
      <c r="J108" s="538">
        <f t="shared" si="15"/>
        <v>328.84615384615381</v>
      </c>
      <c r="K108" s="539"/>
      <c r="L108" s="540"/>
      <c r="M108" s="541">
        <f t="shared" si="16"/>
        <v>452.88461538461536</v>
      </c>
    </row>
    <row r="109" spans="1:13" ht="23.45" customHeight="1">
      <c r="A109" s="533">
        <v>3</v>
      </c>
      <c r="B109" s="534" t="s">
        <v>204</v>
      </c>
      <c r="C109" s="533" t="s">
        <v>202</v>
      </c>
      <c r="D109" s="533">
        <v>96</v>
      </c>
      <c r="E109" s="535">
        <f t="shared" si="14"/>
        <v>754000</v>
      </c>
      <c r="F109" s="535">
        <f>E109/(D109*26)</f>
        <v>302.08333333333331</v>
      </c>
      <c r="G109" s="539">
        <v>0.86</v>
      </c>
      <c r="H109" s="535">
        <f t="shared" ref="H109:H119" si="17">F109*G109</f>
        <v>259.79166666666663</v>
      </c>
      <c r="I109" s="537">
        <v>2.2799999999999998</v>
      </c>
      <c r="J109" s="538">
        <f t="shared" si="15"/>
        <v>688.74999999999989</v>
      </c>
      <c r="K109" s="539"/>
      <c r="L109" s="540"/>
      <c r="M109" s="541">
        <f t="shared" si="16"/>
        <v>948.54166666666652</v>
      </c>
    </row>
    <row r="110" spans="1:13" ht="23.45" customHeight="1">
      <c r="A110" s="533">
        <v>4</v>
      </c>
      <c r="B110" s="534" t="s">
        <v>205</v>
      </c>
      <c r="C110" s="533" t="s">
        <v>202</v>
      </c>
      <c r="D110" s="533">
        <v>96</v>
      </c>
      <c r="E110" s="535">
        <f t="shared" si="14"/>
        <v>2331000</v>
      </c>
      <c r="F110" s="535">
        <f t="shared" ref="F110:F118" si="18">E110/(D110*26)</f>
        <v>933.89423076923072</v>
      </c>
      <c r="G110" s="539">
        <v>0.86</v>
      </c>
      <c r="H110" s="535">
        <f t="shared" si="17"/>
        <v>803.14903846153845</v>
      </c>
      <c r="I110" s="537">
        <v>1.88</v>
      </c>
      <c r="J110" s="538">
        <f t="shared" si="15"/>
        <v>1755.7211538461536</v>
      </c>
      <c r="K110" s="539"/>
      <c r="L110" s="540"/>
      <c r="M110" s="541">
        <f t="shared" si="16"/>
        <v>2558.8701923076919</v>
      </c>
    </row>
    <row r="111" spans="1:13" ht="23.45" customHeight="1">
      <c r="A111" s="533">
        <v>5</v>
      </c>
      <c r="B111" s="534" t="s">
        <v>207</v>
      </c>
      <c r="C111" s="533" t="s">
        <v>202</v>
      </c>
      <c r="D111" s="533">
        <v>36</v>
      </c>
      <c r="E111" s="535">
        <f t="shared" si="14"/>
        <v>270000</v>
      </c>
      <c r="F111" s="535">
        <f t="shared" si="18"/>
        <v>288.46153846153845</v>
      </c>
      <c r="G111" s="539">
        <v>5.0000000000000001E-3</v>
      </c>
      <c r="H111" s="535">
        <f t="shared" si="17"/>
        <v>1.4423076923076923</v>
      </c>
      <c r="I111" s="537">
        <v>0.01</v>
      </c>
      <c r="J111" s="538">
        <f t="shared" si="15"/>
        <v>2.8846153846153846</v>
      </c>
      <c r="K111" s="539"/>
      <c r="L111" s="540"/>
      <c r="M111" s="541">
        <f t="shared" si="16"/>
        <v>4.3269230769230766</v>
      </c>
    </row>
    <row r="112" spans="1:13" ht="23.45" customHeight="1">
      <c r="A112" s="533">
        <v>6</v>
      </c>
      <c r="B112" s="534" t="s">
        <v>209</v>
      </c>
      <c r="C112" s="533" t="s">
        <v>202</v>
      </c>
      <c r="D112" s="533">
        <v>12</v>
      </c>
      <c r="E112" s="535">
        <f t="shared" si="14"/>
        <v>25000</v>
      </c>
      <c r="F112" s="535">
        <f t="shared" si="18"/>
        <v>80.128205128205124</v>
      </c>
      <c r="G112" s="539">
        <v>5.0000000000000001E-3</v>
      </c>
      <c r="H112" s="535">
        <f t="shared" si="17"/>
        <v>0.40064102564102561</v>
      </c>
      <c r="I112" s="537">
        <v>1.4999999999999999E-2</v>
      </c>
      <c r="J112" s="538">
        <f t="shared" si="15"/>
        <v>1.2019230769230769</v>
      </c>
      <c r="K112" s="539"/>
      <c r="L112" s="540"/>
      <c r="M112" s="541">
        <f t="shared" si="16"/>
        <v>1.6025641025641024</v>
      </c>
    </row>
    <row r="113" spans="1:13" ht="23.45" customHeight="1">
      <c r="A113" s="533">
        <v>7</v>
      </c>
      <c r="B113" s="534" t="s">
        <v>211</v>
      </c>
      <c r="C113" s="533" t="s">
        <v>202</v>
      </c>
      <c r="D113" s="533">
        <v>9</v>
      </c>
      <c r="E113" s="535">
        <f t="shared" si="14"/>
        <v>15000</v>
      </c>
      <c r="F113" s="535">
        <f t="shared" si="18"/>
        <v>64.102564102564102</v>
      </c>
      <c r="G113" s="539"/>
      <c r="H113" s="535">
        <f t="shared" si="17"/>
        <v>0</v>
      </c>
      <c r="I113" s="537">
        <v>1.4999999999999999E-2</v>
      </c>
      <c r="J113" s="538">
        <f t="shared" si="15"/>
        <v>0.96153846153846145</v>
      </c>
      <c r="K113" s="539"/>
      <c r="L113" s="540"/>
      <c r="M113" s="541">
        <f t="shared" si="16"/>
        <v>0.96153846153846145</v>
      </c>
    </row>
    <row r="114" spans="1:13" ht="23.45" customHeight="1">
      <c r="A114" s="533">
        <v>8</v>
      </c>
      <c r="B114" s="534" t="s">
        <v>544</v>
      </c>
      <c r="C114" s="533" t="s">
        <v>202</v>
      </c>
      <c r="D114" s="533">
        <v>12</v>
      </c>
      <c r="E114" s="535">
        <f t="shared" si="14"/>
        <v>100000</v>
      </c>
      <c r="F114" s="535">
        <f t="shared" si="18"/>
        <v>320.5128205128205</v>
      </c>
      <c r="G114" s="539">
        <v>0.86</v>
      </c>
      <c r="H114" s="535">
        <f t="shared" si="17"/>
        <v>275.64102564102564</v>
      </c>
      <c r="I114" s="537">
        <v>2.2799999999999998</v>
      </c>
      <c r="J114" s="538">
        <f t="shared" si="15"/>
        <v>730.76923076923072</v>
      </c>
      <c r="K114" s="539"/>
      <c r="L114" s="540"/>
      <c r="M114" s="541">
        <f t="shared" si="16"/>
        <v>1006.4102564102564</v>
      </c>
    </row>
    <row r="115" spans="1:13" ht="23.45" customHeight="1">
      <c r="A115" s="533">
        <v>9</v>
      </c>
      <c r="B115" s="534" t="s">
        <v>213</v>
      </c>
      <c r="C115" s="533" t="s">
        <v>381</v>
      </c>
      <c r="D115" s="533">
        <v>6</v>
      </c>
      <c r="E115" s="535">
        <f t="shared" si="14"/>
        <v>18000</v>
      </c>
      <c r="F115" s="535">
        <f t="shared" si="18"/>
        <v>115.38461538461539</v>
      </c>
      <c r="G115" s="539">
        <v>0.86</v>
      </c>
      <c r="H115" s="535">
        <f t="shared" si="17"/>
        <v>99.230769230769226</v>
      </c>
      <c r="I115" s="537">
        <v>2.2799999999999998</v>
      </c>
      <c r="J115" s="538">
        <f t="shared" si="15"/>
        <v>263.07692307692304</v>
      </c>
      <c r="K115" s="539"/>
      <c r="L115" s="540"/>
      <c r="M115" s="541">
        <f t="shared" si="16"/>
        <v>362.30769230769226</v>
      </c>
    </row>
    <row r="116" spans="1:13" ht="23.45" customHeight="1">
      <c r="A116" s="533">
        <v>10</v>
      </c>
      <c r="B116" s="690" t="s">
        <v>382</v>
      </c>
      <c r="C116" s="533" t="s">
        <v>202</v>
      </c>
      <c r="D116" s="533">
        <v>12</v>
      </c>
      <c r="E116" s="535">
        <f t="shared" si="14"/>
        <v>25000</v>
      </c>
      <c r="F116" s="535">
        <f t="shared" si="18"/>
        <v>80.128205128205124</v>
      </c>
      <c r="G116" s="638"/>
      <c r="H116" s="535">
        <f t="shared" si="17"/>
        <v>0</v>
      </c>
      <c r="I116" s="639">
        <v>0.1</v>
      </c>
      <c r="J116" s="538">
        <f t="shared" si="15"/>
        <v>8.0128205128205128</v>
      </c>
      <c r="K116" s="638"/>
      <c r="L116" s="540"/>
      <c r="M116" s="541">
        <f t="shared" si="16"/>
        <v>8.0128205128205128</v>
      </c>
    </row>
    <row r="117" spans="1:13" ht="23.45" customHeight="1">
      <c r="A117" s="533">
        <v>11</v>
      </c>
      <c r="B117" s="690" t="s">
        <v>383</v>
      </c>
      <c r="C117" s="533" t="s">
        <v>202</v>
      </c>
      <c r="D117" s="533">
        <v>36</v>
      </c>
      <c r="E117" s="535">
        <f t="shared" si="14"/>
        <v>870000</v>
      </c>
      <c r="F117" s="535">
        <f t="shared" si="18"/>
        <v>929.48717948717945</v>
      </c>
      <c r="G117" s="638">
        <v>0.56999999999999995</v>
      </c>
      <c r="H117" s="535">
        <f t="shared" si="17"/>
        <v>529.80769230769226</v>
      </c>
      <c r="I117" s="639">
        <v>1.23</v>
      </c>
      <c r="J117" s="538">
        <f t="shared" si="15"/>
        <v>1143.2692307692307</v>
      </c>
      <c r="K117" s="638"/>
      <c r="L117" s="540"/>
      <c r="M117" s="541">
        <f t="shared" si="16"/>
        <v>1673.0769230769229</v>
      </c>
    </row>
    <row r="118" spans="1:13" ht="23.45" customHeight="1">
      <c r="A118" s="533">
        <v>12</v>
      </c>
      <c r="B118" s="690" t="s">
        <v>384</v>
      </c>
      <c r="C118" s="641" t="s">
        <v>385</v>
      </c>
      <c r="D118" s="641">
        <v>30</v>
      </c>
      <c r="E118" s="535">
        <f t="shared" si="14"/>
        <v>65000</v>
      </c>
      <c r="F118" s="535">
        <f t="shared" si="18"/>
        <v>83.333333333333329</v>
      </c>
      <c r="G118" s="638">
        <v>0.86</v>
      </c>
      <c r="H118" s="535">
        <f t="shared" si="17"/>
        <v>71.666666666666657</v>
      </c>
      <c r="I118" s="639">
        <v>1.88</v>
      </c>
      <c r="J118" s="538">
        <f t="shared" si="15"/>
        <v>156.66666666666666</v>
      </c>
      <c r="K118" s="638"/>
      <c r="L118" s="540"/>
      <c r="M118" s="541">
        <f t="shared" si="16"/>
        <v>228.33333333333331</v>
      </c>
    </row>
    <row r="119" spans="1:13" ht="23.45" customHeight="1">
      <c r="A119" s="641">
        <v>13</v>
      </c>
      <c r="B119" s="690" t="s">
        <v>386</v>
      </c>
      <c r="C119" s="641" t="s">
        <v>740</v>
      </c>
      <c r="D119" s="641"/>
      <c r="E119" s="535">
        <f t="shared" si="14"/>
        <v>1554</v>
      </c>
      <c r="F119" s="643">
        <f>E119</f>
        <v>1554</v>
      </c>
      <c r="G119" s="638">
        <v>0.73099999999999998</v>
      </c>
      <c r="H119" s="643">
        <f t="shared" si="17"/>
        <v>1135.9739999999999</v>
      </c>
      <c r="I119" s="639">
        <v>1.5860000000000001</v>
      </c>
      <c r="J119" s="644">
        <f t="shared" si="15"/>
        <v>2464.6440000000002</v>
      </c>
      <c r="K119" s="638"/>
      <c r="L119" s="645"/>
      <c r="M119" s="646">
        <f t="shared" si="16"/>
        <v>3600.6180000000004</v>
      </c>
    </row>
    <row r="120" spans="1:13" ht="23.45" customHeight="1">
      <c r="A120" s="569"/>
      <c r="B120" s="652" t="s">
        <v>545</v>
      </c>
      <c r="C120" s="569"/>
      <c r="D120" s="569"/>
      <c r="E120" s="571"/>
      <c r="F120" s="571"/>
      <c r="G120" s="572"/>
      <c r="H120" s="577">
        <f>SUM(H107:H119)</f>
        <v>3512.4670555555558</v>
      </c>
      <c r="I120" s="654"/>
      <c r="J120" s="655">
        <f>SUM(J107:J119)</f>
        <v>8006.7700683760677</v>
      </c>
      <c r="K120" s="576"/>
      <c r="L120" s="546"/>
      <c r="M120" s="546">
        <f t="shared" si="16"/>
        <v>11519.237123931624</v>
      </c>
    </row>
    <row r="121" spans="1:13" ht="23.45" customHeight="1">
      <c r="A121" s="569"/>
      <c r="B121" s="652" t="s">
        <v>758</v>
      </c>
      <c r="C121" s="569"/>
      <c r="D121" s="569"/>
      <c r="E121" s="571"/>
      <c r="F121" s="571"/>
      <c r="G121" s="572"/>
      <c r="H121" s="577">
        <f>(H120-H119)*5%</f>
        <v>118.82465277777779</v>
      </c>
      <c r="I121" s="577"/>
      <c r="J121" s="577">
        <f>(J120-J119)*5%</f>
        <v>277.10630341880341</v>
      </c>
      <c r="K121" s="655"/>
      <c r="L121" s="655"/>
      <c r="M121" s="577">
        <f>(M120-M119)*5%</f>
        <v>395.93095619658118</v>
      </c>
    </row>
    <row r="122" spans="1:13" ht="23.45" customHeight="1">
      <c r="A122" s="542"/>
      <c r="B122" s="543" t="s">
        <v>546</v>
      </c>
      <c r="C122" s="542"/>
      <c r="D122" s="542"/>
      <c r="E122" s="591"/>
      <c r="F122" s="542"/>
      <c r="G122" s="542"/>
      <c r="H122" s="544">
        <f>H120+H121</f>
        <v>3631.2917083333336</v>
      </c>
      <c r="I122" s="544"/>
      <c r="J122" s="655">
        <f>J120+J121</f>
        <v>8283.8763717948714</v>
      </c>
      <c r="K122" s="655"/>
      <c r="L122" s="655"/>
      <c r="M122" s="655">
        <f>M120+M121</f>
        <v>11915.168080128205</v>
      </c>
    </row>
    <row r="123" spans="1:13" ht="10.5" customHeight="1">
      <c r="A123" s="449"/>
      <c r="B123" s="733"/>
      <c r="C123" s="449"/>
      <c r="D123" s="449"/>
      <c r="E123" s="559"/>
      <c r="F123" s="449"/>
      <c r="G123" s="449"/>
      <c r="H123" s="557"/>
      <c r="I123" s="561"/>
      <c r="J123" s="734"/>
      <c r="K123" s="561"/>
      <c r="L123" s="734"/>
      <c r="M123" s="734"/>
    </row>
    <row r="124" spans="1:13" ht="17.100000000000001" customHeight="1">
      <c r="A124" s="449"/>
      <c r="B124" s="554" t="s">
        <v>550</v>
      </c>
      <c r="C124" s="449"/>
      <c r="D124" s="449"/>
      <c r="E124" s="559"/>
      <c r="F124" s="449"/>
      <c r="G124" s="449"/>
      <c r="H124" s="557"/>
      <c r="I124" s="561"/>
      <c r="J124" s="734"/>
      <c r="K124" s="561"/>
      <c r="L124" s="734"/>
      <c r="M124" s="734"/>
    </row>
    <row r="125" spans="1:13" ht="28.15" customHeight="1">
      <c r="A125" s="449"/>
      <c r="B125" s="1217" t="s">
        <v>227</v>
      </c>
      <c r="C125" s="1217"/>
      <c r="D125" s="1217"/>
      <c r="E125" s="1217"/>
      <c r="F125" s="1217"/>
      <c r="G125" s="1217"/>
      <c r="H125" s="1217"/>
      <c r="I125" s="1217"/>
      <c r="J125" s="1217"/>
      <c r="K125" s="1217"/>
      <c r="L125" s="734"/>
      <c r="M125" s="734"/>
    </row>
    <row r="126" spans="1:13" ht="28.9" customHeight="1">
      <c r="A126" s="449"/>
      <c r="B126" s="1217" t="s">
        <v>674</v>
      </c>
      <c r="C126" s="1217"/>
      <c r="D126" s="1217"/>
      <c r="E126" s="1217"/>
      <c r="F126" s="1217"/>
      <c r="G126" s="1217"/>
      <c r="H126" s="1217"/>
      <c r="I126" s="1217"/>
      <c r="J126" s="1217"/>
      <c r="K126" s="1217"/>
      <c r="L126" s="1217"/>
      <c r="M126" s="1217"/>
    </row>
    <row r="127" spans="1:13" ht="17.100000000000001" customHeight="1">
      <c r="A127" s="449"/>
      <c r="B127" s="560"/>
      <c r="C127" s="449"/>
      <c r="D127" s="449"/>
      <c r="E127" s="559"/>
      <c r="F127" s="449"/>
      <c r="G127" s="449"/>
      <c r="H127" s="557"/>
      <c r="I127" s="561"/>
      <c r="J127" s="734"/>
      <c r="K127" s="561"/>
      <c r="L127" s="734"/>
      <c r="M127" s="734"/>
    </row>
    <row r="128" spans="1:13" ht="17.100000000000001" customHeight="1">
      <c r="A128" s="449"/>
      <c r="B128" s="560"/>
      <c r="C128" s="449"/>
      <c r="D128" s="449"/>
      <c r="E128" s="559"/>
      <c r="F128" s="449"/>
      <c r="G128" s="449"/>
      <c r="H128" s="557"/>
      <c r="I128" s="561"/>
      <c r="J128" s="734"/>
      <c r="K128" s="561"/>
      <c r="L128" s="734"/>
      <c r="M128" s="734"/>
    </row>
    <row r="129" spans="1:13" ht="30.75" customHeight="1">
      <c r="A129" s="1177" t="s">
        <v>173</v>
      </c>
      <c r="B129" s="1177"/>
      <c r="C129" s="1177"/>
      <c r="D129" s="1177"/>
      <c r="E129" s="1177"/>
      <c r="F129" s="1177"/>
      <c r="G129" s="1177"/>
      <c r="H129" s="1177"/>
      <c r="I129" s="1177"/>
      <c r="J129" s="1177"/>
      <c r="K129" s="1177"/>
      <c r="L129" s="1177"/>
      <c r="M129" s="1177"/>
    </row>
    <row r="130" spans="1:13" ht="15.75" customHeight="1">
      <c r="A130" s="529"/>
      <c r="B130" s="529"/>
      <c r="C130" s="530"/>
      <c r="D130" s="530"/>
      <c r="E130" s="567"/>
      <c r="F130" s="531"/>
      <c r="G130" s="529"/>
      <c r="H130" s="529"/>
      <c r="I130" s="529"/>
      <c r="J130" s="529"/>
      <c r="K130" s="532"/>
      <c r="L130" s="532"/>
    </row>
    <row r="131" spans="1:13" ht="26.45" customHeight="1">
      <c r="A131" s="1203" t="s">
        <v>724</v>
      </c>
      <c r="B131" s="1203" t="s">
        <v>534</v>
      </c>
      <c r="C131" s="1203" t="s">
        <v>535</v>
      </c>
      <c r="D131" s="1206" t="s">
        <v>536</v>
      </c>
      <c r="E131" s="1203" t="s">
        <v>537</v>
      </c>
      <c r="F131" s="1203" t="s">
        <v>538</v>
      </c>
      <c r="G131" s="1212" t="s">
        <v>539</v>
      </c>
      <c r="H131" s="1214"/>
      <c r="I131" s="1214"/>
      <c r="J131" s="1214"/>
      <c r="K131" s="1214"/>
      <c r="L131" s="1213"/>
      <c r="M131" s="1203" t="s">
        <v>226</v>
      </c>
    </row>
    <row r="132" spans="1:13" ht="42.75" customHeight="1">
      <c r="A132" s="1204"/>
      <c r="B132" s="1204"/>
      <c r="C132" s="1204"/>
      <c r="D132" s="1207"/>
      <c r="E132" s="1204"/>
      <c r="F132" s="1204"/>
      <c r="G132" s="1212" t="s">
        <v>540</v>
      </c>
      <c r="H132" s="1213"/>
      <c r="I132" s="1212" t="s">
        <v>29</v>
      </c>
      <c r="J132" s="1213"/>
      <c r="K132" s="1212" t="s">
        <v>30</v>
      </c>
      <c r="L132" s="1213"/>
      <c r="M132" s="1204"/>
    </row>
    <row r="133" spans="1:13" ht="15" customHeight="1">
      <c r="A133" s="1205"/>
      <c r="B133" s="1205"/>
      <c r="C133" s="1205"/>
      <c r="D133" s="1208"/>
      <c r="E133" s="1205"/>
      <c r="F133" s="1205"/>
      <c r="G133" s="423" t="s">
        <v>739</v>
      </c>
      <c r="H133" s="423" t="s">
        <v>268</v>
      </c>
      <c r="I133" s="423" t="s">
        <v>739</v>
      </c>
      <c r="J133" s="423" t="s">
        <v>268</v>
      </c>
      <c r="K133" s="423" t="s">
        <v>739</v>
      </c>
      <c r="L133" s="423" t="s">
        <v>268</v>
      </c>
      <c r="M133" s="1205"/>
    </row>
    <row r="134" spans="1:13" ht="23.45" customHeight="1">
      <c r="A134" s="578">
        <v>1</v>
      </c>
      <c r="B134" s="579" t="s">
        <v>201</v>
      </c>
      <c r="C134" s="578" t="s">
        <v>202</v>
      </c>
      <c r="D134" s="578">
        <v>36</v>
      </c>
      <c r="E134" s="580">
        <f>'Bang gia'!E6</f>
        <v>230000</v>
      </c>
      <c r="F134" s="535">
        <f>E134/(D134*26)</f>
        <v>245.72649572649573</v>
      </c>
      <c r="G134" s="581">
        <v>1.7000000000000001E-2</v>
      </c>
      <c r="H134" s="735">
        <f>F134*G134</f>
        <v>4.1773504273504276</v>
      </c>
      <c r="I134" s="581"/>
      <c r="J134" s="736"/>
      <c r="K134" s="581">
        <v>2.9849999999999999</v>
      </c>
      <c r="L134" s="583">
        <f t="shared" ref="L134:L146" si="19">F134*K134</f>
        <v>733.49358974358972</v>
      </c>
      <c r="M134" s="582">
        <f t="shared" ref="M134:M147" si="20">H134+J134+L134</f>
        <v>737.67094017094018</v>
      </c>
    </row>
    <row r="135" spans="1:13" ht="23.45" customHeight="1">
      <c r="A135" s="533">
        <v>2</v>
      </c>
      <c r="B135" s="585" t="s">
        <v>203</v>
      </c>
      <c r="C135" s="533" t="s">
        <v>202</v>
      </c>
      <c r="D135" s="533">
        <v>96</v>
      </c>
      <c r="E135" s="535">
        <f>'Bang gia'!E7</f>
        <v>360000</v>
      </c>
      <c r="F135" s="535">
        <f>E135/(D135*26)</f>
        <v>144.23076923076923</v>
      </c>
      <c r="G135" s="539">
        <v>1.7000000000000001E-2</v>
      </c>
      <c r="H135" s="535">
        <f>F135*G135</f>
        <v>2.4519230769230771</v>
      </c>
      <c r="I135" s="537"/>
      <c r="J135" s="538"/>
      <c r="K135" s="539">
        <v>3.7850000000000001</v>
      </c>
      <c r="L135" s="540">
        <f t="shared" si="19"/>
        <v>545.91346153846155</v>
      </c>
      <c r="M135" s="541">
        <f t="shared" si="20"/>
        <v>548.36538461538464</v>
      </c>
    </row>
    <row r="136" spans="1:13" ht="23.45" customHeight="1">
      <c r="A136" s="533">
        <v>3</v>
      </c>
      <c r="B136" s="534" t="s">
        <v>204</v>
      </c>
      <c r="C136" s="533" t="s">
        <v>202</v>
      </c>
      <c r="D136" s="533">
        <v>96</v>
      </c>
      <c r="E136" s="535">
        <f>'Bang gia'!E8</f>
        <v>754000</v>
      </c>
      <c r="F136" s="535">
        <f>E136/(D136*26)</f>
        <v>302.08333333333331</v>
      </c>
      <c r="G136" s="539">
        <v>1.7000000000000001E-2</v>
      </c>
      <c r="H136" s="535">
        <f>F136*G136</f>
        <v>5.135416666666667</v>
      </c>
      <c r="I136" s="537"/>
      <c r="J136" s="538"/>
      <c r="K136" s="539">
        <v>3.7850000000000001</v>
      </c>
      <c r="L136" s="540">
        <f t="shared" si="19"/>
        <v>1143.3854166666667</v>
      </c>
      <c r="M136" s="541">
        <f t="shared" si="20"/>
        <v>1148.5208333333335</v>
      </c>
    </row>
    <row r="137" spans="1:13" ht="23.45" customHeight="1">
      <c r="A137" s="533">
        <v>4</v>
      </c>
      <c r="B137" s="534" t="s">
        <v>205</v>
      </c>
      <c r="C137" s="533" t="s">
        <v>202</v>
      </c>
      <c r="D137" s="533">
        <v>96</v>
      </c>
      <c r="E137" s="535">
        <f>'Bang gia'!E9</f>
        <v>2331000</v>
      </c>
      <c r="F137" s="535">
        <f t="shared" ref="F137:F145" si="21">E137/(D137*26)</f>
        <v>933.89423076923072</v>
      </c>
      <c r="G137" s="539">
        <v>1.7000000000000001E-2</v>
      </c>
      <c r="H137" s="535">
        <f>F137*G137</f>
        <v>15.876201923076923</v>
      </c>
      <c r="I137" s="537"/>
      <c r="J137" s="538"/>
      <c r="K137" s="539">
        <v>2.9849999999999999</v>
      </c>
      <c r="L137" s="540">
        <f t="shared" si="19"/>
        <v>2787.6742788461534</v>
      </c>
      <c r="M137" s="541">
        <f t="shared" si="20"/>
        <v>2803.5504807692305</v>
      </c>
    </row>
    <row r="138" spans="1:13" ht="23.45" customHeight="1">
      <c r="A138" s="533">
        <v>5</v>
      </c>
      <c r="B138" s="534" t="s">
        <v>206</v>
      </c>
      <c r="C138" s="533" t="s">
        <v>202</v>
      </c>
      <c r="D138" s="533">
        <v>24</v>
      </c>
      <c r="E138" s="535">
        <f>'Bang gia'!E10</f>
        <v>15000</v>
      </c>
      <c r="F138" s="535">
        <f t="shared" si="21"/>
        <v>24.03846153846154</v>
      </c>
      <c r="G138" s="539"/>
      <c r="H138" s="535"/>
      <c r="I138" s="537"/>
      <c r="J138" s="538"/>
      <c r="K138" s="539">
        <v>0.05</v>
      </c>
      <c r="L138" s="540">
        <f t="shared" si="19"/>
        <v>1.2019230769230771</v>
      </c>
      <c r="M138" s="541">
        <f t="shared" si="20"/>
        <v>1.2019230769230771</v>
      </c>
    </row>
    <row r="139" spans="1:13" ht="23.45" customHeight="1">
      <c r="A139" s="533">
        <v>6</v>
      </c>
      <c r="B139" s="534" t="s">
        <v>207</v>
      </c>
      <c r="C139" s="533" t="s">
        <v>202</v>
      </c>
      <c r="D139" s="533">
        <v>36</v>
      </c>
      <c r="E139" s="535">
        <f>'Bang gia'!E11</f>
        <v>270000</v>
      </c>
      <c r="F139" s="535">
        <f t="shared" si="21"/>
        <v>288.46153846153845</v>
      </c>
      <c r="G139" s="539"/>
      <c r="H139" s="535"/>
      <c r="I139" s="537"/>
      <c r="J139" s="538"/>
      <c r="K139" s="539">
        <v>0.05</v>
      </c>
      <c r="L139" s="540">
        <f t="shared" si="19"/>
        <v>14.423076923076923</v>
      </c>
      <c r="M139" s="541">
        <f t="shared" si="20"/>
        <v>14.423076923076923</v>
      </c>
    </row>
    <row r="140" spans="1:13" ht="23.45" customHeight="1">
      <c r="A140" s="533">
        <v>7</v>
      </c>
      <c r="B140" s="534" t="s">
        <v>209</v>
      </c>
      <c r="C140" s="533" t="s">
        <v>202</v>
      </c>
      <c r="D140" s="533">
        <v>12</v>
      </c>
      <c r="E140" s="535">
        <f>'Bang gia'!E13</f>
        <v>25000</v>
      </c>
      <c r="F140" s="535">
        <f t="shared" si="21"/>
        <v>80.128205128205124</v>
      </c>
      <c r="G140" s="539"/>
      <c r="H140" s="737"/>
      <c r="I140" s="537"/>
      <c r="J140" s="538"/>
      <c r="K140" s="539">
        <v>0.01</v>
      </c>
      <c r="L140" s="738">
        <f t="shared" si="19"/>
        <v>0.80128205128205121</v>
      </c>
      <c r="M140" s="541">
        <f t="shared" si="20"/>
        <v>0.80128205128205121</v>
      </c>
    </row>
    <row r="141" spans="1:13" ht="23.45" customHeight="1">
      <c r="A141" s="533">
        <v>8</v>
      </c>
      <c r="B141" s="534" t="s">
        <v>544</v>
      </c>
      <c r="C141" s="533" t="s">
        <v>202</v>
      </c>
      <c r="D141" s="533">
        <v>12</v>
      </c>
      <c r="E141" s="535">
        <f>'Bang gia'!E16</f>
        <v>100000</v>
      </c>
      <c r="F141" s="535">
        <f t="shared" si="21"/>
        <v>320.5128205128205</v>
      </c>
      <c r="G141" s="539">
        <v>1.7000000000000001E-2</v>
      </c>
      <c r="H141" s="535">
        <f>F141*G141</f>
        <v>5.4487179487179489</v>
      </c>
      <c r="I141" s="537"/>
      <c r="J141" s="538"/>
      <c r="K141" s="539">
        <v>3.7850000000000001</v>
      </c>
      <c r="L141" s="540">
        <f t="shared" si="19"/>
        <v>1213.1410256410256</v>
      </c>
      <c r="M141" s="541">
        <f t="shared" si="20"/>
        <v>1218.5897435897436</v>
      </c>
    </row>
    <row r="142" spans="1:13" ht="23.45" customHeight="1">
      <c r="A142" s="533">
        <v>9</v>
      </c>
      <c r="B142" s="534" t="s">
        <v>213</v>
      </c>
      <c r="C142" s="533" t="s">
        <v>381</v>
      </c>
      <c r="D142" s="533">
        <v>6</v>
      </c>
      <c r="E142" s="535">
        <f>'Bang gia'!E17</f>
        <v>18000</v>
      </c>
      <c r="F142" s="535">
        <f t="shared" si="21"/>
        <v>115.38461538461539</v>
      </c>
      <c r="G142" s="539">
        <v>1.7000000000000001E-2</v>
      </c>
      <c r="H142" s="535">
        <f>F142*G142</f>
        <v>1.9615384615384617</v>
      </c>
      <c r="I142" s="537"/>
      <c r="J142" s="538"/>
      <c r="K142" s="539">
        <v>3.7850000000000001</v>
      </c>
      <c r="L142" s="540">
        <f t="shared" si="19"/>
        <v>436.73076923076928</v>
      </c>
      <c r="M142" s="541">
        <f t="shared" si="20"/>
        <v>438.69230769230774</v>
      </c>
    </row>
    <row r="143" spans="1:13" ht="23.45" customHeight="1">
      <c r="A143" s="533">
        <v>10</v>
      </c>
      <c r="B143" s="690" t="s">
        <v>382</v>
      </c>
      <c r="C143" s="533" t="s">
        <v>202</v>
      </c>
      <c r="D143" s="533">
        <v>12</v>
      </c>
      <c r="E143" s="643">
        <f>'Bang gia'!E18</f>
        <v>25000</v>
      </c>
      <c r="F143" s="535">
        <f t="shared" si="21"/>
        <v>80.128205128205124</v>
      </c>
      <c r="G143" s="638"/>
      <c r="H143" s="535"/>
      <c r="I143" s="639"/>
      <c r="J143" s="538"/>
      <c r="K143" s="638">
        <v>0.1</v>
      </c>
      <c r="L143" s="540">
        <f t="shared" si="19"/>
        <v>8.0128205128205128</v>
      </c>
      <c r="M143" s="541">
        <f t="shared" si="20"/>
        <v>8.0128205128205128</v>
      </c>
    </row>
    <row r="144" spans="1:13" ht="23.45" customHeight="1">
      <c r="A144" s="533">
        <v>11</v>
      </c>
      <c r="B144" s="690" t="s">
        <v>383</v>
      </c>
      <c r="C144" s="533" t="s">
        <v>202</v>
      </c>
      <c r="D144" s="533">
        <v>36</v>
      </c>
      <c r="E144" s="643">
        <f>'Bang gia'!E19</f>
        <v>870000</v>
      </c>
      <c r="F144" s="535">
        <f t="shared" si="21"/>
        <v>929.48717948717945</v>
      </c>
      <c r="G144" s="638">
        <v>8.9999999999999993E-3</v>
      </c>
      <c r="H144" s="535">
        <f>F144*G144</f>
        <v>8.365384615384615</v>
      </c>
      <c r="I144" s="639"/>
      <c r="J144" s="538"/>
      <c r="K144" s="638">
        <v>1.492</v>
      </c>
      <c r="L144" s="540">
        <f t="shared" si="19"/>
        <v>1386.7948717948718</v>
      </c>
      <c r="M144" s="541">
        <f t="shared" si="20"/>
        <v>1395.1602564102564</v>
      </c>
    </row>
    <row r="145" spans="1:19" ht="23.45" customHeight="1">
      <c r="A145" s="533">
        <v>12</v>
      </c>
      <c r="B145" s="690" t="s">
        <v>384</v>
      </c>
      <c r="C145" s="641" t="s">
        <v>385</v>
      </c>
      <c r="D145" s="641">
        <v>30</v>
      </c>
      <c r="E145" s="643">
        <f>'Bang gia'!E20</f>
        <v>65000</v>
      </c>
      <c r="F145" s="535">
        <f t="shared" si="21"/>
        <v>83.333333333333329</v>
      </c>
      <c r="G145" s="638">
        <v>1.7000000000000001E-2</v>
      </c>
      <c r="H145" s="535">
        <f>F145*G145</f>
        <v>1.4166666666666667</v>
      </c>
      <c r="I145" s="639"/>
      <c r="J145" s="538"/>
      <c r="K145" s="638">
        <v>3.7850000000000001</v>
      </c>
      <c r="L145" s="540">
        <f t="shared" si="19"/>
        <v>315.41666666666669</v>
      </c>
      <c r="M145" s="541">
        <f t="shared" si="20"/>
        <v>316.83333333333337</v>
      </c>
    </row>
    <row r="146" spans="1:19" ht="23.45" customHeight="1">
      <c r="A146" s="641">
        <v>13</v>
      </c>
      <c r="B146" s="690" t="s">
        <v>386</v>
      </c>
      <c r="C146" s="641" t="s">
        <v>740</v>
      </c>
      <c r="D146" s="641"/>
      <c r="E146" s="643">
        <f>'Bang gia'!E21</f>
        <v>1554</v>
      </c>
      <c r="F146" s="643">
        <f>E146</f>
        <v>1554</v>
      </c>
      <c r="G146" s="638">
        <v>1.2999999999999999E-2</v>
      </c>
      <c r="H146" s="643">
        <f>F146*G146</f>
        <v>20.201999999999998</v>
      </c>
      <c r="I146" s="639"/>
      <c r="J146" s="644"/>
      <c r="K146" s="638">
        <v>2.4049999999999998</v>
      </c>
      <c r="L146" s="645">
        <f t="shared" si="19"/>
        <v>3737.37</v>
      </c>
      <c r="M146" s="646">
        <f t="shared" si="20"/>
        <v>3757.5720000000001</v>
      </c>
    </row>
    <row r="147" spans="1:19" ht="23.45" customHeight="1">
      <c r="A147" s="652"/>
      <c r="B147" s="652" t="s">
        <v>545</v>
      </c>
      <c r="C147" s="652"/>
      <c r="D147" s="652"/>
      <c r="E147" s="577"/>
      <c r="F147" s="577"/>
      <c r="G147" s="576"/>
      <c r="H147" s="577">
        <f>SUM(H134:H146)</f>
        <v>65.035199786324782</v>
      </c>
      <c r="I147" s="654"/>
      <c r="J147" s="655"/>
      <c r="K147" s="576"/>
      <c r="L147" s="546">
        <f>SUM(L134:L146)</f>
        <v>12324.359182692308</v>
      </c>
      <c r="M147" s="546">
        <f t="shared" si="20"/>
        <v>12389.394382478633</v>
      </c>
    </row>
    <row r="148" spans="1:19" ht="23.45" customHeight="1">
      <c r="A148" s="652"/>
      <c r="B148" s="652" t="s">
        <v>758</v>
      </c>
      <c r="C148" s="652"/>
      <c r="D148" s="652"/>
      <c r="E148" s="577"/>
      <c r="F148" s="577"/>
      <c r="G148" s="576"/>
      <c r="H148" s="577">
        <f>(H147-H146)*5%</f>
        <v>2.2416599893162394</v>
      </c>
      <c r="I148" s="577"/>
      <c r="J148" s="546"/>
      <c r="K148" s="546"/>
      <c r="L148" s="577">
        <f>(L147-L146)*5%</f>
        <v>429.34945913461547</v>
      </c>
      <c r="M148" s="577">
        <f>(M147-M146)*5%</f>
        <v>431.59111912393166</v>
      </c>
    </row>
    <row r="149" spans="1:19" ht="23.45" customHeight="1">
      <c r="A149" s="657"/>
      <c r="B149" s="543" t="s">
        <v>546</v>
      </c>
      <c r="C149" s="657"/>
      <c r="D149" s="657"/>
      <c r="E149" s="739"/>
      <c r="F149" s="657"/>
      <c r="G149" s="657"/>
      <c r="H149" s="544">
        <f>H147+H148</f>
        <v>67.276859775641014</v>
      </c>
      <c r="I149" s="544"/>
      <c r="J149" s="546"/>
      <c r="K149" s="546"/>
      <c r="L149" s="546">
        <f>L147+L148</f>
        <v>12753.708641826923</v>
      </c>
      <c r="M149" s="546">
        <f>M147+M148</f>
        <v>12820.985501602565</v>
      </c>
      <c r="O149" s="592">
        <f>H149*1.3</f>
        <v>87.459917708333322</v>
      </c>
      <c r="P149" s="592">
        <f>I149*1.3</f>
        <v>0</v>
      </c>
      <c r="Q149" s="592">
        <f>J149*1.3</f>
        <v>0</v>
      </c>
      <c r="R149" s="592">
        <f>K149*1.3</f>
        <v>0</v>
      </c>
      <c r="S149" s="592">
        <f>L149*1.3</f>
        <v>16579.821234375002</v>
      </c>
    </row>
    <row r="150" spans="1:19">
      <c r="A150" s="449"/>
      <c r="B150" s="733"/>
      <c r="C150" s="449"/>
      <c r="D150" s="449"/>
      <c r="E150" s="559"/>
      <c r="F150" s="449"/>
      <c r="G150" s="449"/>
      <c r="H150" s="557"/>
      <c r="I150" s="561"/>
      <c r="J150" s="734"/>
      <c r="K150" s="561"/>
      <c r="L150" s="734"/>
      <c r="M150" s="734"/>
    </row>
    <row r="151" spans="1:19">
      <c r="A151" s="449"/>
      <c r="B151" s="554" t="s">
        <v>550</v>
      </c>
      <c r="C151" s="449"/>
      <c r="D151" s="449"/>
      <c r="E151" s="559"/>
      <c r="F151" s="449"/>
      <c r="G151" s="449"/>
      <c r="H151" s="557"/>
      <c r="I151" s="561"/>
      <c r="J151" s="734"/>
      <c r="K151" s="561"/>
      <c r="L151" s="734"/>
      <c r="M151" s="734"/>
    </row>
    <row r="152" spans="1:19" ht="20.45" customHeight="1">
      <c r="A152" s="449"/>
      <c r="B152" s="1225" t="s">
        <v>486</v>
      </c>
      <c r="C152" s="1225"/>
      <c r="D152" s="1225"/>
      <c r="E152" s="1225"/>
      <c r="F152" s="1225"/>
      <c r="G152" s="1225"/>
      <c r="H152" s="1225"/>
      <c r="I152" s="1225"/>
      <c r="J152" s="1225"/>
      <c r="K152" s="1225"/>
      <c r="L152" s="1225"/>
      <c r="M152" s="1225"/>
    </row>
    <row r="153" spans="1:19" ht="28.15" customHeight="1">
      <c r="A153" s="449"/>
      <c r="B153" s="1217" t="s">
        <v>151</v>
      </c>
      <c r="C153" s="1225"/>
      <c r="D153" s="1225"/>
      <c r="E153" s="1225"/>
      <c r="F153" s="1225"/>
      <c r="G153" s="1225"/>
      <c r="H153" s="1225"/>
      <c r="I153" s="1225"/>
      <c r="J153" s="1225"/>
      <c r="K153" s="1225"/>
      <c r="L153" s="1225"/>
      <c r="M153" s="1225"/>
    </row>
    <row r="154" spans="1:19">
      <c r="A154" s="449"/>
      <c r="B154" s="560"/>
      <c r="C154" s="449"/>
      <c r="D154" s="449"/>
      <c r="E154" s="559"/>
      <c r="F154" s="449"/>
      <c r="G154" s="449"/>
      <c r="H154" s="557"/>
      <c r="I154" s="561"/>
      <c r="J154" s="734"/>
      <c r="K154" s="561"/>
      <c r="L154" s="734"/>
      <c r="M154" s="734"/>
    </row>
    <row r="155" spans="1:19" ht="35.25" customHeight="1">
      <c r="A155" s="1221" t="s">
        <v>174</v>
      </c>
      <c r="B155" s="1221"/>
      <c r="C155" s="1221"/>
      <c r="D155" s="1221"/>
      <c r="E155" s="1221"/>
      <c r="F155" s="1221"/>
      <c r="G155" s="1221"/>
      <c r="H155" s="1221"/>
      <c r="I155" s="1221"/>
      <c r="J155" s="1221"/>
      <c r="K155" s="1221"/>
      <c r="L155" s="1221"/>
      <c r="M155" s="1221"/>
    </row>
    <row r="156" spans="1:19" ht="10.5" customHeight="1">
      <c r="A156" s="529"/>
      <c r="B156" s="529"/>
      <c r="C156" s="530"/>
      <c r="D156" s="530"/>
      <c r="E156" s="567"/>
      <c r="F156" s="531"/>
      <c r="G156" s="529"/>
      <c r="H156" s="529"/>
      <c r="I156" s="529"/>
      <c r="J156" s="529"/>
      <c r="K156" s="532"/>
      <c r="L156" s="532"/>
    </row>
    <row r="157" spans="1:19" ht="20.25" customHeight="1">
      <c r="A157" s="1203" t="s">
        <v>724</v>
      </c>
      <c r="B157" s="1203" t="s">
        <v>534</v>
      </c>
      <c r="C157" s="1203" t="s">
        <v>535</v>
      </c>
      <c r="D157" s="1206" t="s">
        <v>536</v>
      </c>
      <c r="E157" s="1203" t="s">
        <v>537</v>
      </c>
      <c r="F157" s="1203" t="s">
        <v>538</v>
      </c>
      <c r="G157" s="1212" t="s">
        <v>539</v>
      </c>
      <c r="H157" s="1214"/>
      <c r="I157" s="1214"/>
      <c r="J157" s="1214"/>
      <c r="K157" s="1214"/>
      <c r="L157" s="1213"/>
      <c r="M157" s="1203" t="s">
        <v>225</v>
      </c>
    </row>
    <row r="158" spans="1:19" ht="45" customHeight="1">
      <c r="A158" s="1204"/>
      <c r="B158" s="1204"/>
      <c r="C158" s="1204"/>
      <c r="D158" s="1207"/>
      <c r="E158" s="1204"/>
      <c r="F158" s="1204"/>
      <c r="G158" s="1212" t="s">
        <v>540</v>
      </c>
      <c r="H158" s="1213"/>
      <c r="I158" s="1212" t="s">
        <v>29</v>
      </c>
      <c r="J158" s="1213"/>
      <c r="K158" s="1212" t="s">
        <v>542</v>
      </c>
      <c r="L158" s="1213"/>
      <c r="M158" s="1204"/>
    </row>
    <row r="159" spans="1:19" ht="20.25" customHeight="1">
      <c r="A159" s="1205"/>
      <c r="B159" s="1205"/>
      <c r="C159" s="1205"/>
      <c r="D159" s="1208"/>
      <c r="E159" s="1205"/>
      <c r="F159" s="1205"/>
      <c r="G159" s="423" t="s">
        <v>739</v>
      </c>
      <c r="H159" s="423" t="s">
        <v>543</v>
      </c>
      <c r="I159" s="423" t="s">
        <v>739</v>
      </c>
      <c r="J159" s="423" t="s">
        <v>543</v>
      </c>
      <c r="K159" s="423" t="s">
        <v>739</v>
      </c>
      <c r="L159" s="423" t="s">
        <v>543</v>
      </c>
      <c r="M159" s="1205"/>
    </row>
    <row r="160" spans="1:19" ht="18" customHeight="1">
      <c r="A160" s="578">
        <v>1</v>
      </c>
      <c r="B160" s="579" t="s">
        <v>201</v>
      </c>
      <c r="C160" s="578" t="s">
        <v>202</v>
      </c>
      <c r="D160" s="533">
        <v>36</v>
      </c>
      <c r="E160" s="580">
        <f>'Bang gia'!E6</f>
        <v>230000</v>
      </c>
      <c r="F160" s="535">
        <f>E160/(D160*26)</f>
        <v>245.72649572649573</v>
      </c>
      <c r="G160" s="581">
        <v>0.51900000000000002</v>
      </c>
      <c r="H160" s="580">
        <f t="shared" ref="H160:H175" si="22">F160*G160</f>
        <v>127.53205128205128</v>
      </c>
      <c r="I160" s="581">
        <v>0.48099999999999998</v>
      </c>
      <c r="J160" s="582">
        <f t="shared" ref="J160:J175" si="23">F160*I160</f>
        <v>118.19444444444444</v>
      </c>
      <c r="K160" s="581">
        <v>0.16900000000000001</v>
      </c>
      <c r="L160" s="583">
        <f t="shared" ref="L160:L171" si="24">F160*K160</f>
        <v>41.527777777777779</v>
      </c>
      <c r="M160" s="582">
        <f t="shared" ref="M160:M176" si="25">H160+J160+L160</f>
        <v>287.2542735042735</v>
      </c>
    </row>
    <row r="161" spans="1:13" ht="18" customHeight="1">
      <c r="A161" s="533">
        <v>2</v>
      </c>
      <c r="B161" s="585" t="s">
        <v>203</v>
      </c>
      <c r="C161" s="533" t="s">
        <v>202</v>
      </c>
      <c r="D161" s="533">
        <v>60</v>
      </c>
      <c r="E161" s="535">
        <f>'Bang gia'!E7</f>
        <v>360000</v>
      </c>
      <c r="F161" s="535">
        <f>E161/(D161*26)</f>
        <v>230.76923076923077</v>
      </c>
      <c r="G161" s="539">
        <v>0.92300000000000004</v>
      </c>
      <c r="H161" s="535">
        <f t="shared" si="22"/>
        <v>213</v>
      </c>
      <c r="I161" s="537">
        <v>0.53800000000000003</v>
      </c>
      <c r="J161" s="538">
        <f t="shared" si="23"/>
        <v>124.15384615384616</v>
      </c>
      <c r="K161" s="581">
        <v>0.16900000000000001</v>
      </c>
      <c r="L161" s="540">
        <f t="shared" si="24"/>
        <v>39</v>
      </c>
      <c r="M161" s="541">
        <f t="shared" si="25"/>
        <v>376.15384615384619</v>
      </c>
    </row>
    <row r="162" spans="1:13" ht="18" customHeight="1">
      <c r="A162" s="533">
        <v>3</v>
      </c>
      <c r="B162" s="534" t="s">
        <v>204</v>
      </c>
      <c r="C162" s="533" t="s">
        <v>202</v>
      </c>
      <c r="D162" s="533">
        <v>60</v>
      </c>
      <c r="E162" s="535">
        <f>'Bang gia'!E8</f>
        <v>754000</v>
      </c>
      <c r="F162" s="535">
        <f>E162/(D162*26)</f>
        <v>483.33333333333331</v>
      </c>
      <c r="G162" s="539">
        <v>0.92300000000000004</v>
      </c>
      <c r="H162" s="535">
        <f t="shared" si="22"/>
        <v>446.11666666666667</v>
      </c>
      <c r="I162" s="537">
        <v>0.53800000000000003</v>
      </c>
      <c r="J162" s="538">
        <f t="shared" si="23"/>
        <v>260.03333333333336</v>
      </c>
      <c r="K162" s="581">
        <v>0.16900000000000001</v>
      </c>
      <c r="L162" s="540">
        <f t="shared" si="24"/>
        <v>81.683333333333337</v>
      </c>
      <c r="M162" s="541">
        <f t="shared" si="25"/>
        <v>787.83333333333348</v>
      </c>
    </row>
    <row r="163" spans="1:13" ht="18" customHeight="1">
      <c r="A163" s="533">
        <v>4</v>
      </c>
      <c r="B163" s="534" t="s">
        <v>205</v>
      </c>
      <c r="C163" s="533" t="s">
        <v>202</v>
      </c>
      <c r="D163" s="533">
        <v>60</v>
      </c>
      <c r="E163" s="535">
        <f>'Bang gia'!E9</f>
        <v>2331000</v>
      </c>
      <c r="F163" s="535">
        <f t="shared" ref="F163:F174" si="26">E163/(D163*26)</f>
        <v>1494.2307692307693</v>
      </c>
      <c r="G163" s="539">
        <v>0.51900000000000002</v>
      </c>
      <c r="H163" s="535">
        <f t="shared" si="22"/>
        <v>775.50576923076926</v>
      </c>
      <c r="I163" s="581">
        <v>0.48099999999999998</v>
      </c>
      <c r="J163" s="538">
        <f t="shared" si="23"/>
        <v>718.72500000000002</v>
      </c>
      <c r="K163" s="581">
        <v>0.16900000000000001</v>
      </c>
      <c r="L163" s="540">
        <f t="shared" si="24"/>
        <v>252.52500000000003</v>
      </c>
      <c r="M163" s="541">
        <f t="shared" si="25"/>
        <v>1746.7557692307694</v>
      </c>
    </row>
    <row r="164" spans="1:13" ht="18" customHeight="1">
      <c r="A164" s="533">
        <v>5</v>
      </c>
      <c r="B164" s="534" t="s">
        <v>206</v>
      </c>
      <c r="C164" s="533" t="s">
        <v>202</v>
      </c>
      <c r="D164" s="533">
        <v>24</v>
      </c>
      <c r="E164" s="535">
        <f>'Bang gia'!E10</f>
        <v>15000</v>
      </c>
      <c r="F164" s="535">
        <f t="shared" si="26"/>
        <v>24.03846153846154</v>
      </c>
      <c r="G164" s="539">
        <v>1.2999999999999999E-2</v>
      </c>
      <c r="H164" s="535">
        <f t="shared" si="22"/>
        <v>0.3125</v>
      </c>
      <c r="I164" s="537">
        <v>2.8000000000000001E-2</v>
      </c>
      <c r="J164" s="538">
        <f t="shared" si="23"/>
        <v>0.67307692307692313</v>
      </c>
      <c r="K164" s="539">
        <v>1E-3</v>
      </c>
      <c r="L164" s="540">
        <f t="shared" si="24"/>
        <v>2.403846153846154E-2</v>
      </c>
      <c r="M164" s="541">
        <f t="shared" si="25"/>
        <v>1.0096153846153846</v>
      </c>
    </row>
    <row r="165" spans="1:13" ht="18" customHeight="1">
      <c r="A165" s="533">
        <v>6</v>
      </c>
      <c r="B165" s="534" t="s">
        <v>207</v>
      </c>
      <c r="C165" s="533" t="s">
        <v>202</v>
      </c>
      <c r="D165" s="533">
        <v>36</v>
      </c>
      <c r="E165" s="535">
        <f>'Bang gia'!E11</f>
        <v>270000</v>
      </c>
      <c r="F165" s="535">
        <f t="shared" si="26"/>
        <v>288.46153846153845</v>
      </c>
      <c r="G165" s="539">
        <v>3.0000000000000001E-3</v>
      </c>
      <c r="H165" s="535">
        <f t="shared" si="22"/>
        <v>0.86538461538461542</v>
      </c>
      <c r="I165" s="537">
        <v>6.0000000000000001E-3</v>
      </c>
      <c r="J165" s="538">
        <f t="shared" si="23"/>
        <v>1.7307692307692308</v>
      </c>
      <c r="K165" s="539">
        <v>1E-3</v>
      </c>
      <c r="L165" s="540">
        <f t="shared" si="24"/>
        <v>0.28846153846153844</v>
      </c>
      <c r="M165" s="541">
        <f t="shared" si="25"/>
        <v>2.8846153846153846</v>
      </c>
    </row>
    <row r="166" spans="1:13" ht="18" customHeight="1">
      <c r="A166" s="533">
        <v>7</v>
      </c>
      <c r="B166" s="534" t="s">
        <v>208</v>
      </c>
      <c r="C166" s="533" t="s">
        <v>202</v>
      </c>
      <c r="D166" s="533">
        <v>12</v>
      </c>
      <c r="E166" s="535">
        <f>'Bang gia'!E12</f>
        <v>48000</v>
      </c>
      <c r="F166" s="535">
        <f t="shared" si="26"/>
        <v>153.84615384615384</v>
      </c>
      <c r="G166" s="539">
        <v>1E-3</v>
      </c>
      <c r="H166" s="535">
        <f t="shared" si="22"/>
        <v>0.15384615384615385</v>
      </c>
      <c r="I166" s="537">
        <v>1E-3</v>
      </c>
      <c r="J166" s="538">
        <f t="shared" si="23"/>
        <v>0.15384615384615385</v>
      </c>
      <c r="K166" s="539">
        <v>1E-3</v>
      </c>
      <c r="L166" s="540">
        <f t="shared" si="24"/>
        <v>0.15384615384615385</v>
      </c>
      <c r="M166" s="541">
        <f t="shared" si="25"/>
        <v>0.46153846153846156</v>
      </c>
    </row>
    <row r="167" spans="1:13" ht="18" customHeight="1">
      <c r="A167" s="533">
        <v>8</v>
      </c>
      <c r="B167" s="534" t="s">
        <v>209</v>
      </c>
      <c r="C167" s="533" t="s">
        <v>202</v>
      </c>
      <c r="D167" s="533">
        <v>12</v>
      </c>
      <c r="E167" s="535">
        <f>'Bang gia'!E13</f>
        <v>25000</v>
      </c>
      <c r="F167" s="535">
        <f t="shared" si="26"/>
        <v>80.128205128205124</v>
      </c>
      <c r="G167" s="539">
        <v>2.5999999999999999E-2</v>
      </c>
      <c r="H167" s="535">
        <f t="shared" si="22"/>
        <v>2.083333333333333</v>
      </c>
      <c r="I167" s="537">
        <v>5.6000000000000001E-2</v>
      </c>
      <c r="J167" s="538">
        <f t="shared" si="23"/>
        <v>4.4871794871794872</v>
      </c>
      <c r="K167" s="539">
        <v>1E-3</v>
      </c>
      <c r="L167" s="540">
        <f t="shared" si="24"/>
        <v>8.0128205128205121E-2</v>
      </c>
      <c r="M167" s="541">
        <f t="shared" si="25"/>
        <v>6.6506410256410255</v>
      </c>
    </row>
    <row r="168" spans="1:13" ht="18" customHeight="1">
      <c r="A168" s="533">
        <v>9</v>
      </c>
      <c r="B168" s="534" t="s">
        <v>210</v>
      </c>
      <c r="C168" s="533" t="s">
        <v>202</v>
      </c>
      <c r="D168" s="533">
        <v>12</v>
      </c>
      <c r="E168" s="535">
        <f>'Bang gia'!E14</f>
        <v>35000</v>
      </c>
      <c r="F168" s="535">
        <f t="shared" si="26"/>
        <v>112.17948717948718</v>
      </c>
      <c r="G168" s="539">
        <v>8.0000000000000002E-3</v>
      </c>
      <c r="H168" s="535">
        <f t="shared" ref="H168:H173" si="27">F168*G168</f>
        <v>0.89743589743589747</v>
      </c>
      <c r="I168" s="537">
        <v>1.9E-2</v>
      </c>
      <c r="J168" s="538">
        <f t="shared" si="23"/>
        <v>2.1314102564102564</v>
      </c>
      <c r="K168" s="539">
        <v>1E-3</v>
      </c>
      <c r="L168" s="540">
        <f t="shared" si="24"/>
        <v>0.11217948717948718</v>
      </c>
      <c r="M168" s="541">
        <f t="shared" si="25"/>
        <v>3.141025641025641</v>
      </c>
    </row>
    <row r="169" spans="1:13" ht="18" customHeight="1">
      <c r="A169" s="533">
        <v>10</v>
      </c>
      <c r="B169" s="534" t="s">
        <v>211</v>
      </c>
      <c r="C169" s="533" t="s">
        <v>202</v>
      </c>
      <c r="D169" s="533">
        <v>9</v>
      </c>
      <c r="E169" s="535">
        <f>'Bang gia'!E15</f>
        <v>15000</v>
      </c>
      <c r="F169" s="535">
        <f t="shared" si="26"/>
        <v>64.102564102564102</v>
      </c>
      <c r="G169" s="539">
        <v>4.0000000000000001E-3</v>
      </c>
      <c r="H169" s="535">
        <f t="shared" si="27"/>
        <v>0.25641025641025639</v>
      </c>
      <c r="I169" s="537">
        <v>8.9999999999999993E-3</v>
      </c>
      <c r="J169" s="538">
        <f t="shared" si="23"/>
        <v>0.57692307692307687</v>
      </c>
      <c r="K169" s="539">
        <v>0</v>
      </c>
      <c r="L169" s="540">
        <f t="shared" si="24"/>
        <v>0</v>
      </c>
      <c r="M169" s="541">
        <f t="shared" si="25"/>
        <v>0.83333333333333326</v>
      </c>
    </row>
    <row r="170" spans="1:13" ht="18" customHeight="1">
      <c r="A170" s="533">
        <v>11</v>
      </c>
      <c r="B170" s="534" t="s">
        <v>544</v>
      </c>
      <c r="C170" s="533" t="s">
        <v>202</v>
      </c>
      <c r="D170" s="533">
        <v>12</v>
      </c>
      <c r="E170" s="535">
        <f>'Bang gia'!E16</f>
        <v>100000</v>
      </c>
      <c r="F170" s="535">
        <f t="shared" si="26"/>
        <v>320.5128205128205</v>
      </c>
      <c r="G170" s="539">
        <v>0.92300000000000004</v>
      </c>
      <c r="H170" s="535">
        <f t="shared" si="27"/>
        <v>295.83333333333331</v>
      </c>
      <c r="I170" s="537">
        <v>0.53800000000000003</v>
      </c>
      <c r="J170" s="538">
        <f t="shared" si="23"/>
        <v>172.43589743589743</v>
      </c>
      <c r="K170" s="539">
        <v>0.16900000000000001</v>
      </c>
      <c r="L170" s="540">
        <f t="shared" si="24"/>
        <v>54.166666666666664</v>
      </c>
      <c r="M170" s="541">
        <f t="shared" si="25"/>
        <v>522.43589743589735</v>
      </c>
    </row>
    <row r="171" spans="1:13" ht="18" customHeight="1">
      <c r="A171" s="533">
        <v>12</v>
      </c>
      <c r="B171" s="534" t="s">
        <v>213</v>
      </c>
      <c r="C171" s="533" t="s">
        <v>381</v>
      </c>
      <c r="D171" s="533">
        <v>6</v>
      </c>
      <c r="E171" s="535">
        <f>'Bang gia'!E17</f>
        <v>18000</v>
      </c>
      <c r="F171" s="535">
        <f t="shared" si="26"/>
        <v>115.38461538461539</v>
      </c>
      <c r="G171" s="539">
        <v>0.92300000000000004</v>
      </c>
      <c r="H171" s="535">
        <f t="shared" si="27"/>
        <v>106.5</v>
      </c>
      <c r="I171" s="537">
        <v>0.53800000000000003</v>
      </c>
      <c r="J171" s="538">
        <f t="shared" si="23"/>
        <v>62.07692307692308</v>
      </c>
      <c r="K171" s="539">
        <v>0.16900000000000001</v>
      </c>
      <c r="L171" s="540">
        <f t="shared" si="24"/>
        <v>19.5</v>
      </c>
      <c r="M171" s="541">
        <f t="shared" si="25"/>
        <v>188.07692307692309</v>
      </c>
    </row>
    <row r="172" spans="1:13" ht="18" customHeight="1">
      <c r="A172" s="533">
        <v>13</v>
      </c>
      <c r="B172" s="690" t="s">
        <v>382</v>
      </c>
      <c r="C172" s="533" t="s">
        <v>202</v>
      </c>
      <c r="D172" s="533">
        <v>12</v>
      </c>
      <c r="E172" s="643">
        <f>'Bang gia'!E18</f>
        <v>25000</v>
      </c>
      <c r="F172" s="535">
        <f t="shared" si="26"/>
        <v>80.128205128205124</v>
      </c>
      <c r="G172" s="638">
        <v>8.0000000000000002E-3</v>
      </c>
      <c r="H172" s="535">
        <f t="shared" si="27"/>
        <v>0.64102564102564097</v>
      </c>
      <c r="I172" s="639">
        <v>1.7999999999999999E-2</v>
      </c>
      <c r="J172" s="538">
        <f t="shared" si="23"/>
        <v>1.4423076923076921</v>
      </c>
      <c r="K172" s="638"/>
      <c r="L172" s="540"/>
      <c r="M172" s="541">
        <f t="shared" si="25"/>
        <v>2.083333333333333</v>
      </c>
    </row>
    <row r="173" spans="1:13" ht="18" customHeight="1">
      <c r="A173" s="533">
        <v>14</v>
      </c>
      <c r="B173" s="690" t="s">
        <v>383</v>
      </c>
      <c r="C173" s="533" t="s">
        <v>202</v>
      </c>
      <c r="D173" s="533">
        <v>36</v>
      </c>
      <c r="E173" s="643">
        <f>'Bang gia'!E19</f>
        <v>870000</v>
      </c>
      <c r="F173" s="535">
        <f t="shared" si="26"/>
        <v>929.48717948717945</v>
      </c>
      <c r="G173" s="638">
        <v>0.36399999999999999</v>
      </c>
      <c r="H173" s="535">
        <f t="shared" si="27"/>
        <v>338.33333333333331</v>
      </c>
      <c r="I173" s="639">
        <v>0.33700000000000002</v>
      </c>
      <c r="J173" s="538">
        <f t="shared" si="23"/>
        <v>313.2371794871795</v>
      </c>
      <c r="K173" s="638">
        <v>0.11799999999999999</v>
      </c>
      <c r="L173" s="540">
        <f>F173*K173</f>
        <v>109.67948717948717</v>
      </c>
      <c r="M173" s="541">
        <f t="shared" si="25"/>
        <v>761.25</v>
      </c>
    </row>
    <row r="174" spans="1:13" ht="18" customHeight="1">
      <c r="A174" s="533">
        <v>15</v>
      </c>
      <c r="B174" s="690" t="s">
        <v>384</v>
      </c>
      <c r="C174" s="641" t="s">
        <v>385</v>
      </c>
      <c r="D174" s="641">
        <v>30</v>
      </c>
      <c r="E174" s="643">
        <f>'Bang gia'!E20</f>
        <v>65000</v>
      </c>
      <c r="F174" s="535">
        <f t="shared" si="26"/>
        <v>83.333333333333329</v>
      </c>
      <c r="G174" s="638">
        <v>0.92300000000000004</v>
      </c>
      <c r="H174" s="535">
        <f t="shared" si="22"/>
        <v>76.916666666666671</v>
      </c>
      <c r="I174" s="639">
        <v>0.53800000000000003</v>
      </c>
      <c r="J174" s="538">
        <f t="shared" si="23"/>
        <v>44.833333333333336</v>
      </c>
      <c r="K174" s="539">
        <v>0.16900000000000001</v>
      </c>
      <c r="L174" s="540">
        <f>F174*K174</f>
        <v>14.083333333333334</v>
      </c>
      <c r="M174" s="541">
        <f t="shared" si="25"/>
        <v>135.83333333333334</v>
      </c>
    </row>
    <row r="175" spans="1:13" ht="18" customHeight="1">
      <c r="A175" s="641">
        <v>16</v>
      </c>
      <c r="B175" s="690" t="s">
        <v>386</v>
      </c>
      <c r="C175" s="641" t="s">
        <v>740</v>
      </c>
      <c r="D175" s="641"/>
      <c r="E175" s="643">
        <f>'Bang gia'!E21</f>
        <v>1554</v>
      </c>
      <c r="F175" s="643">
        <f>E175</f>
        <v>1554</v>
      </c>
      <c r="G175" s="638">
        <v>0.58599999999999997</v>
      </c>
      <c r="H175" s="643">
        <f t="shared" si="22"/>
        <v>910.64399999999989</v>
      </c>
      <c r="I175" s="639">
        <v>0.442</v>
      </c>
      <c r="J175" s="644">
        <f t="shared" si="23"/>
        <v>686.86800000000005</v>
      </c>
      <c r="K175" s="638">
        <v>0.14899999999999999</v>
      </c>
      <c r="L175" s="645">
        <f>F175*K175</f>
        <v>231.54599999999999</v>
      </c>
      <c r="M175" s="646">
        <f t="shared" si="25"/>
        <v>1829.058</v>
      </c>
    </row>
    <row r="176" spans="1:13" ht="18" customHeight="1">
      <c r="A176" s="652"/>
      <c r="B176" s="652" t="s">
        <v>545</v>
      </c>
      <c r="C176" s="652"/>
      <c r="D176" s="652"/>
      <c r="E176" s="577"/>
      <c r="F176" s="577"/>
      <c r="G176" s="576"/>
      <c r="H176" s="577">
        <f>SUM(H160:H175)</f>
        <v>3295.5917564102556</v>
      </c>
      <c r="I176" s="654"/>
      <c r="J176" s="655">
        <f>SUM(J160:J175)</f>
        <v>2511.7534700854699</v>
      </c>
      <c r="K176" s="576"/>
      <c r="L176" s="546">
        <f>SUM(L160:L175)</f>
        <v>844.37025213675224</v>
      </c>
      <c r="M176" s="546">
        <f t="shared" si="25"/>
        <v>6651.7154786324772</v>
      </c>
    </row>
    <row r="177" spans="1:13" ht="18" customHeight="1">
      <c r="A177" s="652"/>
      <c r="B177" s="652" t="s">
        <v>758</v>
      </c>
      <c r="C177" s="652"/>
      <c r="D177" s="652"/>
      <c r="E177" s="577"/>
      <c r="F177" s="577"/>
      <c r="G177" s="576"/>
      <c r="H177" s="577">
        <f>(H176-H175)*5%</f>
        <v>119.2473878205128</v>
      </c>
      <c r="I177" s="577"/>
      <c r="J177" s="577">
        <f>(J176-J175)*5%</f>
        <v>91.244273504273508</v>
      </c>
      <c r="K177" s="655"/>
      <c r="L177" s="577">
        <f>(L176-L175)*5%</f>
        <v>30.641212606837612</v>
      </c>
      <c r="M177" s="577">
        <f>(M176-M175)*5%</f>
        <v>241.13287393162386</v>
      </c>
    </row>
    <row r="178" spans="1:13">
      <c r="A178" s="657"/>
      <c r="B178" s="543" t="s">
        <v>546</v>
      </c>
      <c r="C178" s="657"/>
      <c r="D178" s="657"/>
      <c r="E178" s="739"/>
      <c r="F178" s="657"/>
      <c r="G178" s="657"/>
      <c r="H178" s="544">
        <f>H176+H177</f>
        <v>3414.8391442307684</v>
      </c>
      <c r="I178" s="544"/>
      <c r="J178" s="655">
        <f>J176+J177</f>
        <v>2602.9977435897435</v>
      </c>
      <c r="K178" s="655"/>
      <c r="L178" s="655">
        <f>L176+L177</f>
        <v>875.01146474358984</v>
      </c>
      <c r="M178" s="655">
        <f>M176+M177</f>
        <v>6892.8483525641013</v>
      </c>
    </row>
    <row r="179" spans="1:13" ht="4.5" customHeight="1">
      <c r="A179" s="449"/>
      <c r="B179" s="733"/>
      <c r="C179" s="449"/>
      <c r="D179" s="449"/>
      <c r="E179" s="559"/>
      <c r="F179" s="449"/>
      <c r="G179" s="449"/>
      <c r="H179" s="557"/>
      <c r="I179" s="561"/>
      <c r="J179" s="734"/>
      <c r="K179" s="561"/>
      <c r="L179" s="734"/>
      <c r="M179" s="734"/>
    </row>
    <row r="180" spans="1:13" ht="18.75" customHeight="1">
      <c r="A180" s="698"/>
      <c r="B180" s="740" t="s">
        <v>553</v>
      </c>
      <c r="C180" s="698"/>
      <c r="D180" s="698"/>
      <c r="E180" s="699"/>
      <c r="F180" s="698"/>
      <c r="G180" s="741">
        <v>0.85</v>
      </c>
      <c r="H180" s="701">
        <f>H178*0.85</f>
        <v>2902.6132725961529</v>
      </c>
      <c r="I180" s="742">
        <v>1</v>
      </c>
      <c r="J180" s="743">
        <f>J178*1</f>
        <v>2602.9977435897435</v>
      </c>
      <c r="K180" s="742">
        <v>1</v>
      </c>
      <c r="L180" s="743">
        <f>L178</f>
        <v>875.01146474358984</v>
      </c>
      <c r="M180" s="743">
        <f>H180+J180+L180</f>
        <v>6380.6224809294854</v>
      </c>
    </row>
    <row r="181" spans="1:13" ht="18.75" customHeight="1">
      <c r="A181" s="704"/>
      <c r="B181" s="744" t="s">
        <v>554</v>
      </c>
      <c r="C181" s="704"/>
      <c r="D181" s="704"/>
      <c r="E181" s="705"/>
      <c r="F181" s="704"/>
      <c r="G181" s="745">
        <v>0.9</v>
      </c>
      <c r="H181" s="707">
        <f>H178*0.9</f>
        <v>3073.3552298076916</v>
      </c>
      <c r="I181" s="742">
        <v>1</v>
      </c>
      <c r="J181" s="746">
        <f>J178*1</f>
        <v>2602.9977435897435</v>
      </c>
      <c r="K181" s="742">
        <v>1</v>
      </c>
      <c r="L181" s="746">
        <f>L178</f>
        <v>875.01146474358984</v>
      </c>
      <c r="M181" s="746">
        <f>H181+J181+L181</f>
        <v>6551.3644381410249</v>
      </c>
    </row>
    <row r="182" spans="1:13" ht="18.75" customHeight="1">
      <c r="A182" s="711"/>
      <c r="B182" s="747" t="s">
        <v>555</v>
      </c>
      <c r="C182" s="711"/>
      <c r="D182" s="711"/>
      <c r="E182" s="712"/>
      <c r="F182" s="711"/>
      <c r="G182" s="742">
        <v>1</v>
      </c>
      <c r="H182" s="714">
        <f>H178</f>
        <v>3414.8391442307684</v>
      </c>
      <c r="I182" s="742">
        <v>1</v>
      </c>
      <c r="J182" s="748">
        <f>J178</f>
        <v>2602.9977435897435</v>
      </c>
      <c r="K182" s="742">
        <v>1</v>
      </c>
      <c r="L182" s="748">
        <f>L178</f>
        <v>875.01146474358984</v>
      </c>
      <c r="M182" s="748">
        <f>H182+J182+L182</f>
        <v>6892.8483525641022</v>
      </c>
    </row>
    <row r="183" spans="1:13" ht="6" customHeight="1">
      <c r="A183" s="449"/>
      <c r="B183" s="733"/>
      <c r="C183" s="449"/>
      <c r="D183" s="449"/>
      <c r="E183" s="559"/>
      <c r="F183" s="449"/>
      <c r="G183" s="449"/>
      <c r="H183" s="557"/>
      <c r="I183" s="561"/>
      <c r="J183" s="734"/>
      <c r="K183" s="561"/>
      <c r="L183" s="734"/>
      <c r="M183" s="734"/>
    </row>
    <row r="184" spans="1:13">
      <c r="A184" s="449"/>
      <c r="B184" s="554" t="s">
        <v>550</v>
      </c>
      <c r="C184" s="449"/>
      <c r="D184" s="449"/>
      <c r="E184" s="559"/>
      <c r="F184" s="449"/>
      <c r="G184" s="449"/>
      <c r="H184" s="557"/>
      <c r="I184" s="561"/>
      <c r="J184" s="734"/>
      <c r="K184" s="561"/>
      <c r="L184" s="734"/>
      <c r="M184" s="734"/>
    </row>
    <row r="185" spans="1:13" ht="42.6" customHeight="1">
      <c r="A185" s="449"/>
      <c r="B185" s="1223" t="s">
        <v>152</v>
      </c>
      <c r="C185" s="1224"/>
      <c r="D185" s="1224"/>
      <c r="E185" s="1224"/>
      <c r="F185" s="1224"/>
      <c r="G185" s="1224"/>
      <c r="H185" s="1224"/>
      <c r="I185" s="1224"/>
      <c r="J185" s="1224"/>
      <c r="K185" s="1224"/>
      <c r="L185" s="1224"/>
      <c r="M185" s="1224"/>
    </row>
    <row r="186" spans="1:13" ht="31.9" customHeight="1">
      <c r="A186" s="449"/>
      <c r="B186" s="1217" t="s">
        <v>153</v>
      </c>
      <c r="C186" s="1217"/>
      <c r="D186" s="1217"/>
      <c r="E186" s="1217"/>
      <c r="F186" s="1217"/>
      <c r="G186" s="1217"/>
      <c r="H186" s="1217"/>
      <c r="I186" s="1217"/>
      <c r="J186" s="1217"/>
      <c r="K186" s="1217"/>
      <c r="L186" s="1217"/>
      <c r="M186" s="1217"/>
    </row>
    <row r="187" spans="1:13" ht="15.6" customHeight="1">
      <c r="A187" s="409"/>
      <c r="B187" s="1222" t="s">
        <v>154</v>
      </c>
      <c r="C187" s="1222"/>
      <c r="D187" s="1222"/>
      <c r="E187" s="1222"/>
      <c r="F187" s="1222"/>
      <c r="G187" s="1222"/>
      <c r="H187" s="1222"/>
      <c r="I187" s="1222"/>
      <c r="J187" s="1222"/>
      <c r="K187" s="1222"/>
      <c r="L187" s="1222"/>
      <c r="M187" s="1222"/>
    </row>
    <row r="188" spans="1:13" ht="28.15" customHeight="1">
      <c r="A188" s="409"/>
      <c r="B188" s="1222" t="s">
        <v>155</v>
      </c>
      <c r="C188" s="1222"/>
      <c r="D188" s="1222"/>
      <c r="E188" s="1222"/>
      <c r="F188" s="1222"/>
      <c r="G188" s="1222"/>
      <c r="H188" s="1222"/>
      <c r="I188" s="1222"/>
      <c r="J188" s="1222"/>
      <c r="K188" s="1222"/>
      <c r="L188" s="1222"/>
      <c r="M188" s="1222"/>
    </row>
    <row r="189" spans="1:13" ht="15.6" customHeight="1">
      <c r="A189" s="409"/>
      <c r="B189" s="1222" t="s">
        <v>156</v>
      </c>
      <c r="C189" s="1222"/>
      <c r="D189" s="1222"/>
      <c r="E189" s="1222"/>
      <c r="F189" s="1222"/>
      <c r="G189" s="1222"/>
      <c r="H189" s="1222"/>
      <c r="I189" s="1222"/>
      <c r="J189" s="1222"/>
      <c r="K189" s="1222"/>
      <c r="L189" s="1222"/>
      <c r="M189" s="1222"/>
    </row>
    <row r="190" spans="1:13" ht="11.25" customHeight="1">
      <c r="A190" s="409"/>
      <c r="B190" s="409"/>
      <c r="C190" s="409"/>
    </row>
    <row r="191" spans="1:13" ht="26.45" customHeight="1">
      <c r="A191" s="1221" t="s">
        <v>175</v>
      </c>
      <c r="B191" s="1221"/>
      <c r="C191" s="1221"/>
      <c r="D191" s="1221"/>
      <c r="E191" s="1221"/>
      <c r="F191" s="1221"/>
      <c r="G191" s="1221"/>
      <c r="H191" s="1221"/>
      <c r="I191" s="1221"/>
      <c r="J191" s="1221"/>
      <c r="K191" s="1221"/>
      <c r="L191" s="1221"/>
      <c r="M191" s="1221"/>
    </row>
    <row r="192" spans="1:13">
      <c r="A192" s="529"/>
      <c r="B192" s="529"/>
      <c r="C192" s="530"/>
      <c r="D192" s="530"/>
      <c r="E192" s="567"/>
      <c r="F192" s="531"/>
      <c r="G192" s="529"/>
      <c r="H192" s="529"/>
      <c r="I192" s="529"/>
      <c r="J192" s="529"/>
      <c r="K192" s="532"/>
      <c r="L192" s="532"/>
    </row>
    <row r="193" spans="1:13" ht="21" customHeight="1">
      <c r="A193" s="1203" t="s">
        <v>724</v>
      </c>
      <c r="B193" s="1203" t="s">
        <v>534</v>
      </c>
      <c r="C193" s="1203" t="s">
        <v>535</v>
      </c>
      <c r="D193" s="1206" t="s">
        <v>536</v>
      </c>
      <c r="E193" s="1203" t="s">
        <v>537</v>
      </c>
      <c r="F193" s="1203" t="s">
        <v>538</v>
      </c>
      <c r="G193" s="1212" t="s">
        <v>539</v>
      </c>
      <c r="H193" s="1214"/>
      <c r="I193" s="1214"/>
      <c r="J193" s="1214"/>
      <c r="K193" s="1214"/>
      <c r="L193" s="1213"/>
      <c r="M193" s="1203" t="s">
        <v>157</v>
      </c>
    </row>
    <row r="194" spans="1:13" ht="33" customHeight="1">
      <c r="A194" s="1204"/>
      <c r="B194" s="1204"/>
      <c r="C194" s="1204"/>
      <c r="D194" s="1207"/>
      <c r="E194" s="1204"/>
      <c r="F194" s="1204"/>
      <c r="G194" s="1212" t="s">
        <v>488</v>
      </c>
      <c r="H194" s="1213"/>
      <c r="I194" s="1212" t="s">
        <v>29</v>
      </c>
      <c r="J194" s="1213"/>
      <c r="K194" s="1212" t="s">
        <v>542</v>
      </c>
      <c r="L194" s="1213"/>
      <c r="M194" s="1204"/>
    </row>
    <row r="195" spans="1:13" ht="20.25" customHeight="1">
      <c r="A195" s="1205"/>
      <c r="B195" s="1205"/>
      <c r="C195" s="1205"/>
      <c r="D195" s="1208"/>
      <c r="E195" s="1205"/>
      <c r="F195" s="1205"/>
      <c r="G195" s="423" t="s">
        <v>739</v>
      </c>
      <c r="H195" s="423" t="s">
        <v>497</v>
      </c>
      <c r="I195" s="423" t="s">
        <v>739</v>
      </c>
      <c r="J195" s="423" t="s">
        <v>497</v>
      </c>
      <c r="K195" s="423" t="s">
        <v>739</v>
      </c>
      <c r="L195" s="423" t="s">
        <v>497</v>
      </c>
      <c r="M195" s="1205"/>
    </row>
    <row r="196" spans="1:13" ht="19.149999999999999" customHeight="1">
      <c r="A196" s="578">
        <v>1</v>
      </c>
      <c r="B196" s="579" t="s">
        <v>201</v>
      </c>
      <c r="C196" s="578" t="s">
        <v>202</v>
      </c>
      <c r="D196" s="578">
        <v>36</v>
      </c>
      <c r="E196" s="580">
        <f>'Bang gia'!E6</f>
        <v>230000</v>
      </c>
      <c r="F196" s="535">
        <f>E196/(D196*26)</f>
        <v>245.72649572649573</v>
      </c>
      <c r="G196" s="581"/>
      <c r="H196" s="580">
        <f t="shared" ref="H196:H211" si="28">F196*G196</f>
        <v>0</v>
      </c>
      <c r="I196" s="581">
        <v>1.0069999999999999</v>
      </c>
      <c r="J196" s="582">
        <f t="shared" ref="J196:J211" si="29">F196*I196</f>
        <v>247.44658119658118</v>
      </c>
      <c r="K196" s="581">
        <v>0.17899999999999999</v>
      </c>
      <c r="L196" s="583">
        <f t="shared" ref="L196:L202" si="30">F196*K196</f>
        <v>43.985042735042732</v>
      </c>
      <c r="M196" s="582">
        <f t="shared" ref="M196:M212" si="31">H196+J196+L196</f>
        <v>291.4316239316239</v>
      </c>
    </row>
    <row r="197" spans="1:13" ht="19.149999999999999" customHeight="1">
      <c r="A197" s="533">
        <v>2</v>
      </c>
      <c r="B197" s="585" t="s">
        <v>203</v>
      </c>
      <c r="C197" s="533" t="s">
        <v>202</v>
      </c>
      <c r="D197" s="533">
        <v>96</v>
      </c>
      <c r="E197" s="535">
        <f>'Bang gia'!E7</f>
        <v>360000</v>
      </c>
      <c r="F197" s="535">
        <f>E197/(D197*26)</f>
        <v>144.23076923076923</v>
      </c>
      <c r="G197" s="539"/>
      <c r="H197" s="535">
        <f t="shared" si="28"/>
        <v>0</v>
      </c>
      <c r="I197" s="537">
        <v>1.4990000000000001</v>
      </c>
      <c r="J197" s="538">
        <f t="shared" si="29"/>
        <v>216.20192307692309</v>
      </c>
      <c r="K197" s="581">
        <v>0.17899999999999999</v>
      </c>
      <c r="L197" s="540">
        <f t="shared" si="30"/>
        <v>25.81730769230769</v>
      </c>
      <c r="M197" s="541">
        <f t="shared" si="31"/>
        <v>242.01923076923077</v>
      </c>
    </row>
    <row r="198" spans="1:13" ht="19.149999999999999" customHeight="1">
      <c r="A198" s="533">
        <v>3</v>
      </c>
      <c r="B198" s="534" t="s">
        <v>204</v>
      </c>
      <c r="C198" s="533" t="s">
        <v>202</v>
      </c>
      <c r="D198" s="533">
        <v>96</v>
      </c>
      <c r="E198" s="535">
        <f>'Bang gia'!E8</f>
        <v>754000</v>
      </c>
      <c r="F198" s="535">
        <f>E198/(D198*26)</f>
        <v>302.08333333333331</v>
      </c>
      <c r="G198" s="539"/>
      <c r="H198" s="535">
        <f t="shared" si="28"/>
        <v>0</v>
      </c>
      <c r="I198" s="537">
        <v>1.4990000000000001</v>
      </c>
      <c r="J198" s="538">
        <f t="shared" si="29"/>
        <v>452.82291666666669</v>
      </c>
      <c r="K198" s="581">
        <v>0.17899999999999999</v>
      </c>
      <c r="L198" s="540">
        <f t="shared" si="30"/>
        <v>54.072916666666664</v>
      </c>
      <c r="M198" s="541">
        <f t="shared" si="31"/>
        <v>506.89583333333337</v>
      </c>
    </row>
    <row r="199" spans="1:13" ht="19.149999999999999" customHeight="1">
      <c r="A199" s="533">
        <v>4</v>
      </c>
      <c r="B199" s="534" t="s">
        <v>205</v>
      </c>
      <c r="C199" s="533" t="s">
        <v>202</v>
      </c>
      <c r="D199" s="533">
        <v>96</v>
      </c>
      <c r="E199" s="535">
        <f>'Bang gia'!E9</f>
        <v>2331000</v>
      </c>
      <c r="F199" s="535">
        <f t="shared" ref="F199:F210" si="32">E199/(D199*26)</f>
        <v>933.89423076923072</v>
      </c>
      <c r="G199" s="539"/>
      <c r="H199" s="535">
        <f t="shared" si="28"/>
        <v>0</v>
      </c>
      <c r="I199" s="581">
        <v>1.0069999999999999</v>
      </c>
      <c r="J199" s="538">
        <f t="shared" si="29"/>
        <v>940.43149038461524</v>
      </c>
      <c r="K199" s="581">
        <v>0.17899999999999999</v>
      </c>
      <c r="L199" s="540">
        <f t="shared" si="30"/>
        <v>167.16706730769229</v>
      </c>
      <c r="M199" s="541">
        <f t="shared" si="31"/>
        <v>1107.5985576923076</v>
      </c>
    </row>
    <row r="200" spans="1:13" ht="19.149999999999999" customHeight="1">
      <c r="A200" s="533">
        <v>5</v>
      </c>
      <c r="B200" s="534" t="s">
        <v>206</v>
      </c>
      <c r="C200" s="533" t="s">
        <v>202</v>
      </c>
      <c r="D200" s="533">
        <v>24</v>
      </c>
      <c r="E200" s="535">
        <f>'Bang gia'!E10</f>
        <v>15000</v>
      </c>
      <c r="F200" s="535">
        <f t="shared" si="32"/>
        <v>24.03846153846154</v>
      </c>
      <c r="G200" s="539"/>
      <c r="H200" s="535">
        <f t="shared" si="28"/>
        <v>0</v>
      </c>
      <c r="I200" s="537">
        <v>7.4999999999999997E-2</v>
      </c>
      <c r="J200" s="538">
        <f t="shared" si="29"/>
        <v>1.8028846153846154</v>
      </c>
      <c r="K200" s="539">
        <v>1E-3</v>
      </c>
      <c r="L200" s="738">
        <f t="shared" si="30"/>
        <v>2.403846153846154E-2</v>
      </c>
      <c r="M200" s="541">
        <f t="shared" si="31"/>
        <v>1.8269230769230769</v>
      </c>
    </row>
    <row r="201" spans="1:13" ht="19.149999999999999" customHeight="1">
      <c r="A201" s="533">
        <v>6</v>
      </c>
      <c r="B201" s="534" t="s">
        <v>207</v>
      </c>
      <c r="C201" s="533" t="s">
        <v>202</v>
      </c>
      <c r="D201" s="533">
        <v>36</v>
      </c>
      <c r="E201" s="535">
        <f>'Bang gia'!E11</f>
        <v>270000</v>
      </c>
      <c r="F201" s="535">
        <f t="shared" si="32"/>
        <v>288.46153846153845</v>
      </c>
      <c r="G201" s="539"/>
      <c r="H201" s="535">
        <f t="shared" si="28"/>
        <v>0</v>
      </c>
      <c r="I201" s="537">
        <v>1.4999999999999999E-2</v>
      </c>
      <c r="J201" s="538">
        <f t="shared" si="29"/>
        <v>4.3269230769230766</v>
      </c>
      <c r="K201" s="539">
        <v>1E-3</v>
      </c>
      <c r="L201" s="738">
        <f t="shared" si="30"/>
        <v>0.28846153846153844</v>
      </c>
      <c r="M201" s="541">
        <f t="shared" si="31"/>
        <v>4.615384615384615</v>
      </c>
    </row>
    <row r="202" spans="1:13" ht="19.149999999999999" customHeight="1">
      <c r="A202" s="533">
        <v>7</v>
      </c>
      <c r="B202" s="534" t="s">
        <v>208</v>
      </c>
      <c r="C202" s="533" t="s">
        <v>202</v>
      </c>
      <c r="D202" s="533">
        <v>12</v>
      </c>
      <c r="E202" s="535">
        <f>'Bang gia'!E12</f>
        <v>48000</v>
      </c>
      <c r="F202" s="535">
        <f t="shared" si="32"/>
        <v>153.84615384615384</v>
      </c>
      <c r="G202" s="539"/>
      <c r="H202" s="737">
        <f t="shared" si="28"/>
        <v>0</v>
      </c>
      <c r="I202" s="537">
        <v>4.0000000000000001E-3</v>
      </c>
      <c r="J202" s="538">
        <f t="shared" si="29"/>
        <v>0.61538461538461542</v>
      </c>
      <c r="K202" s="539">
        <v>1E-3</v>
      </c>
      <c r="L202" s="738">
        <f t="shared" si="30"/>
        <v>0.15384615384615385</v>
      </c>
      <c r="M202" s="749">
        <f t="shared" si="31"/>
        <v>0.76923076923076927</v>
      </c>
    </row>
    <row r="203" spans="1:13" ht="19.149999999999999" customHeight="1">
      <c r="A203" s="533">
        <v>8</v>
      </c>
      <c r="B203" s="534" t="s">
        <v>209</v>
      </c>
      <c r="C203" s="533" t="s">
        <v>202</v>
      </c>
      <c r="D203" s="533">
        <v>12</v>
      </c>
      <c r="E203" s="535">
        <f>'Bang gia'!E13</f>
        <v>25000</v>
      </c>
      <c r="F203" s="535">
        <f t="shared" si="32"/>
        <v>80.128205128205124</v>
      </c>
      <c r="G203" s="539"/>
      <c r="H203" s="535">
        <f t="shared" si="28"/>
        <v>0</v>
      </c>
      <c r="I203" s="537">
        <v>1.7000000000000001E-2</v>
      </c>
      <c r="J203" s="538">
        <f t="shared" si="29"/>
        <v>1.3621794871794872</v>
      </c>
      <c r="K203" s="539">
        <v>2E-3</v>
      </c>
      <c r="L203" s="738">
        <f>F203*K203</f>
        <v>0.16025641025641024</v>
      </c>
      <c r="M203" s="541">
        <f t="shared" si="31"/>
        <v>1.5224358974358974</v>
      </c>
    </row>
    <row r="204" spans="1:13" ht="19.149999999999999" customHeight="1">
      <c r="A204" s="533">
        <v>9</v>
      </c>
      <c r="B204" s="534" t="s">
        <v>210</v>
      </c>
      <c r="C204" s="533" t="s">
        <v>202</v>
      </c>
      <c r="D204" s="533">
        <v>12</v>
      </c>
      <c r="E204" s="535">
        <f>'Bang gia'!E14</f>
        <v>35000</v>
      </c>
      <c r="F204" s="535">
        <f t="shared" si="32"/>
        <v>112.17948717948718</v>
      </c>
      <c r="G204" s="539"/>
      <c r="H204" s="535">
        <f t="shared" si="28"/>
        <v>0</v>
      </c>
      <c r="I204" s="537">
        <v>0.05</v>
      </c>
      <c r="J204" s="538">
        <f t="shared" si="29"/>
        <v>5.6089743589743595</v>
      </c>
      <c r="K204" s="539">
        <v>1E-3</v>
      </c>
      <c r="L204" s="738">
        <f>F204*K204</f>
        <v>0.11217948717948718</v>
      </c>
      <c r="M204" s="749">
        <f t="shared" si="31"/>
        <v>5.7211538461538467</v>
      </c>
    </row>
    <row r="205" spans="1:13" ht="19.149999999999999" customHeight="1">
      <c r="A205" s="533">
        <v>10</v>
      </c>
      <c r="B205" s="534" t="s">
        <v>211</v>
      </c>
      <c r="C205" s="533" t="s">
        <v>202</v>
      </c>
      <c r="D205" s="533">
        <v>9</v>
      </c>
      <c r="E205" s="535">
        <f>'Bang gia'!E15</f>
        <v>15000</v>
      </c>
      <c r="F205" s="535">
        <f t="shared" si="32"/>
        <v>64.102564102564102</v>
      </c>
      <c r="G205" s="539"/>
      <c r="H205" s="535">
        <f t="shared" si="28"/>
        <v>0</v>
      </c>
      <c r="I205" s="537">
        <v>2.4E-2</v>
      </c>
      <c r="J205" s="538">
        <f t="shared" si="29"/>
        <v>1.5384615384615385</v>
      </c>
      <c r="K205" s="539">
        <v>1E-3</v>
      </c>
      <c r="L205" s="738">
        <f>F205*K205</f>
        <v>6.4102564102564097E-2</v>
      </c>
      <c r="M205" s="749">
        <f t="shared" si="31"/>
        <v>1.6025641025641026</v>
      </c>
    </row>
    <row r="206" spans="1:13" ht="19.149999999999999" customHeight="1">
      <c r="A206" s="533">
        <v>11</v>
      </c>
      <c r="B206" s="534" t="s">
        <v>544</v>
      </c>
      <c r="C206" s="533" t="s">
        <v>202</v>
      </c>
      <c r="D206" s="533">
        <v>12</v>
      </c>
      <c r="E206" s="535">
        <f>'Bang gia'!E16</f>
        <v>100000</v>
      </c>
      <c r="F206" s="535">
        <f t="shared" si="32"/>
        <v>320.5128205128205</v>
      </c>
      <c r="G206" s="539"/>
      <c r="H206" s="535">
        <f t="shared" si="28"/>
        <v>0</v>
      </c>
      <c r="I206" s="537">
        <v>1.4990000000000001</v>
      </c>
      <c r="J206" s="538">
        <f t="shared" si="29"/>
        <v>480.44871794871796</v>
      </c>
      <c r="K206" s="539">
        <v>0.17899999999999999</v>
      </c>
      <c r="L206" s="540">
        <f>F206*K206</f>
        <v>57.371794871794869</v>
      </c>
      <c r="M206" s="541">
        <f t="shared" si="31"/>
        <v>537.82051282051282</v>
      </c>
    </row>
    <row r="207" spans="1:13" ht="19.149999999999999" customHeight="1">
      <c r="A207" s="533">
        <v>12</v>
      </c>
      <c r="B207" s="534" t="s">
        <v>213</v>
      </c>
      <c r="C207" s="533" t="s">
        <v>381</v>
      </c>
      <c r="D207" s="533">
        <v>6</v>
      </c>
      <c r="E207" s="535">
        <f>'Bang gia'!E17</f>
        <v>18000</v>
      </c>
      <c r="F207" s="535">
        <f t="shared" si="32"/>
        <v>115.38461538461539</v>
      </c>
      <c r="G207" s="539"/>
      <c r="H207" s="535">
        <f t="shared" si="28"/>
        <v>0</v>
      </c>
      <c r="I207" s="537">
        <v>1.4990000000000001</v>
      </c>
      <c r="J207" s="538">
        <f t="shared" si="29"/>
        <v>172.96153846153848</v>
      </c>
      <c r="K207" s="539">
        <v>0.17899999999999999</v>
      </c>
      <c r="L207" s="540">
        <f>F207*K207</f>
        <v>20.653846153846153</v>
      </c>
      <c r="M207" s="541">
        <f t="shared" si="31"/>
        <v>193.61538461538464</v>
      </c>
    </row>
    <row r="208" spans="1:13" ht="19.149999999999999" customHeight="1">
      <c r="A208" s="533">
        <v>13</v>
      </c>
      <c r="B208" s="690" t="s">
        <v>382</v>
      </c>
      <c r="C208" s="533" t="s">
        <v>202</v>
      </c>
      <c r="D208" s="533">
        <v>12</v>
      </c>
      <c r="E208" s="643">
        <f>'Bang gia'!E18</f>
        <v>25000</v>
      </c>
      <c r="F208" s="535">
        <f t="shared" si="32"/>
        <v>80.128205128205124</v>
      </c>
      <c r="G208" s="638"/>
      <c r="H208" s="535">
        <f t="shared" si="28"/>
        <v>0</v>
      </c>
      <c r="I208" s="639">
        <v>4.9000000000000002E-2</v>
      </c>
      <c r="J208" s="538">
        <f t="shared" si="29"/>
        <v>3.9262820512820511</v>
      </c>
      <c r="K208" s="638"/>
      <c r="L208" s="540"/>
      <c r="M208" s="541">
        <f t="shared" si="31"/>
        <v>3.9262820512820511</v>
      </c>
    </row>
    <row r="209" spans="1:17" ht="19.149999999999999" customHeight="1">
      <c r="A209" s="533">
        <v>14</v>
      </c>
      <c r="B209" s="690" t="s">
        <v>383</v>
      </c>
      <c r="C209" s="533" t="s">
        <v>202</v>
      </c>
      <c r="D209" s="533">
        <v>36</v>
      </c>
      <c r="E209" s="643">
        <f>'Bang gia'!E19</f>
        <v>870000</v>
      </c>
      <c r="F209" s="535">
        <f t="shared" si="32"/>
        <v>929.48717948717945</v>
      </c>
      <c r="G209" s="638"/>
      <c r="H209" s="535">
        <f t="shared" si="28"/>
        <v>0</v>
      </c>
      <c r="I209" s="639">
        <v>0.70499999999999996</v>
      </c>
      <c r="J209" s="538">
        <f t="shared" si="29"/>
        <v>655.28846153846143</v>
      </c>
      <c r="K209" s="638">
        <v>0.125</v>
      </c>
      <c r="L209" s="540">
        <f>F209*K209</f>
        <v>116.18589743589743</v>
      </c>
      <c r="M209" s="541">
        <f t="shared" si="31"/>
        <v>771.47435897435889</v>
      </c>
    </row>
    <row r="210" spans="1:17" ht="19.149999999999999" customHeight="1">
      <c r="A210" s="533">
        <v>15</v>
      </c>
      <c r="B210" s="690" t="s">
        <v>384</v>
      </c>
      <c r="C210" s="641" t="s">
        <v>385</v>
      </c>
      <c r="D210" s="641">
        <v>30</v>
      </c>
      <c r="E210" s="643">
        <f>'Bang gia'!E20</f>
        <v>65000</v>
      </c>
      <c r="F210" s="535">
        <f t="shared" si="32"/>
        <v>83.333333333333329</v>
      </c>
      <c r="G210" s="638"/>
      <c r="H210" s="535">
        <f t="shared" si="28"/>
        <v>0</v>
      </c>
      <c r="I210" s="639">
        <v>1.4990000000000001</v>
      </c>
      <c r="J210" s="538">
        <f t="shared" si="29"/>
        <v>124.91666666666667</v>
      </c>
      <c r="K210" s="638">
        <v>0.17899999999999999</v>
      </c>
      <c r="L210" s="540">
        <f>F210*K210</f>
        <v>14.916666666666666</v>
      </c>
      <c r="M210" s="541">
        <f t="shared" si="31"/>
        <v>139.83333333333334</v>
      </c>
    </row>
    <row r="211" spans="1:17" ht="19.149999999999999" customHeight="1">
      <c r="A211" s="641">
        <v>16</v>
      </c>
      <c r="B211" s="690" t="s">
        <v>386</v>
      </c>
      <c r="C211" s="641" t="s">
        <v>740</v>
      </c>
      <c r="D211" s="641"/>
      <c r="E211" s="643">
        <f>'Bang gia'!E21</f>
        <v>1554</v>
      </c>
      <c r="F211" s="643">
        <f>E211</f>
        <v>1554</v>
      </c>
      <c r="G211" s="638"/>
      <c r="H211" s="643">
        <f t="shared" si="28"/>
        <v>0</v>
      </c>
      <c r="I211" s="639">
        <v>1.044</v>
      </c>
      <c r="J211" s="644">
        <f t="shared" si="29"/>
        <v>1622.376</v>
      </c>
      <c r="K211" s="638">
        <v>0.158</v>
      </c>
      <c r="L211" s="645">
        <f>F211*K211</f>
        <v>245.53200000000001</v>
      </c>
      <c r="M211" s="646">
        <f t="shared" si="31"/>
        <v>1867.9079999999999</v>
      </c>
    </row>
    <row r="212" spans="1:17" ht="19.149999999999999" customHeight="1">
      <c r="A212" s="652"/>
      <c r="B212" s="652" t="s">
        <v>545</v>
      </c>
      <c r="C212" s="652"/>
      <c r="D212" s="652"/>
      <c r="E212" s="577"/>
      <c r="F212" s="577"/>
      <c r="G212" s="576"/>
      <c r="H212" s="577">
        <f>SUM(H196:H211)</f>
        <v>0</v>
      </c>
      <c r="I212" s="654"/>
      <c r="J212" s="655">
        <f>SUM(J196:J211)</f>
        <v>4932.07538568376</v>
      </c>
      <c r="K212" s="576"/>
      <c r="L212" s="546">
        <f>SUM(L196:L211)</f>
        <v>746.505424145299</v>
      </c>
      <c r="M212" s="546">
        <f t="shared" si="31"/>
        <v>5678.580809829059</v>
      </c>
    </row>
    <row r="213" spans="1:17" ht="18" customHeight="1">
      <c r="A213" s="652"/>
      <c r="B213" s="652" t="s">
        <v>758</v>
      </c>
      <c r="C213" s="652"/>
      <c r="D213" s="652"/>
      <c r="E213" s="577"/>
      <c r="F213" s="577"/>
      <c r="G213" s="576"/>
      <c r="H213" s="577">
        <f>(H212-H211)*5%</f>
        <v>0</v>
      </c>
      <c r="I213" s="577"/>
      <c r="J213" s="655">
        <f>(J212-J211)*5%</f>
        <v>165.484969284188</v>
      </c>
      <c r="K213" s="655"/>
      <c r="L213" s="655">
        <f>(L212-L211)*5%</f>
        <v>25.048671207264949</v>
      </c>
      <c r="M213" s="655">
        <f>(M212-M211)*5%</f>
        <v>190.53364049145296</v>
      </c>
    </row>
    <row r="214" spans="1:17" ht="18" customHeight="1">
      <c r="A214" s="657"/>
      <c r="B214" s="543" t="s">
        <v>546</v>
      </c>
      <c r="C214" s="657"/>
      <c r="D214" s="657"/>
      <c r="E214" s="739"/>
      <c r="F214" s="657"/>
      <c r="G214" s="657"/>
      <c r="H214" s="544">
        <f>H212+H213</f>
        <v>0</v>
      </c>
      <c r="I214" s="544"/>
      <c r="J214" s="655">
        <f>J212+J213</f>
        <v>5097.5603549679481</v>
      </c>
      <c r="K214" s="655"/>
      <c r="L214" s="655">
        <f>L212+L213</f>
        <v>771.55409535256399</v>
      </c>
      <c r="M214" s="655">
        <f>M212+M213</f>
        <v>5869.1144503205123</v>
      </c>
    </row>
    <row r="215" spans="1:17" ht="5.25" customHeight="1">
      <c r="A215" s="449"/>
      <c r="B215" s="733"/>
      <c r="C215" s="449"/>
      <c r="D215" s="449"/>
      <c r="E215" s="559"/>
      <c r="F215" s="449"/>
      <c r="G215" s="449"/>
      <c r="H215" s="557"/>
      <c r="I215" s="561"/>
      <c r="J215" s="734"/>
      <c r="K215" s="561"/>
      <c r="L215" s="734"/>
      <c r="M215" s="734"/>
    </row>
    <row r="216" spans="1:17">
      <c r="A216" s="698"/>
      <c r="B216" s="740" t="s">
        <v>554</v>
      </c>
      <c r="C216" s="698"/>
      <c r="D216" s="698"/>
      <c r="E216" s="699"/>
      <c r="F216" s="698"/>
      <c r="G216" s="741">
        <v>0.9</v>
      </c>
      <c r="H216" s="701">
        <f>H214*0.8</f>
        <v>0</v>
      </c>
      <c r="I216" s="741">
        <v>1</v>
      </c>
      <c r="J216" s="743">
        <f>J214</f>
        <v>5097.5603549679481</v>
      </c>
      <c r="K216" s="741">
        <v>1</v>
      </c>
      <c r="L216" s="743">
        <f>L214</f>
        <v>771.55409535256399</v>
      </c>
      <c r="M216" s="743">
        <f>H216+J216+L216</f>
        <v>5869.1144503205123</v>
      </c>
      <c r="O216" s="605">
        <f>J216/5000</f>
        <v>1.0195120709935896</v>
      </c>
      <c r="P216" s="605"/>
      <c r="Q216" s="750">
        <f>L216/5000</f>
        <v>0.15431081907051281</v>
      </c>
    </row>
    <row r="217" spans="1:17">
      <c r="A217" s="704"/>
      <c r="B217" s="744" t="s">
        <v>555</v>
      </c>
      <c r="C217" s="704"/>
      <c r="D217" s="704"/>
      <c r="E217" s="705"/>
      <c r="F217" s="704"/>
      <c r="G217" s="745">
        <v>1</v>
      </c>
      <c r="H217" s="707">
        <f>H214*0.9</f>
        <v>0</v>
      </c>
      <c r="I217" s="745">
        <v>1</v>
      </c>
      <c r="J217" s="746">
        <f>J214</f>
        <v>5097.5603549679481</v>
      </c>
      <c r="K217" s="745">
        <v>1</v>
      </c>
      <c r="L217" s="746">
        <f>L214</f>
        <v>771.55409535256399</v>
      </c>
      <c r="M217" s="746">
        <f>H217+J217+L217</f>
        <v>5869.1144503205123</v>
      </c>
    </row>
    <row r="218" spans="1:17">
      <c r="A218" s="751"/>
      <c r="B218" s="744" t="s">
        <v>31</v>
      </c>
      <c r="C218" s="751"/>
      <c r="D218" s="751"/>
      <c r="E218" s="752"/>
      <c r="F218" s="751"/>
      <c r="G218" s="753">
        <v>1.1000000000000001</v>
      </c>
      <c r="H218" s="754"/>
      <c r="I218" s="745">
        <v>1</v>
      </c>
      <c r="J218" s="755">
        <f>J214</f>
        <v>5097.5603549679481</v>
      </c>
      <c r="K218" s="745">
        <v>1</v>
      </c>
      <c r="L218" s="755">
        <f>L217</f>
        <v>771.55409535256399</v>
      </c>
      <c r="M218" s="746">
        <f>H218+J218+L218</f>
        <v>5869.1144503205123</v>
      </c>
    </row>
    <row r="219" spans="1:17">
      <c r="A219" s="711"/>
      <c r="B219" s="747" t="s">
        <v>32</v>
      </c>
      <c r="C219" s="711"/>
      <c r="D219" s="711"/>
      <c r="E219" s="712"/>
      <c r="F219" s="711"/>
      <c r="G219" s="742">
        <v>1.2</v>
      </c>
      <c r="H219" s="714">
        <f>H214</f>
        <v>0</v>
      </c>
      <c r="I219" s="742">
        <v>1</v>
      </c>
      <c r="J219" s="748">
        <f>J214</f>
        <v>5097.5603549679481</v>
      </c>
      <c r="K219" s="742">
        <v>1</v>
      </c>
      <c r="L219" s="748">
        <f>L214</f>
        <v>771.55409535256399</v>
      </c>
      <c r="M219" s="748">
        <f>H219+J219+L219</f>
        <v>5869.1144503205123</v>
      </c>
    </row>
    <row r="220" spans="1:17" ht="9.75" customHeight="1">
      <c r="A220" s="409"/>
      <c r="B220" s="409"/>
      <c r="C220" s="409"/>
    </row>
    <row r="221" spans="1:17">
      <c r="A221" s="449"/>
      <c r="B221" s="554" t="s">
        <v>550</v>
      </c>
      <c r="C221" s="449"/>
      <c r="D221" s="449"/>
      <c r="E221" s="559"/>
      <c r="F221" s="449"/>
      <c r="G221" s="449"/>
      <c r="H221" s="557"/>
      <c r="I221" s="561"/>
      <c r="J221" s="734"/>
      <c r="K221" s="561"/>
      <c r="L221" s="734"/>
      <c r="M221" s="734"/>
    </row>
    <row r="222" spans="1:17" ht="41.45" customHeight="1">
      <c r="A222" s="449"/>
      <c r="B222" s="1223" t="s">
        <v>158</v>
      </c>
      <c r="C222" s="1224"/>
      <c r="D222" s="1224"/>
      <c r="E222" s="1224"/>
      <c r="F222" s="1224"/>
      <c r="G222" s="1224"/>
      <c r="H222" s="1224"/>
      <c r="I222" s="1224"/>
      <c r="J222" s="1224"/>
      <c r="K222" s="1224"/>
      <c r="L222" s="1224"/>
      <c r="M222" s="1224"/>
    </row>
    <row r="223" spans="1:17" ht="24.6" customHeight="1">
      <c r="A223" s="449"/>
      <c r="B223" s="1217" t="s">
        <v>159</v>
      </c>
      <c r="C223" s="1217"/>
      <c r="D223" s="1217"/>
      <c r="E223" s="1217"/>
      <c r="F223" s="1217"/>
      <c r="G223" s="1217"/>
      <c r="H223" s="1217"/>
      <c r="I223" s="1217"/>
      <c r="J223" s="1217"/>
      <c r="K223" s="1217"/>
      <c r="L223" s="1217"/>
      <c r="M223" s="1217"/>
    </row>
    <row r="224" spans="1:17" ht="28.9" customHeight="1">
      <c r="A224" s="449"/>
      <c r="B224" s="1217" t="s">
        <v>160</v>
      </c>
      <c r="C224" s="1217"/>
      <c r="D224" s="1217"/>
      <c r="E224" s="1217"/>
      <c r="F224" s="1217"/>
      <c r="G224" s="1217"/>
      <c r="H224" s="1217"/>
      <c r="I224" s="1217"/>
      <c r="J224" s="1217"/>
      <c r="K224" s="1217"/>
      <c r="L224" s="1217"/>
      <c r="M224" s="1217"/>
    </row>
    <row r="225" spans="1:13" ht="34.15" customHeight="1">
      <c r="A225" s="449"/>
      <c r="B225" s="1217" t="s">
        <v>161</v>
      </c>
      <c r="C225" s="1217"/>
      <c r="D225" s="1217"/>
      <c r="E225" s="1217"/>
      <c r="F225" s="1217"/>
      <c r="G225" s="1217"/>
      <c r="H225" s="1217"/>
      <c r="I225" s="1217"/>
      <c r="J225" s="1217"/>
      <c r="K225" s="1217"/>
      <c r="L225" s="1217"/>
      <c r="M225" s="1217"/>
    </row>
    <row r="226" spans="1:13" ht="28.9" customHeight="1">
      <c r="A226" s="449"/>
      <c r="B226" s="1217" t="s">
        <v>162</v>
      </c>
      <c r="C226" s="1217"/>
      <c r="D226" s="1217"/>
      <c r="E226" s="1217"/>
      <c r="F226" s="1217"/>
      <c r="G226" s="1217"/>
      <c r="H226" s="1217"/>
      <c r="I226" s="1217"/>
      <c r="J226" s="1217"/>
      <c r="K226" s="1217"/>
      <c r="L226" s="1217"/>
      <c r="M226" s="1217"/>
    </row>
    <row r="227" spans="1:13">
      <c r="A227" s="449"/>
      <c r="B227" s="560"/>
      <c r="C227" s="449"/>
      <c r="D227" s="449"/>
      <c r="E227" s="559"/>
      <c r="F227" s="449"/>
      <c r="G227" s="449"/>
      <c r="H227" s="557"/>
      <c r="I227" s="561"/>
      <c r="J227" s="734"/>
      <c r="K227" s="561"/>
      <c r="L227" s="734"/>
      <c r="M227" s="734"/>
    </row>
    <row r="228" spans="1:13" ht="37.5" customHeight="1">
      <c r="A228" s="1177" t="s">
        <v>176</v>
      </c>
      <c r="B228" s="1177"/>
      <c r="C228" s="1177"/>
      <c r="D228" s="1177"/>
      <c r="E228" s="1177"/>
      <c r="F228" s="1177"/>
      <c r="G228" s="1177"/>
      <c r="H228" s="1177"/>
      <c r="I228" s="1177"/>
      <c r="J228" s="1177"/>
      <c r="K228" s="1177"/>
      <c r="L228" s="1177"/>
      <c r="M228" s="1177"/>
    </row>
    <row r="229" spans="1:13" ht="6.75" customHeight="1">
      <c r="A229" s="529"/>
      <c r="B229" s="529"/>
      <c r="C229" s="530"/>
      <c r="D229" s="530"/>
      <c r="E229" s="567"/>
      <c r="F229" s="531"/>
      <c r="G229" s="529"/>
      <c r="H229" s="529"/>
      <c r="I229" s="529"/>
      <c r="J229" s="529"/>
      <c r="K229" s="532"/>
      <c r="L229" s="532"/>
    </row>
    <row r="230" spans="1:13" ht="23.25" customHeight="1">
      <c r="A230" s="1203" t="s">
        <v>724</v>
      </c>
      <c r="B230" s="1203" t="s">
        <v>534</v>
      </c>
      <c r="C230" s="1203" t="s">
        <v>535</v>
      </c>
      <c r="D230" s="1206" t="s">
        <v>536</v>
      </c>
      <c r="E230" s="1203" t="s">
        <v>537</v>
      </c>
      <c r="F230" s="1203" t="s">
        <v>538</v>
      </c>
      <c r="G230" s="1212" t="s">
        <v>539</v>
      </c>
      <c r="H230" s="1214"/>
      <c r="I230" s="1214"/>
      <c r="J230" s="1214"/>
      <c r="K230" s="1214"/>
      <c r="L230" s="1213"/>
      <c r="M230" s="1203" t="s">
        <v>226</v>
      </c>
    </row>
    <row r="231" spans="1:13" ht="41.25" customHeight="1">
      <c r="A231" s="1204"/>
      <c r="B231" s="1204"/>
      <c r="C231" s="1204"/>
      <c r="D231" s="1207"/>
      <c r="E231" s="1204"/>
      <c r="F231" s="1204"/>
      <c r="G231" s="1212" t="s">
        <v>540</v>
      </c>
      <c r="H231" s="1213"/>
      <c r="I231" s="1212" t="s">
        <v>541</v>
      </c>
      <c r="J231" s="1213"/>
      <c r="K231" s="1212" t="s">
        <v>542</v>
      </c>
      <c r="L231" s="1213"/>
      <c r="M231" s="1204"/>
    </row>
    <row r="232" spans="1:13" ht="19.5" customHeight="1">
      <c r="A232" s="1205"/>
      <c r="B232" s="1205"/>
      <c r="C232" s="1205"/>
      <c r="D232" s="1208"/>
      <c r="E232" s="1205"/>
      <c r="F232" s="1205"/>
      <c r="G232" s="423" t="s">
        <v>739</v>
      </c>
      <c r="H232" s="423" t="s">
        <v>268</v>
      </c>
      <c r="I232" s="423" t="s">
        <v>739</v>
      </c>
      <c r="J232" s="423" t="s">
        <v>268</v>
      </c>
      <c r="K232" s="423" t="s">
        <v>739</v>
      </c>
      <c r="L232" s="423" t="s">
        <v>268</v>
      </c>
      <c r="M232" s="1205"/>
    </row>
    <row r="233" spans="1:13" ht="22.15" customHeight="1">
      <c r="A233" s="578">
        <v>1</v>
      </c>
      <c r="B233" s="579" t="s">
        <v>201</v>
      </c>
      <c r="C233" s="578" t="s">
        <v>202</v>
      </c>
      <c r="D233" s="578">
        <v>36</v>
      </c>
      <c r="E233" s="580">
        <f>'Bang gia'!E6</f>
        <v>230000</v>
      </c>
      <c r="F233" s="535">
        <f>E233/(D233*26)</f>
        <v>245.72649572649573</v>
      </c>
      <c r="G233" s="581">
        <v>1.7999999999999999E-2</v>
      </c>
      <c r="H233" s="580">
        <f t="shared" ref="H233:H248" si="33">F233*G233</f>
        <v>4.4230769230769225</v>
      </c>
      <c r="I233" s="581">
        <v>1.8480000000000001</v>
      </c>
      <c r="J233" s="582">
        <f t="shared" ref="J233:J248" si="34">F233*I233</f>
        <v>454.10256410256414</v>
      </c>
      <c r="K233" s="581"/>
      <c r="L233" s="583"/>
      <c r="M233" s="582">
        <f t="shared" ref="M233:M249" si="35">H233+J233+L233</f>
        <v>458.52564102564105</v>
      </c>
    </row>
    <row r="234" spans="1:13" ht="22.15" customHeight="1">
      <c r="A234" s="533">
        <v>2</v>
      </c>
      <c r="B234" s="585" t="s">
        <v>203</v>
      </c>
      <c r="C234" s="533" t="s">
        <v>202</v>
      </c>
      <c r="D234" s="533">
        <v>96</v>
      </c>
      <c r="E234" s="535">
        <f>'Bang gia'!E7</f>
        <v>360000</v>
      </c>
      <c r="F234" s="535">
        <f>E234/(D234*26)</f>
        <v>144.23076923076923</v>
      </c>
      <c r="G234" s="581">
        <v>1.7999999999999999E-2</v>
      </c>
      <c r="H234" s="535">
        <f t="shared" si="33"/>
        <v>2.5961538461538458</v>
      </c>
      <c r="I234" s="537">
        <v>2.448</v>
      </c>
      <c r="J234" s="538">
        <f t="shared" si="34"/>
        <v>353.07692307692304</v>
      </c>
      <c r="K234" s="539"/>
      <c r="L234" s="540"/>
      <c r="M234" s="541">
        <f t="shared" si="35"/>
        <v>355.67307692307691</v>
      </c>
    </row>
    <row r="235" spans="1:13" ht="22.15" customHeight="1">
      <c r="A235" s="533">
        <v>3</v>
      </c>
      <c r="B235" s="534" t="s">
        <v>204</v>
      </c>
      <c r="C235" s="533" t="s">
        <v>202</v>
      </c>
      <c r="D235" s="533">
        <v>96</v>
      </c>
      <c r="E235" s="535">
        <f>'Bang gia'!E8</f>
        <v>754000</v>
      </c>
      <c r="F235" s="535">
        <f>E235/(D235*26)</f>
        <v>302.08333333333331</v>
      </c>
      <c r="G235" s="581">
        <v>1.7999999999999999E-2</v>
      </c>
      <c r="H235" s="535">
        <f t="shared" si="33"/>
        <v>5.4374999999999991</v>
      </c>
      <c r="I235" s="537">
        <v>2.448</v>
      </c>
      <c r="J235" s="538">
        <f t="shared" si="34"/>
        <v>739.49999999999989</v>
      </c>
      <c r="K235" s="539"/>
      <c r="L235" s="540"/>
      <c r="M235" s="541">
        <f t="shared" si="35"/>
        <v>744.93749999999989</v>
      </c>
    </row>
    <row r="236" spans="1:13" ht="22.15" customHeight="1">
      <c r="A236" s="533">
        <v>4</v>
      </c>
      <c r="B236" s="534" t="s">
        <v>205</v>
      </c>
      <c r="C236" s="533" t="s">
        <v>202</v>
      </c>
      <c r="D236" s="533">
        <v>96</v>
      </c>
      <c r="E236" s="535">
        <f>'Bang gia'!E9</f>
        <v>2331000</v>
      </c>
      <c r="F236" s="535">
        <f t="shared" ref="F236:F247" si="36">E236/(D236*26)</f>
        <v>933.89423076923072</v>
      </c>
      <c r="G236" s="581">
        <v>1.7999999999999999E-2</v>
      </c>
      <c r="H236" s="535">
        <f t="shared" si="33"/>
        <v>16.810096153846153</v>
      </c>
      <c r="I236" s="581">
        <v>1.8480000000000001</v>
      </c>
      <c r="J236" s="538">
        <f t="shared" si="34"/>
        <v>1725.8365384615383</v>
      </c>
      <c r="K236" s="539"/>
      <c r="L236" s="540"/>
      <c r="M236" s="541">
        <f t="shared" si="35"/>
        <v>1742.6466346153845</v>
      </c>
    </row>
    <row r="237" spans="1:13" ht="22.15" customHeight="1">
      <c r="A237" s="533">
        <v>5</v>
      </c>
      <c r="B237" s="534" t="s">
        <v>206</v>
      </c>
      <c r="C237" s="533" t="s">
        <v>202</v>
      </c>
      <c r="D237" s="533">
        <v>24</v>
      </c>
      <c r="E237" s="535">
        <f>'Bang gia'!E10</f>
        <v>15000</v>
      </c>
      <c r="F237" s="535">
        <f t="shared" si="36"/>
        <v>24.03846153846154</v>
      </c>
      <c r="G237" s="539"/>
      <c r="H237" s="756">
        <f t="shared" si="33"/>
        <v>0</v>
      </c>
      <c r="I237" s="537">
        <v>0.22700000000000001</v>
      </c>
      <c r="J237" s="538">
        <f t="shared" si="34"/>
        <v>5.4567307692307701</v>
      </c>
      <c r="K237" s="539"/>
      <c r="L237" s="540"/>
      <c r="M237" s="541">
        <f t="shared" si="35"/>
        <v>5.4567307692307701</v>
      </c>
    </row>
    <row r="238" spans="1:13" ht="22.15" customHeight="1">
      <c r="A238" s="533">
        <v>6</v>
      </c>
      <c r="B238" s="534" t="s">
        <v>207</v>
      </c>
      <c r="C238" s="533" t="s">
        <v>202</v>
      </c>
      <c r="D238" s="533">
        <v>36</v>
      </c>
      <c r="E238" s="535">
        <f>'Bang gia'!E11</f>
        <v>270000</v>
      </c>
      <c r="F238" s="535">
        <f t="shared" si="36"/>
        <v>288.46153846153845</v>
      </c>
      <c r="G238" s="539"/>
      <c r="H238" s="756">
        <f t="shared" si="33"/>
        <v>0</v>
      </c>
      <c r="I238" s="537">
        <v>4.3999999999999997E-2</v>
      </c>
      <c r="J238" s="538">
        <f t="shared" si="34"/>
        <v>12.692307692307692</v>
      </c>
      <c r="K238" s="539"/>
      <c r="L238" s="540"/>
      <c r="M238" s="541">
        <f t="shared" si="35"/>
        <v>12.692307692307692</v>
      </c>
    </row>
    <row r="239" spans="1:13" ht="22.15" customHeight="1">
      <c r="A239" s="533">
        <v>7</v>
      </c>
      <c r="B239" s="534" t="s">
        <v>208</v>
      </c>
      <c r="C239" s="533" t="s">
        <v>202</v>
      </c>
      <c r="D239" s="533">
        <v>12</v>
      </c>
      <c r="E239" s="535">
        <f>'Bang gia'!E12</f>
        <v>48000</v>
      </c>
      <c r="F239" s="535">
        <f t="shared" si="36"/>
        <v>153.84615384615384</v>
      </c>
      <c r="G239" s="539"/>
      <c r="H239" s="756"/>
      <c r="I239" s="537">
        <v>1.0999999999999999E-2</v>
      </c>
      <c r="J239" s="757">
        <f t="shared" si="34"/>
        <v>1.6923076923076921</v>
      </c>
      <c r="K239" s="539"/>
      <c r="L239" s="540"/>
      <c r="M239" s="749">
        <f t="shared" si="35"/>
        <v>1.6923076923076921</v>
      </c>
    </row>
    <row r="240" spans="1:13" ht="22.15" customHeight="1">
      <c r="A240" s="533">
        <v>8</v>
      </c>
      <c r="B240" s="534" t="s">
        <v>209</v>
      </c>
      <c r="C240" s="533" t="s">
        <v>202</v>
      </c>
      <c r="D240" s="533">
        <v>12</v>
      </c>
      <c r="E240" s="535">
        <f>'Bang gia'!E13</f>
        <v>25000</v>
      </c>
      <c r="F240" s="535">
        <f t="shared" si="36"/>
        <v>80.128205128205124</v>
      </c>
      <c r="G240" s="539"/>
      <c r="H240" s="756">
        <f t="shared" si="33"/>
        <v>0</v>
      </c>
      <c r="I240" s="537">
        <v>0.48</v>
      </c>
      <c r="J240" s="538">
        <f t="shared" si="34"/>
        <v>38.46153846153846</v>
      </c>
      <c r="K240" s="539"/>
      <c r="L240" s="540"/>
      <c r="M240" s="541">
        <f t="shared" si="35"/>
        <v>38.46153846153846</v>
      </c>
    </row>
    <row r="241" spans="1:19" ht="22.15" customHeight="1">
      <c r="A241" s="533">
        <v>9</v>
      </c>
      <c r="B241" s="534" t="s">
        <v>210</v>
      </c>
      <c r="C241" s="533" t="s">
        <v>202</v>
      </c>
      <c r="D241" s="533">
        <v>12</v>
      </c>
      <c r="E241" s="535">
        <f>'Bang gia'!E14</f>
        <v>35000</v>
      </c>
      <c r="F241" s="535">
        <f t="shared" si="36"/>
        <v>112.17948717948718</v>
      </c>
      <c r="G241" s="539"/>
      <c r="H241" s="535"/>
      <c r="I241" s="537">
        <v>0.15</v>
      </c>
      <c r="J241" s="757">
        <f t="shared" si="34"/>
        <v>16.826923076923077</v>
      </c>
      <c r="K241" s="539"/>
      <c r="L241" s="540"/>
      <c r="M241" s="749">
        <f t="shared" si="35"/>
        <v>16.826923076923077</v>
      </c>
    </row>
    <row r="242" spans="1:19" ht="22.15" customHeight="1">
      <c r="A242" s="533">
        <v>10</v>
      </c>
      <c r="B242" s="534" t="s">
        <v>211</v>
      </c>
      <c r="C242" s="533" t="s">
        <v>202</v>
      </c>
      <c r="D242" s="533">
        <v>9</v>
      </c>
      <c r="E242" s="535">
        <f>'Bang gia'!E15</f>
        <v>15000</v>
      </c>
      <c r="F242" s="535">
        <f t="shared" si="36"/>
        <v>64.102564102564102</v>
      </c>
      <c r="G242" s="539"/>
      <c r="H242" s="535"/>
      <c r="I242" s="537">
        <v>7.1999999999999995E-2</v>
      </c>
      <c r="J242" s="757">
        <f t="shared" si="34"/>
        <v>4.615384615384615</v>
      </c>
      <c r="K242" s="539"/>
      <c r="L242" s="540"/>
      <c r="M242" s="749">
        <f t="shared" si="35"/>
        <v>4.615384615384615</v>
      </c>
    </row>
    <row r="243" spans="1:19" ht="22.15" customHeight="1">
      <c r="A243" s="533">
        <v>11</v>
      </c>
      <c r="B243" s="534" t="s">
        <v>544</v>
      </c>
      <c r="C243" s="533" t="s">
        <v>202</v>
      </c>
      <c r="D243" s="533">
        <v>12</v>
      </c>
      <c r="E243" s="535">
        <f>'Bang gia'!E16</f>
        <v>100000</v>
      </c>
      <c r="F243" s="535">
        <f t="shared" si="36"/>
        <v>320.5128205128205</v>
      </c>
      <c r="G243" s="581">
        <v>1.7999999999999999E-2</v>
      </c>
      <c r="H243" s="535">
        <f t="shared" si="33"/>
        <v>5.7692307692307683</v>
      </c>
      <c r="I243" s="537">
        <v>2.448</v>
      </c>
      <c r="J243" s="538">
        <f t="shared" si="34"/>
        <v>784.61538461538453</v>
      </c>
      <c r="K243" s="539"/>
      <c r="L243" s="540"/>
      <c r="M243" s="541">
        <f t="shared" si="35"/>
        <v>790.38461538461524</v>
      </c>
    </row>
    <row r="244" spans="1:19" ht="22.15" customHeight="1">
      <c r="A244" s="533">
        <v>12</v>
      </c>
      <c r="B244" s="534" t="s">
        <v>213</v>
      </c>
      <c r="C244" s="533" t="s">
        <v>381</v>
      </c>
      <c r="D244" s="533">
        <v>6</v>
      </c>
      <c r="E244" s="535">
        <f>'Bang gia'!E17</f>
        <v>18000</v>
      </c>
      <c r="F244" s="535">
        <f t="shared" si="36"/>
        <v>115.38461538461539</v>
      </c>
      <c r="G244" s="581">
        <v>1.7999999999999999E-2</v>
      </c>
      <c r="H244" s="535">
        <f t="shared" si="33"/>
        <v>2.0769230769230766</v>
      </c>
      <c r="I244" s="537">
        <v>2.448</v>
      </c>
      <c r="J244" s="538">
        <f t="shared" si="34"/>
        <v>282.46153846153845</v>
      </c>
      <c r="K244" s="539"/>
      <c r="L244" s="540"/>
      <c r="M244" s="541">
        <f t="shared" si="35"/>
        <v>284.53846153846155</v>
      </c>
    </row>
    <row r="245" spans="1:19" ht="22.15" customHeight="1">
      <c r="A245" s="533">
        <v>13</v>
      </c>
      <c r="B245" s="690" t="s">
        <v>382</v>
      </c>
      <c r="C245" s="533" t="s">
        <v>202</v>
      </c>
      <c r="D245" s="533">
        <v>12</v>
      </c>
      <c r="E245" s="643">
        <f>'Bang gia'!E18</f>
        <v>25000</v>
      </c>
      <c r="F245" s="535">
        <f t="shared" si="36"/>
        <v>80.128205128205124</v>
      </c>
      <c r="G245" s="638"/>
      <c r="H245" s="535"/>
      <c r="I245" s="639">
        <v>0.15</v>
      </c>
      <c r="J245" s="538">
        <f t="shared" si="34"/>
        <v>12.019230769230768</v>
      </c>
      <c r="K245" s="638"/>
      <c r="L245" s="540"/>
      <c r="M245" s="541">
        <f t="shared" si="35"/>
        <v>12.019230769230768</v>
      </c>
    </row>
    <row r="246" spans="1:19" ht="22.15" customHeight="1">
      <c r="A246" s="533">
        <v>14</v>
      </c>
      <c r="B246" s="690" t="s">
        <v>383</v>
      </c>
      <c r="C246" s="533" t="s">
        <v>202</v>
      </c>
      <c r="D246" s="533">
        <v>36</v>
      </c>
      <c r="E246" s="643">
        <f>'Bang gia'!E19</f>
        <v>870000</v>
      </c>
      <c r="F246" s="535">
        <f t="shared" si="36"/>
        <v>929.48717948717945</v>
      </c>
      <c r="G246" s="638">
        <v>8.9999999999999993E-3</v>
      </c>
      <c r="H246" s="535">
        <f t="shared" si="33"/>
        <v>8.365384615384615</v>
      </c>
      <c r="I246" s="639">
        <v>0.90200000000000002</v>
      </c>
      <c r="J246" s="538">
        <f t="shared" si="34"/>
        <v>838.39743589743591</v>
      </c>
      <c r="K246" s="638"/>
      <c r="L246" s="540"/>
      <c r="M246" s="541">
        <f t="shared" si="35"/>
        <v>846.76282051282055</v>
      </c>
    </row>
    <row r="247" spans="1:19" ht="22.15" customHeight="1">
      <c r="A247" s="533">
        <v>15</v>
      </c>
      <c r="B247" s="690" t="s">
        <v>384</v>
      </c>
      <c r="C247" s="641" t="s">
        <v>385</v>
      </c>
      <c r="D247" s="641">
        <v>30</v>
      </c>
      <c r="E247" s="643">
        <f>'Bang gia'!E20</f>
        <v>65000</v>
      </c>
      <c r="F247" s="535">
        <f t="shared" si="36"/>
        <v>83.333333333333329</v>
      </c>
      <c r="G247" s="638">
        <v>1.7999999999999999E-2</v>
      </c>
      <c r="H247" s="535">
        <f t="shared" si="33"/>
        <v>1.4999999999999998</v>
      </c>
      <c r="I247" s="639">
        <v>2.448</v>
      </c>
      <c r="J247" s="538">
        <f t="shared" si="34"/>
        <v>203.99999999999997</v>
      </c>
      <c r="K247" s="638"/>
      <c r="L247" s="540"/>
      <c r="M247" s="541">
        <f t="shared" si="35"/>
        <v>205.49999999999997</v>
      </c>
    </row>
    <row r="248" spans="1:19" ht="22.15" customHeight="1">
      <c r="A248" s="641">
        <v>16</v>
      </c>
      <c r="B248" s="690" t="s">
        <v>386</v>
      </c>
      <c r="C248" s="641" t="s">
        <v>740</v>
      </c>
      <c r="D248" s="641"/>
      <c r="E248" s="643">
        <f>'Bang gia'!E21</f>
        <v>1554</v>
      </c>
      <c r="F248" s="643">
        <f>E248</f>
        <v>1554</v>
      </c>
      <c r="G248" s="638">
        <v>1.4E-2</v>
      </c>
      <c r="H248" s="643">
        <f t="shared" si="33"/>
        <v>21.756</v>
      </c>
      <c r="I248" s="639">
        <v>1.5049999999999999</v>
      </c>
      <c r="J248" s="644">
        <f t="shared" si="34"/>
        <v>2338.77</v>
      </c>
      <c r="K248" s="638"/>
      <c r="L248" s="645"/>
      <c r="M248" s="646">
        <f t="shared" si="35"/>
        <v>2360.5259999999998</v>
      </c>
    </row>
    <row r="249" spans="1:19" ht="22.15" customHeight="1">
      <c r="A249" s="652"/>
      <c r="B249" s="652" t="s">
        <v>545</v>
      </c>
      <c r="C249" s="652"/>
      <c r="D249" s="652"/>
      <c r="E249" s="577"/>
      <c r="F249" s="577"/>
      <c r="G249" s="576"/>
      <c r="H249" s="577">
        <f>SUM(H233:H248)</f>
        <v>68.734365384615373</v>
      </c>
      <c r="I249" s="654"/>
      <c r="J249" s="655">
        <f>SUM(J233:J248)</f>
        <v>7812.5248076923071</v>
      </c>
      <c r="K249" s="576"/>
      <c r="L249" s="758">
        <f>SUM(L233:L248)</f>
        <v>0</v>
      </c>
      <c r="M249" s="546">
        <f t="shared" si="35"/>
        <v>7881.2591730769227</v>
      </c>
    </row>
    <row r="250" spans="1:19" ht="22.15" customHeight="1">
      <c r="A250" s="652"/>
      <c r="B250" s="652" t="s">
        <v>758</v>
      </c>
      <c r="C250" s="652"/>
      <c r="D250" s="652"/>
      <c r="E250" s="577"/>
      <c r="F250" s="577"/>
      <c r="G250" s="576"/>
      <c r="H250" s="577">
        <f>(H249-H248)*5%</f>
        <v>2.3489182692307686</v>
      </c>
      <c r="I250" s="577"/>
      <c r="J250" s="577">
        <f>(J249-J248)*5%</f>
        <v>273.68774038461532</v>
      </c>
      <c r="K250" s="655"/>
      <c r="L250" s="759">
        <f>(L249-L248)*5%</f>
        <v>0</v>
      </c>
      <c r="M250" s="577">
        <f>(M249-M248)*5%</f>
        <v>276.03665865384613</v>
      </c>
    </row>
    <row r="251" spans="1:19" ht="22.15" customHeight="1">
      <c r="A251" s="657"/>
      <c r="B251" s="543" t="s">
        <v>33</v>
      </c>
      <c r="C251" s="657"/>
      <c r="D251" s="657"/>
      <c r="E251" s="739"/>
      <c r="F251" s="657"/>
      <c r="G251" s="657"/>
      <c r="H251" s="544">
        <f>H249+H250</f>
        <v>71.083283653846138</v>
      </c>
      <c r="I251" s="544"/>
      <c r="J251" s="655">
        <f>J249+J250</f>
        <v>8086.2125480769228</v>
      </c>
      <c r="K251" s="655"/>
      <c r="L251" s="760">
        <f>L249+L250</f>
        <v>0</v>
      </c>
      <c r="M251" s="655">
        <f>M249+M250</f>
        <v>8157.2958317307684</v>
      </c>
      <c r="O251" s="592">
        <f>H251*1.3</f>
        <v>92.408268749999976</v>
      </c>
      <c r="P251" s="592"/>
      <c r="Q251" s="592">
        <f>J251*1.3</f>
        <v>10512.076312499999</v>
      </c>
      <c r="S251" s="409"/>
    </row>
    <row r="252" spans="1:19" ht="5.25" customHeight="1">
      <c r="A252" s="409"/>
      <c r="B252" s="409"/>
      <c r="C252" s="409"/>
    </row>
    <row r="253" spans="1:19" ht="15" customHeight="1">
      <c r="A253" s="449"/>
      <c r="B253" s="554" t="s">
        <v>550</v>
      </c>
      <c r="C253" s="449"/>
      <c r="D253" s="449"/>
      <c r="E253" s="559"/>
      <c r="F253" s="449"/>
      <c r="G253" s="449"/>
      <c r="H253" s="557"/>
      <c r="I253" s="561"/>
      <c r="J253" s="734"/>
      <c r="K253" s="561"/>
      <c r="L253" s="734"/>
      <c r="M253" s="734"/>
    </row>
    <row r="254" spans="1:19" ht="15.95" customHeight="1">
      <c r="A254" s="449"/>
      <c r="B254" s="558" t="s">
        <v>676</v>
      </c>
      <c r="C254" s="449"/>
      <c r="D254" s="449"/>
      <c r="E254" s="559"/>
      <c r="F254" s="449"/>
      <c r="G254" s="449"/>
      <c r="H254" s="557"/>
      <c r="I254" s="561"/>
      <c r="J254" s="734"/>
      <c r="K254" s="561"/>
      <c r="L254" s="734"/>
      <c r="M254" s="734"/>
    </row>
    <row r="255" spans="1:19" ht="27" customHeight="1">
      <c r="A255" s="449"/>
      <c r="B255" s="1217" t="s">
        <v>677</v>
      </c>
      <c r="C255" s="1217"/>
      <c r="D255" s="1217"/>
      <c r="E255" s="1217"/>
      <c r="F255" s="1217"/>
      <c r="G255" s="1217"/>
      <c r="H255" s="1217"/>
      <c r="I255" s="1217"/>
      <c r="J255" s="1217"/>
      <c r="K255" s="1217"/>
      <c r="L255" s="1217"/>
      <c r="M255" s="1217"/>
    </row>
    <row r="256" spans="1:19" ht="15.95" customHeight="1">
      <c r="A256" s="449"/>
      <c r="B256" s="761"/>
      <c r="C256" s="449"/>
      <c r="D256" s="449"/>
      <c r="E256" s="559"/>
      <c r="F256" s="449"/>
      <c r="G256" s="449"/>
      <c r="H256" s="557"/>
      <c r="I256" s="561"/>
      <c r="J256" s="734"/>
      <c r="K256" s="561"/>
      <c r="L256" s="734"/>
      <c r="M256" s="734"/>
    </row>
    <row r="257" spans="1:13" ht="37.5" customHeight="1">
      <c r="A257" s="1177" t="s">
        <v>177</v>
      </c>
      <c r="B257" s="1177"/>
      <c r="C257" s="1177"/>
      <c r="D257" s="1177"/>
      <c r="E257" s="1177"/>
      <c r="F257" s="1177"/>
      <c r="G257" s="1177"/>
      <c r="H257" s="1177"/>
      <c r="I257" s="1177"/>
      <c r="J257" s="1177"/>
      <c r="K257" s="1177"/>
      <c r="L257" s="1177"/>
      <c r="M257" s="1177"/>
    </row>
    <row r="258" spans="1:13" ht="6.75" customHeight="1">
      <c r="A258" s="529"/>
      <c r="B258" s="529"/>
      <c r="C258" s="530"/>
      <c r="D258" s="530"/>
      <c r="E258" s="567"/>
      <c r="F258" s="531"/>
      <c r="G258" s="529"/>
      <c r="H258" s="529"/>
      <c r="I258" s="529"/>
      <c r="J258" s="529"/>
      <c r="K258" s="532"/>
      <c r="L258" s="532"/>
    </row>
    <row r="259" spans="1:13" ht="23.25" customHeight="1">
      <c r="A259" s="1203" t="s">
        <v>724</v>
      </c>
      <c r="B259" s="1203" t="s">
        <v>534</v>
      </c>
      <c r="C259" s="1203" t="s">
        <v>535</v>
      </c>
      <c r="D259" s="1206" t="s">
        <v>536</v>
      </c>
      <c r="E259" s="1203" t="s">
        <v>537</v>
      </c>
      <c r="F259" s="1203" t="s">
        <v>538</v>
      </c>
      <c r="G259" s="1212" t="s">
        <v>539</v>
      </c>
      <c r="H259" s="1214"/>
      <c r="I259" s="1214"/>
      <c r="J259" s="1214"/>
      <c r="K259" s="1214"/>
      <c r="L259" s="1213"/>
      <c r="M259" s="1203" t="s">
        <v>226</v>
      </c>
    </row>
    <row r="260" spans="1:13" ht="41.25" customHeight="1">
      <c r="A260" s="1204"/>
      <c r="B260" s="1204"/>
      <c r="C260" s="1204"/>
      <c r="D260" s="1207"/>
      <c r="E260" s="1204"/>
      <c r="F260" s="1204"/>
      <c r="G260" s="1212" t="s">
        <v>540</v>
      </c>
      <c r="H260" s="1213"/>
      <c r="I260" s="1212" t="s">
        <v>541</v>
      </c>
      <c r="J260" s="1213"/>
      <c r="K260" s="1212" t="s">
        <v>542</v>
      </c>
      <c r="L260" s="1213"/>
      <c r="M260" s="1204"/>
    </row>
    <row r="261" spans="1:13" ht="18.75" customHeight="1">
      <c r="A261" s="1205"/>
      <c r="B261" s="1205"/>
      <c r="C261" s="1205"/>
      <c r="D261" s="1208"/>
      <c r="E261" s="1205"/>
      <c r="F261" s="1205"/>
      <c r="G261" s="423" t="s">
        <v>739</v>
      </c>
      <c r="H261" s="423" t="s">
        <v>268</v>
      </c>
      <c r="I261" s="423" t="s">
        <v>739</v>
      </c>
      <c r="J261" s="423" t="s">
        <v>268</v>
      </c>
      <c r="K261" s="423" t="s">
        <v>739</v>
      </c>
      <c r="L261" s="423" t="s">
        <v>268</v>
      </c>
      <c r="M261" s="1205"/>
    </row>
    <row r="262" spans="1:13" ht="21.6" customHeight="1">
      <c r="A262" s="578">
        <v>1</v>
      </c>
      <c r="B262" s="579" t="s">
        <v>201</v>
      </c>
      <c r="C262" s="578" t="s">
        <v>202</v>
      </c>
      <c r="D262" s="578">
        <v>36</v>
      </c>
      <c r="E262" s="580">
        <f t="shared" ref="E262:E277" si="37">E233</f>
        <v>230000</v>
      </c>
      <c r="F262" s="535">
        <f>E262/(D262*26)</f>
        <v>245.72649572649573</v>
      </c>
      <c r="G262" s="762">
        <v>2.4E-2</v>
      </c>
      <c r="H262" s="580">
        <f t="shared" ref="H262:H267" si="38">F262*G262</f>
        <v>5.8974358974358978</v>
      </c>
      <c r="I262" s="581"/>
      <c r="J262" s="582"/>
      <c r="K262" s="581">
        <v>2.464</v>
      </c>
      <c r="L262" s="583">
        <f>F262*K262</f>
        <v>605.47008547008545</v>
      </c>
      <c r="M262" s="582">
        <f t="shared" ref="M262:M278" si="39">H262+J262+L262</f>
        <v>611.36752136752136</v>
      </c>
    </row>
    <row r="263" spans="1:13" ht="21.6" customHeight="1">
      <c r="A263" s="533">
        <v>2</v>
      </c>
      <c r="B263" s="585" t="s">
        <v>203</v>
      </c>
      <c r="C263" s="533" t="s">
        <v>202</v>
      </c>
      <c r="D263" s="533">
        <v>96</v>
      </c>
      <c r="E263" s="535">
        <f t="shared" si="37"/>
        <v>360000</v>
      </c>
      <c r="F263" s="637">
        <f>E263/(D263*26)</f>
        <v>144.23076923076923</v>
      </c>
      <c r="G263" s="763">
        <v>2.4E-2</v>
      </c>
      <c r="H263" s="764">
        <f t="shared" si="38"/>
        <v>3.4615384615384617</v>
      </c>
      <c r="I263" s="537"/>
      <c r="J263" s="538"/>
      <c r="K263" s="537">
        <v>3.2639999999999998</v>
      </c>
      <c r="L263" s="540">
        <f>K263*F263</f>
        <v>470.76923076923072</v>
      </c>
      <c r="M263" s="541">
        <f t="shared" si="39"/>
        <v>474.23076923076917</v>
      </c>
    </row>
    <row r="264" spans="1:13" ht="21.6" customHeight="1">
      <c r="A264" s="533">
        <v>3</v>
      </c>
      <c r="B264" s="534" t="s">
        <v>204</v>
      </c>
      <c r="C264" s="533" t="s">
        <v>202</v>
      </c>
      <c r="D264" s="533">
        <v>96</v>
      </c>
      <c r="E264" s="535">
        <f t="shared" si="37"/>
        <v>754000</v>
      </c>
      <c r="F264" s="637">
        <f>E264/(D264*26)</f>
        <v>302.08333333333331</v>
      </c>
      <c r="G264" s="763">
        <v>2.4E-2</v>
      </c>
      <c r="H264" s="764">
        <f t="shared" si="38"/>
        <v>7.25</v>
      </c>
      <c r="I264" s="537"/>
      <c r="J264" s="538"/>
      <c r="K264" s="537">
        <v>2.2639999999999998</v>
      </c>
      <c r="L264" s="540">
        <f t="shared" ref="L264:L277" si="40">K264*F264</f>
        <v>683.91666666666652</v>
      </c>
      <c r="M264" s="541">
        <f t="shared" si="39"/>
        <v>691.16666666666652</v>
      </c>
    </row>
    <row r="265" spans="1:13" ht="21.6" customHeight="1">
      <c r="A265" s="533">
        <v>4</v>
      </c>
      <c r="B265" s="534" t="s">
        <v>205</v>
      </c>
      <c r="C265" s="533" t="s">
        <v>202</v>
      </c>
      <c r="D265" s="533">
        <v>96</v>
      </c>
      <c r="E265" s="535">
        <f t="shared" si="37"/>
        <v>2331000</v>
      </c>
      <c r="F265" s="535">
        <f t="shared" ref="F265:F276" si="41">E265/(D265*26)</f>
        <v>933.89423076923072</v>
      </c>
      <c r="G265" s="613">
        <v>2.4E-2</v>
      </c>
      <c r="H265" s="535">
        <f t="shared" si="38"/>
        <v>22.413461538461537</v>
      </c>
      <c r="I265" s="537"/>
      <c r="J265" s="538"/>
      <c r="K265" s="537">
        <v>2.464</v>
      </c>
      <c r="L265" s="540">
        <f t="shared" si="40"/>
        <v>2301.1153846153843</v>
      </c>
      <c r="M265" s="541">
        <f t="shared" si="39"/>
        <v>2323.5288461538457</v>
      </c>
    </row>
    <row r="266" spans="1:13" ht="21.6" customHeight="1">
      <c r="A266" s="533">
        <v>5</v>
      </c>
      <c r="B266" s="534" t="s">
        <v>206</v>
      </c>
      <c r="C266" s="533" t="s">
        <v>202</v>
      </c>
      <c r="D266" s="533">
        <v>24</v>
      </c>
      <c r="E266" s="535">
        <f t="shared" si="37"/>
        <v>15000</v>
      </c>
      <c r="F266" s="535">
        <f t="shared" si="41"/>
        <v>24.03846153846154</v>
      </c>
      <c r="G266" s="539"/>
      <c r="H266" s="756">
        <f t="shared" si="38"/>
        <v>0</v>
      </c>
      <c r="I266" s="537"/>
      <c r="J266" s="538"/>
      <c r="K266" s="537">
        <v>0.30199999999999999</v>
      </c>
      <c r="L266" s="540">
        <f t="shared" si="40"/>
        <v>7.259615384615385</v>
      </c>
      <c r="M266" s="541">
        <f t="shared" si="39"/>
        <v>7.259615384615385</v>
      </c>
    </row>
    <row r="267" spans="1:13" ht="21.6" customHeight="1">
      <c r="A267" s="533">
        <v>6</v>
      </c>
      <c r="B267" s="534" t="s">
        <v>207</v>
      </c>
      <c r="C267" s="533" t="s">
        <v>202</v>
      </c>
      <c r="D267" s="533">
        <v>36</v>
      </c>
      <c r="E267" s="535">
        <f t="shared" si="37"/>
        <v>270000</v>
      </c>
      <c r="F267" s="535">
        <f t="shared" si="41"/>
        <v>288.46153846153845</v>
      </c>
      <c r="G267" s="539"/>
      <c r="H267" s="756">
        <f t="shared" si="38"/>
        <v>0</v>
      </c>
      <c r="I267" s="537"/>
      <c r="J267" s="538"/>
      <c r="K267" s="537">
        <v>5.8000000000000003E-2</v>
      </c>
      <c r="L267" s="540">
        <f t="shared" si="40"/>
        <v>16.73076923076923</v>
      </c>
      <c r="M267" s="541">
        <f t="shared" si="39"/>
        <v>16.73076923076923</v>
      </c>
    </row>
    <row r="268" spans="1:13" ht="21.6" customHeight="1">
      <c r="A268" s="533">
        <v>7</v>
      </c>
      <c r="B268" s="534" t="s">
        <v>208</v>
      </c>
      <c r="C268" s="533" t="s">
        <v>202</v>
      </c>
      <c r="D268" s="533">
        <v>12</v>
      </c>
      <c r="E268" s="535">
        <f t="shared" si="37"/>
        <v>48000</v>
      </c>
      <c r="F268" s="535">
        <f t="shared" si="41"/>
        <v>153.84615384615384</v>
      </c>
      <c r="G268" s="539"/>
      <c r="H268" s="756"/>
      <c r="I268" s="537"/>
      <c r="J268" s="538"/>
      <c r="K268" s="537">
        <v>1.4E-2</v>
      </c>
      <c r="L268" s="540">
        <f t="shared" si="40"/>
        <v>2.1538461538461537</v>
      </c>
      <c r="M268" s="749">
        <f t="shared" si="39"/>
        <v>2.1538461538461537</v>
      </c>
    </row>
    <row r="269" spans="1:13" ht="21.6" customHeight="1">
      <c r="A269" s="533">
        <v>8</v>
      </c>
      <c r="B269" s="534" t="s">
        <v>209</v>
      </c>
      <c r="C269" s="533" t="s">
        <v>202</v>
      </c>
      <c r="D269" s="533">
        <v>12</v>
      </c>
      <c r="E269" s="535">
        <f t="shared" si="37"/>
        <v>25000</v>
      </c>
      <c r="F269" s="535">
        <f t="shared" si="41"/>
        <v>80.128205128205124</v>
      </c>
      <c r="G269" s="539"/>
      <c r="H269" s="756">
        <f>F269*G269</f>
        <v>0</v>
      </c>
      <c r="I269" s="537"/>
      <c r="J269" s="538"/>
      <c r="K269" s="537">
        <v>0.64</v>
      </c>
      <c r="L269" s="540">
        <f t="shared" si="40"/>
        <v>51.282051282051277</v>
      </c>
      <c r="M269" s="541">
        <f t="shared" si="39"/>
        <v>51.282051282051277</v>
      </c>
    </row>
    <row r="270" spans="1:13" ht="21.6" customHeight="1">
      <c r="A270" s="533">
        <v>9</v>
      </c>
      <c r="B270" s="534" t="s">
        <v>210</v>
      </c>
      <c r="C270" s="533" t="s">
        <v>202</v>
      </c>
      <c r="D270" s="533">
        <v>12</v>
      </c>
      <c r="E270" s="535">
        <f t="shared" si="37"/>
        <v>35000</v>
      </c>
      <c r="F270" s="535">
        <f t="shared" si="41"/>
        <v>112.17948717948718</v>
      </c>
      <c r="G270" s="539"/>
      <c r="H270" s="535"/>
      <c r="I270" s="537"/>
      <c r="J270" s="538"/>
      <c r="K270" s="537">
        <v>0.2</v>
      </c>
      <c r="L270" s="540">
        <f t="shared" si="40"/>
        <v>22.435897435897438</v>
      </c>
      <c r="M270" s="749">
        <f t="shared" si="39"/>
        <v>22.435897435897438</v>
      </c>
    </row>
    <row r="271" spans="1:13" ht="21.6" customHeight="1">
      <c r="A271" s="533">
        <v>10</v>
      </c>
      <c r="B271" s="534" t="s">
        <v>211</v>
      </c>
      <c r="C271" s="533" t="s">
        <v>202</v>
      </c>
      <c r="D271" s="533">
        <v>9</v>
      </c>
      <c r="E271" s="535">
        <f t="shared" si="37"/>
        <v>15000</v>
      </c>
      <c r="F271" s="535">
        <f t="shared" si="41"/>
        <v>64.102564102564102</v>
      </c>
      <c r="G271" s="638"/>
      <c r="H271" s="535"/>
      <c r="I271" s="537"/>
      <c r="J271" s="538"/>
      <c r="K271" s="537">
        <v>9.6000000000000002E-2</v>
      </c>
      <c r="L271" s="540">
        <f t="shared" si="40"/>
        <v>6.1538461538461542</v>
      </c>
      <c r="M271" s="749">
        <f t="shared" si="39"/>
        <v>6.1538461538461542</v>
      </c>
    </row>
    <row r="272" spans="1:13" ht="21.6" customHeight="1">
      <c r="A272" s="533">
        <v>11</v>
      </c>
      <c r="B272" s="534" t="s">
        <v>544</v>
      </c>
      <c r="C272" s="533" t="s">
        <v>202</v>
      </c>
      <c r="D272" s="533">
        <v>12</v>
      </c>
      <c r="E272" s="535">
        <f t="shared" si="37"/>
        <v>100000</v>
      </c>
      <c r="F272" s="637">
        <f t="shared" si="41"/>
        <v>320.5128205128205</v>
      </c>
      <c r="G272" s="763">
        <v>2.4E-2</v>
      </c>
      <c r="H272" s="764">
        <f>F272*G272</f>
        <v>7.6923076923076925</v>
      </c>
      <c r="I272" s="537"/>
      <c r="J272" s="538"/>
      <c r="K272" s="537">
        <v>3.2639999999999998</v>
      </c>
      <c r="L272" s="540">
        <f t="shared" si="40"/>
        <v>1046.153846153846</v>
      </c>
      <c r="M272" s="541">
        <f t="shared" si="39"/>
        <v>1053.8461538461536</v>
      </c>
    </row>
    <row r="273" spans="1:17" ht="21.6" customHeight="1">
      <c r="A273" s="533">
        <v>12</v>
      </c>
      <c r="B273" s="534" t="s">
        <v>213</v>
      </c>
      <c r="C273" s="533" t="s">
        <v>381</v>
      </c>
      <c r="D273" s="533">
        <v>6</v>
      </c>
      <c r="E273" s="535">
        <f t="shared" si="37"/>
        <v>18000</v>
      </c>
      <c r="F273" s="535">
        <f t="shared" si="41"/>
        <v>115.38461538461539</v>
      </c>
      <c r="G273" s="613">
        <v>2.4E-2</v>
      </c>
      <c r="H273" s="535">
        <f>F273*G273</f>
        <v>2.7692307692307692</v>
      </c>
      <c r="I273" s="537"/>
      <c r="J273" s="538"/>
      <c r="K273" s="537">
        <v>3.2639999999999998</v>
      </c>
      <c r="L273" s="540">
        <f t="shared" si="40"/>
        <v>376.61538461538458</v>
      </c>
      <c r="M273" s="541">
        <f t="shared" si="39"/>
        <v>379.38461538461536</v>
      </c>
    </row>
    <row r="274" spans="1:17" ht="21.6" customHeight="1">
      <c r="A274" s="533">
        <v>13</v>
      </c>
      <c r="B274" s="690" t="s">
        <v>382</v>
      </c>
      <c r="C274" s="533" t="s">
        <v>202</v>
      </c>
      <c r="D274" s="533">
        <v>12</v>
      </c>
      <c r="E274" s="535">
        <f t="shared" si="37"/>
        <v>25000</v>
      </c>
      <c r="F274" s="535">
        <f t="shared" si="41"/>
        <v>80.128205128205124</v>
      </c>
      <c r="G274" s="638"/>
      <c r="H274" s="535"/>
      <c r="I274" s="639"/>
      <c r="J274" s="538"/>
      <c r="K274" s="639">
        <v>0.2</v>
      </c>
      <c r="L274" s="540">
        <f t="shared" si="40"/>
        <v>16.025641025641026</v>
      </c>
      <c r="M274" s="541">
        <f t="shared" si="39"/>
        <v>16.025641025641026</v>
      </c>
    </row>
    <row r="275" spans="1:17" ht="21.6" customHeight="1">
      <c r="A275" s="533">
        <v>14</v>
      </c>
      <c r="B275" s="690" t="s">
        <v>383</v>
      </c>
      <c r="C275" s="533" t="s">
        <v>202</v>
      </c>
      <c r="D275" s="533">
        <v>36</v>
      </c>
      <c r="E275" s="535">
        <f t="shared" si="37"/>
        <v>870000</v>
      </c>
      <c r="F275" s="535">
        <f t="shared" si="41"/>
        <v>929.48717948717945</v>
      </c>
      <c r="G275" s="638">
        <v>1.2E-2</v>
      </c>
      <c r="H275" s="535">
        <f>F275*G275</f>
        <v>11.153846153846153</v>
      </c>
      <c r="I275" s="639"/>
      <c r="J275" s="538"/>
      <c r="K275" s="639">
        <v>1.202</v>
      </c>
      <c r="L275" s="540">
        <f t="shared" si="40"/>
        <v>1117.2435897435896</v>
      </c>
      <c r="M275" s="541">
        <f t="shared" si="39"/>
        <v>1128.3974358974358</v>
      </c>
    </row>
    <row r="276" spans="1:17" ht="21.6" customHeight="1">
      <c r="A276" s="533">
        <v>15</v>
      </c>
      <c r="B276" s="690" t="s">
        <v>384</v>
      </c>
      <c r="C276" s="641" t="s">
        <v>385</v>
      </c>
      <c r="D276" s="641">
        <v>30</v>
      </c>
      <c r="E276" s="535">
        <f t="shared" si="37"/>
        <v>65000</v>
      </c>
      <c r="F276" s="535">
        <f t="shared" si="41"/>
        <v>83.333333333333329</v>
      </c>
      <c r="G276" s="638">
        <v>2.4E-2</v>
      </c>
      <c r="H276" s="535">
        <f>F276*G276</f>
        <v>2</v>
      </c>
      <c r="I276" s="639"/>
      <c r="J276" s="538"/>
      <c r="K276" s="639">
        <v>3.2639999999999998</v>
      </c>
      <c r="L276" s="540">
        <f t="shared" si="40"/>
        <v>271.99999999999994</v>
      </c>
      <c r="M276" s="541">
        <f t="shared" si="39"/>
        <v>273.99999999999994</v>
      </c>
    </row>
    <row r="277" spans="1:17" ht="21.6" customHeight="1">
      <c r="A277" s="641">
        <v>16</v>
      </c>
      <c r="B277" s="690" t="s">
        <v>386</v>
      </c>
      <c r="C277" s="641" t="s">
        <v>740</v>
      </c>
      <c r="D277" s="641"/>
      <c r="E277" s="643">
        <f t="shared" si="37"/>
        <v>1554</v>
      </c>
      <c r="F277" s="643">
        <f>E277</f>
        <v>1554</v>
      </c>
      <c r="G277" s="638">
        <v>1.7999999999999999E-2</v>
      </c>
      <c r="H277" s="643">
        <f>F277*G277</f>
        <v>27.971999999999998</v>
      </c>
      <c r="I277" s="639"/>
      <c r="J277" s="644"/>
      <c r="K277" s="639">
        <v>2.0059999999999998</v>
      </c>
      <c r="L277" s="540">
        <f t="shared" si="40"/>
        <v>3117.3239999999996</v>
      </c>
      <c r="M277" s="646">
        <f t="shared" si="39"/>
        <v>3145.2959999999998</v>
      </c>
    </row>
    <row r="278" spans="1:17" ht="21.6" customHeight="1">
      <c r="A278" s="652"/>
      <c r="B278" s="652" t="s">
        <v>545</v>
      </c>
      <c r="C278" s="652"/>
      <c r="D278" s="652"/>
      <c r="E278" s="577"/>
      <c r="F278" s="577"/>
      <c r="G278" s="576"/>
      <c r="H278" s="577">
        <f>SUM(H262:H277)</f>
        <v>90.609820512820505</v>
      </c>
      <c r="I278" s="654"/>
      <c r="J278" s="655"/>
      <c r="K278" s="576"/>
      <c r="L278" s="546">
        <f>SUM(L262:L277)</f>
        <v>10112.649854700852</v>
      </c>
      <c r="M278" s="546">
        <f t="shared" si="39"/>
        <v>10203.259675213672</v>
      </c>
    </row>
    <row r="279" spans="1:17" ht="21.6" customHeight="1">
      <c r="A279" s="652"/>
      <c r="B279" s="652" t="s">
        <v>758</v>
      </c>
      <c r="C279" s="652"/>
      <c r="D279" s="652"/>
      <c r="E279" s="577"/>
      <c r="F279" s="577"/>
      <c r="G279" s="576"/>
      <c r="H279" s="577">
        <f>(H278-H277)*5%</f>
        <v>3.1318910256410257</v>
      </c>
      <c r="I279" s="577"/>
      <c r="J279" s="655"/>
      <c r="K279" s="655"/>
      <c r="L279" s="577">
        <f>(L278-L277)*5%</f>
        <v>349.76629273504267</v>
      </c>
      <c r="M279" s="577">
        <f>(M278-M277)*5%</f>
        <v>352.89818376068365</v>
      </c>
    </row>
    <row r="280" spans="1:17" ht="21.6" customHeight="1">
      <c r="A280" s="657"/>
      <c r="B280" s="543" t="s">
        <v>33</v>
      </c>
      <c r="C280" s="657"/>
      <c r="D280" s="657"/>
      <c r="E280" s="739"/>
      <c r="F280" s="657"/>
      <c r="G280" s="657"/>
      <c r="H280" s="758">
        <f>H278+H279</f>
        <v>93.74171153846153</v>
      </c>
      <c r="I280" s="544"/>
      <c r="J280" s="655"/>
      <c r="K280" s="655"/>
      <c r="L280" s="655">
        <f>L278+L279</f>
        <v>10462.416147435895</v>
      </c>
      <c r="M280" s="655">
        <f>M278+M279</f>
        <v>10556.157858974357</v>
      </c>
      <c r="P280" s="765">
        <f>H280*1.3</f>
        <v>121.86422499999999</v>
      </c>
      <c r="Q280" s="409">
        <f>L280*1.3</f>
        <v>13601.140991666663</v>
      </c>
    </row>
    <row r="281" spans="1:17" ht="5.25" customHeight="1">
      <c r="A281" s="409"/>
      <c r="B281" s="409"/>
      <c r="C281" s="409"/>
    </row>
    <row r="282" spans="1:17" ht="15" customHeight="1">
      <c r="A282" s="449"/>
      <c r="B282" s="554" t="s">
        <v>550</v>
      </c>
      <c r="C282" s="449"/>
      <c r="D282" s="449"/>
      <c r="E282" s="559"/>
      <c r="F282" s="449"/>
      <c r="G282" s="449"/>
      <c r="H282" s="557"/>
      <c r="I282" s="561"/>
      <c r="J282" s="734"/>
      <c r="K282" s="561"/>
      <c r="L282" s="734"/>
      <c r="M282" s="734"/>
    </row>
    <row r="283" spans="1:17" ht="15.95" customHeight="1">
      <c r="A283" s="449"/>
      <c r="B283" s="558" t="s">
        <v>92</v>
      </c>
      <c r="C283" s="449"/>
      <c r="D283" s="449"/>
      <c r="E283" s="559"/>
      <c r="F283" s="449"/>
      <c r="G283" s="449"/>
      <c r="H283" s="557"/>
      <c r="I283" s="561"/>
      <c r="J283" s="734"/>
      <c r="K283" s="561"/>
      <c r="L283" s="734"/>
      <c r="M283" s="734"/>
    </row>
    <row r="284" spans="1:17" ht="15.95" customHeight="1">
      <c r="A284" s="449"/>
      <c r="B284" s="560" t="s">
        <v>93</v>
      </c>
      <c r="C284" s="449"/>
      <c r="D284" s="449"/>
      <c r="E284" s="559"/>
      <c r="F284" s="449"/>
      <c r="G284" s="449"/>
      <c r="H284" s="557"/>
      <c r="I284" s="561"/>
      <c r="J284" s="734"/>
      <c r="K284" s="561"/>
      <c r="L284" s="734"/>
      <c r="M284" s="734"/>
    </row>
    <row r="285" spans="1:17" ht="10.5" customHeight="1">
      <c r="A285" s="409"/>
      <c r="B285" s="409"/>
      <c r="C285" s="409"/>
    </row>
    <row r="286" spans="1:17" ht="31.15" customHeight="1">
      <c r="A286" s="1230" t="s">
        <v>178</v>
      </c>
      <c r="B286" s="1230"/>
      <c r="C286" s="1230"/>
      <c r="D286" s="1230"/>
      <c r="E286" s="1230"/>
      <c r="F286" s="1230"/>
      <c r="G286" s="1230"/>
      <c r="H286" s="1230"/>
      <c r="I286" s="1230"/>
      <c r="J286" s="1230"/>
      <c r="K286" s="1230"/>
      <c r="L286" s="1230"/>
      <c r="M286" s="1230"/>
    </row>
    <row r="287" spans="1:17">
      <c r="A287" s="529"/>
      <c r="B287" s="529"/>
      <c r="C287" s="530"/>
      <c r="D287" s="530"/>
      <c r="E287" s="567"/>
      <c r="F287" s="531"/>
      <c r="G287" s="529"/>
      <c r="H287" s="529"/>
      <c r="I287" s="529"/>
      <c r="J287" s="529"/>
      <c r="K287" s="532"/>
      <c r="L287" s="532"/>
    </row>
    <row r="288" spans="1:17" ht="27" customHeight="1">
      <c r="A288" s="1203" t="s">
        <v>724</v>
      </c>
      <c r="B288" s="1203" t="s">
        <v>534</v>
      </c>
      <c r="C288" s="1203" t="s">
        <v>535</v>
      </c>
      <c r="D288" s="1206" t="s">
        <v>536</v>
      </c>
      <c r="E288" s="1203" t="s">
        <v>537</v>
      </c>
      <c r="F288" s="1203" t="s">
        <v>538</v>
      </c>
      <c r="G288" s="1212" t="s">
        <v>539</v>
      </c>
      <c r="H288" s="1214"/>
      <c r="I288" s="1214"/>
      <c r="J288" s="1214"/>
      <c r="K288" s="1214"/>
      <c r="L288" s="1213"/>
      <c r="M288" s="1203" t="s">
        <v>226</v>
      </c>
    </row>
    <row r="289" spans="1:13" ht="41.25" customHeight="1">
      <c r="A289" s="1204"/>
      <c r="B289" s="1204"/>
      <c r="C289" s="1204"/>
      <c r="D289" s="1207"/>
      <c r="E289" s="1204"/>
      <c r="F289" s="1204"/>
      <c r="G289" s="1212" t="s">
        <v>164</v>
      </c>
      <c r="H289" s="1213"/>
      <c r="I289" s="1212" t="s">
        <v>29</v>
      </c>
      <c r="J289" s="1213"/>
      <c r="K289" s="1212" t="s">
        <v>542</v>
      </c>
      <c r="L289" s="1213"/>
      <c r="M289" s="1204"/>
    </row>
    <row r="290" spans="1:13" ht="18.75" customHeight="1">
      <c r="A290" s="1205"/>
      <c r="B290" s="1205"/>
      <c r="C290" s="1205"/>
      <c r="D290" s="1208"/>
      <c r="E290" s="1205"/>
      <c r="F290" s="1205"/>
      <c r="G290" s="423" t="s">
        <v>739</v>
      </c>
      <c r="H290" s="423" t="s">
        <v>268</v>
      </c>
      <c r="I290" s="423" t="s">
        <v>739</v>
      </c>
      <c r="J290" s="423" t="s">
        <v>268</v>
      </c>
      <c r="K290" s="423" t="s">
        <v>739</v>
      </c>
      <c r="L290" s="423" t="s">
        <v>268</v>
      </c>
      <c r="M290" s="1205"/>
    </row>
    <row r="291" spans="1:13" ht="20.45" customHeight="1">
      <c r="A291" s="578">
        <v>1</v>
      </c>
      <c r="B291" s="579" t="s">
        <v>201</v>
      </c>
      <c r="C291" s="578" t="s">
        <v>202</v>
      </c>
      <c r="D291" s="578">
        <v>36</v>
      </c>
      <c r="E291" s="580">
        <f>'Bang gia'!E6</f>
        <v>230000</v>
      </c>
      <c r="F291" s="535">
        <f>E291/(D291*26)</f>
        <v>245.72649572649573</v>
      </c>
      <c r="G291" s="581">
        <v>0.42</v>
      </c>
      <c r="H291" s="580">
        <f t="shared" ref="H291:H306" si="42">F291*G291</f>
        <v>103.2051282051282</v>
      </c>
      <c r="I291" s="581">
        <v>1.98</v>
      </c>
      <c r="J291" s="582">
        <f t="shared" ref="J291:J303" si="43">F291*I291</f>
        <v>486.53846153846155</v>
      </c>
      <c r="K291" s="581"/>
      <c r="L291" s="583"/>
      <c r="M291" s="582">
        <f t="shared" ref="M291:M307" si="44">H291+J291+L291</f>
        <v>589.74358974358972</v>
      </c>
    </row>
    <row r="292" spans="1:13" ht="20.45" customHeight="1">
      <c r="A292" s="533">
        <v>2</v>
      </c>
      <c r="B292" s="585" t="s">
        <v>203</v>
      </c>
      <c r="C292" s="533" t="s">
        <v>202</v>
      </c>
      <c r="D292" s="533">
        <v>96</v>
      </c>
      <c r="E292" s="535">
        <f>'Bang gia'!E7</f>
        <v>360000</v>
      </c>
      <c r="F292" s="535">
        <f>E292/(D292*26)</f>
        <v>144.23076923076923</v>
      </c>
      <c r="G292" s="539">
        <v>0.42</v>
      </c>
      <c r="H292" s="535">
        <f t="shared" si="42"/>
        <v>60.576923076923073</v>
      </c>
      <c r="I292" s="537">
        <v>2.7</v>
      </c>
      <c r="J292" s="538">
        <f t="shared" si="43"/>
        <v>389.42307692307696</v>
      </c>
      <c r="K292" s="539"/>
      <c r="L292" s="540"/>
      <c r="M292" s="541">
        <f t="shared" si="44"/>
        <v>450.00000000000006</v>
      </c>
    </row>
    <row r="293" spans="1:13" ht="20.45" customHeight="1">
      <c r="A293" s="533">
        <v>3</v>
      </c>
      <c r="B293" s="534" t="s">
        <v>204</v>
      </c>
      <c r="C293" s="533" t="s">
        <v>202</v>
      </c>
      <c r="D293" s="533">
        <v>96</v>
      </c>
      <c r="E293" s="535">
        <f>'Bang gia'!E8</f>
        <v>754000</v>
      </c>
      <c r="F293" s="535">
        <f>E293/(D293*26)</f>
        <v>302.08333333333331</v>
      </c>
      <c r="G293" s="539">
        <v>0.42</v>
      </c>
      <c r="H293" s="535">
        <f t="shared" si="42"/>
        <v>126.87499999999999</v>
      </c>
      <c r="I293" s="537">
        <v>2.7</v>
      </c>
      <c r="J293" s="538">
        <f t="shared" si="43"/>
        <v>815.625</v>
      </c>
      <c r="K293" s="539"/>
      <c r="L293" s="540"/>
      <c r="M293" s="541">
        <f t="shared" si="44"/>
        <v>942.5</v>
      </c>
    </row>
    <row r="294" spans="1:13" ht="20.45" customHeight="1">
      <c r="A294" s="533">
        <v>4</v>
      </c>
      <c r="B294" s="534" t="s">
        <v>205</v>
      </c>
      <c r="C294" s="533" t="s">
        <v>202</v>
      </c>
      <c r="D294" s="533">
        <v>96</v>
      </c>
      <c r="E294" s="535">
        <f>'Bang gia'!E9</f>
        <v>2331000</v>
      </c>
      <c r="F294" s="535">
        <f t="shared" ref="F294:F305" si="45">E294/(D294*26)</f>
        <v>933.89423076923072</v>
      </c>
      <c r="G294" s="539">
        <v>0.42</v>
      </c>
      <c r="H294" s="535">
        <f t="shared" si="42"/>
        <v>392.23557692307691</v>
      </c>
      <c r="I294" s="537">
        <v>1.98</v>
      </c>
      <c r="J294" s="538">
        <f t="shared" si="43"/>
        <v>1849.1105769230769</v>
      </c>
      <c r="K294" s="539"/>
      <c r="L294" s="540"/>
      <c r="M294" s="541">
        <f t="shared" si="44"/>
        <v>2241.3461538461538</v>
      </c>
    </row>
    <row r="295" spans="1:13" ht="20.45" customHeight="1">
      <c r="A295" s="533">
        <v>5</v>
      </c>
      <c r="B295" s="534" t="s">
        <v>206</v>
      </c>
      <c r="C295" s="533" t="s">
        <v>202</v>
      </c>
      <c r="D295" s="533">
        <v>24</v>
      </c>
      <c r="E295" s="535">
        <f>'Bang gia'!E10</f>
        <v>15000</v>
      </c>
      <c r="F295" s="535">
        <f t="shared" si="45"/>
        <v>24.03846153846154</v>
      </c>
      <c r="G295" s="539">
        <v>0.02</v>
      </c>
      <c r="H295" s="756">
        <f t="shared" si="42"/>
        <v>0.48076923076923084</v>
      </c>
      <c r="I295" s="537">
        <v>0.53300000000000003</v>
      </c>
      <c r="J295" s="538">
        <f t="shared" si="43"/>
        <v>12.812500000000002</v>
      </c>
      <c r="K295" s="539"/>
      <c r="L295" s="738"/>
      <c r="M295" s="541">
        <f t="shared" si="44"/>
        <v>13.293269230769234</v>
      </c>
    </row>
    <row r="296" spans="1:13" ht="20.25" customHeight="1">
      <c r="A296" s="533">
        <v>6</v>
      </c>
      <c r="B296" s="534" t="s">
        <v>207</v>
      </c>
      <c r="C296" s="533" t="s">
        <v>202</v>
      </c>
      <c r="D296" s="533">
        <v>36</v>
      </c>
      <c r="E296" s="535">
        <f>'Bang gia'!E11</f>
        <v>270000</v>
      </c>
      <c r="F296" s="535">
        <f t="shared" si="45"/>
        <v>288.46153846153845</v>
      </c>
      <c r="G296" s="539">
        <v>6.0000000000000001E-3</v>
      </c>
      <c r="H296" s="756">
        <f t="shared" si="42"/>
        <v>1.7307692307692308</v>
      </c>
      <c r="I296" s="537">
        <v>0.317</v>
      </c>
      <c r="J296" s="538">
        <f t="shared" si="43"/>
        <v>91.442307692307693</v>
      </c>
      <c r="K296" s="539"/>
      <c r="L296" s="738"/>
      <c r="M296" s="541">
        <f t="shared" si="44"/>
        <v>93.17307692307692</v>
      </c>
    </row>
    <row r="297" spans="1:13" ht="20.45" customHeight="1">
      <c r="A297" s="533">
        <v>7</v>
      </c>
      <c r="B297" s="534" t="s">
        <v>208</v>
      </c>
      <c r="C297" s="533" t="s">
        <v>202</v>
      </c>
      <c r="D297" s="533">
        <v>12</v>
      </c>
      <c r="E297" s="535">
        <f>'Bang gia'!E12</f>
        <v>48000</v>
      </c>
      <c r="F297" s="535">
        <f t="shared" si="45"/>
        <v>153.84615384615384</v>
      </c>
      <c r="G297" s="539">
        <v>3.0000000000000001E-3</v>
      </c>
      <c r="H297" s="756">
        <f t="shared" si="42"/>
        <v>0.46153846153846151</v>
      </c>
      <c r="I297" s="537">
        <v>0.33500000000000002</v>
      </c>
      <c r="J297" s="757">
        <f t="shared" si="43"/>
        <v>51.53846153846154</v>
      </c>
      <c r="K297" s="539"/>
      <c r="L297" s="738"/>
      <c r="M297" s="749">
        <f t="shared" si="44"/>
        <v>52</v>
      </c>
    </row>
    <row r="298" spans="1:13" ht="20.45" customHeight="1">
      <c r="A298" s="533">
        <v>8</v>
      </c>
      <c r="B298" s="534" t="s">
        <v>209</v>
      </c>
      <c r="C298" s="533" t="s">
        <v>202</v>
      </c>
      <c r="D298" s="533">
        <v>12</v>
      </c>
      <c r="E298" s="535">
        <f>'Bang gia'!E13</f>
        <v>25000</v>
      </c>
      <c r="F298" s="535">
        <f t="shared" si="45"/>
        <v>80.128205128205124</v>
      </c>
      <c r="G298" s="539">
        <v>6.8000000000000005E-2</v>
      </c>
      <c r="H298" s="756">
        <f t="shared" si="42"/>
        <v>5.4487179487179489</v>
      </c>
      <c r="I298" s="537">
        <v>0.76500000000000001</v>
      </c>
      <c r="J298" s="538">
        <f t="shared" si="43"/>
        <v>61.29807692307692</v>
      </c>
      <c r="K298" s="539"/>
      <c r="L298" s="738"/>
      <c r="M298" s="541">
        <f t="shared" si="44"/>
        <v>66.746794871794862</v>
      </c>
    </row>
    <row r="299" spans="1:13" ht="20.45" customHeight="1">
      <c r="A299" s="533">
        <v>9</v>
      </c>
      <c r="B299" s="534" t="s">
        <v>210</v>
      </c>
      <c r="C299" s="533" t="s">
        <v>202</v>
      </c>
      <c r="D299" s="533">
        <v>12</v>
      </c>
      <c r="E299" s="535">
        <f>'Bang gia'!E14</f>
        <v>35000</v>
      </c>
      <c r="F299" s="535">
        <f t="shared" si="45"/>
        <v>112.17948717948718</v>
      </c>
      <c r="G299" s="539">
        <v>4.2000000000000003E-2</v>
      </c>
      <c r="H299" s="535">
        <f t="shared" si="42"/>
        <v>4.7115384615384617</v>
      </c>
      <c r="I299" s="537">
        <v>0.35399999999999998</v>
      </c>
      <c r="J299" s="757">
        <f t="shared" si="43"/>
        <v>39.71153846153846</v>
      </c>
      <c r="K299" s="539"/>
      <c r="L299" s="738"/>
      <c r="M299" s="749">
        <f t="shared" si="44"/>
        <v>44.42307692307692</v>
      </c>
    </row>
    <row r="300" spans="1:13" ht="20.45" customHeight="1">
      <c r="A300" s="533">
        <v>10</v>
      </c>
      <c r="B300" s="534" t="s">
        <v>211</v>
      </c>
      <c r="C300" s="533" t="s">
        <v>202</v>
      </c>
      <c r="D300" s="533">
        <v>9</v>
      </c>
      <c r="E300" s="535">
        <f>'Bang gia'!E15</f>
        <v>15000</v>
      </c>
      <c r="F300" s="535">
        <f t="shared" si="45"/>
        <v>64.102564102564102</v>
      </c>
      <c r="G300" s="539">
        <v>0.375</v>
      </c>
      <c r="H300" s="535">
        <f t="shared" si="42"/>
        <v>24.03846153846154</v>
      </c>
      <c r="I300" s="537">
        <v>0.626</v>
      </c>
      <c r="J300" s="757">
        <f t="shared" si="43"/>
        <v>40.128205128205131</v>
      </c>
      <c r="K300" s="539"/>
      <c r="L300" s="738"/>
      <c r="M300" s="749">
        <f t="shared" si="44"/>
        <v>64.166666666666671</v>
      </c>
    </row>
    <row r="301" spans="1:13" ht="20.45" customHeight="1">
      <c r="A301" s="533">
        <v>11</v>
      </c>
      <c r="B301" s="534" t="s">
        <v>544</v>
      </c>
      <c r="C301" s="533" t="s">
        <v>202</v>
      </c>
      <c r="D301" s="533">
        <v>12</v>
      </c>
      <c r="E301" s="535">
        <f>'Bang gia'!E16</f>
        <v>100000</v>
      </c>
      <c r="F301" s="535">
        <f t="shared" si="45"/>
        <v>320.5128205128205</v>
      </c>
      <c r="G301" s="539">
        <v>0.42</v>
      </c>
      <c r="H301" s="535">
        <f t="shared" si="42"/>
        <v>134.61538461538461</v>
      </c>
      <c r="I301" s="537">
        <v>2.7</v>
      </c>
      <c r="J301" s="538">
        <f t="shared" si="43"/>
        <v>865.38461538461536</v>
      </c>
      <c r="K301" s="539"/>
      <c r="L301" s="540"/>
      <c r="M301" s="541">
        <f t="shared" si="44"/>
        <v>1000</v>
      </c>
    </row>
    <row r="302" spans="1:13" ht="20.45" customHeight="1">
      <c r="A302" s="533">
        <v>12</v>
      </c>
      <c r="B302" s="534" t="s">
        <v>213</v>
      </c>
      <c r="C302" s="533" t="s">
        <v>381</v>
      </c>
      <c r="D302" s="533">
        <v>6</v>
      </c>
      <c r="E302" s="535">
        <f>'Bang gia'!E17</f>
        <v>18000</v>
      </c>
      <c r="F302" s="535">
        <f t="shared" si="45"/>
        <v>115.38461538461539</v>
      </c>
      <c r="G302" s="539">
        <v>0.42</v>
      </c>
      <c r="H302" s="535">
        <f t="shared" si="42"/>
        <v>48.46153846153846</v>
      </c>
      <c r="I302" s="537">
        <v>2.7</v>
      </c>
      <c r="J302" s="538">
        <f t="shared" si="43"/>
        <v>311.53846153846155</v>
      </c>
      <c r="K302" s="539"/>
      <c r="L302" s="540"/>
      <c r="M302" s="541">
        <f t="shared" si="44"/>
        <v>360</v>
      </c>
    </row>
    <row r="303" spans="1:13" ht="20.45" customHeight="1">
      <c r="A303" s="533">
        <v>13</v>
      </c>
      <c r="B303" s="690" t="s">
        <v>382</v>
      </c>
      <c r="C303" s="533" t="s">
        <v>202</v>
      </c>
      <c r="D303" s="533">
        <v>12</v>
      </c>
      <c r="E303" s="643">
        <f>'Bang gia'!E18</f>
        <v>25000</v>
      </c>
      <c r="F303" s="535">
        <f t="shared" si="45"/>
        <v>80.128205128205124</v>
      </c>
      <c r="G303" s="638">
        <v>7.1999999999999995E-2</v>
      </c>
      <c r="H303" s="535">
        <f t="shared" si="42"/>
        <v>5.7692307692307683</v>
      </c>
      <c r="I303" s="639">
        <v>0.14399999999999999</v>
      </c>
      <c r="J303" s="538">
        <f t="shared" si="43"/>
        <v>11.538461538461537</v>
      </c>
      <c r="K303" s="638"/>
      <c r="L303" s="540"/>
      <c r="M303" s="541">
        <f t="shared" si="44"/>
        <v>17.307692307692307</v>
      </c>
    </row>
    <row r="304" spans="1:13" ht="20.45" customHeight="1">
      <c r="A304" s="533">
        <v>14</v>
      </c>
      <c r="B304" s="690" t="s">
        <v>383</v>
      </c>
      <c r="C304" s="533" t="s">
        <v>202</v>
      </c>
      <c r="D304" s="533">
        <v>36</v>
      </c>
      <c r="E304" s="643">
        <f>'Bang gia'!E19</f>
        <v>870000</v>
      </c>
      <c r="F304" s="535">
        <f t="shared" si="45"/>
        <v>929.48717948717945</v>
      </c>
      <c r="G304" s="638">
        <v>0.28100000000000003</v>
      </c>
      <c r="H304" s="535">
        <f t="shared" si="42"/>
        <v>261.18589743589746</v>
      </c>
      <c r="I304" s="639">
        <v>1.32</v>
      </c>
      <c r="J304" s="538">
        <f>F304*I304</f>
        <v>1226.9230769230769</v>
      </c>
      <c r="K304" s="638"/>
      <c r="L304" s="540"/>
      <c r="M304" s="541">
        <f t="shared" si="44"/>
        <v>1488.1089743589744</v>
      </c>
    </row>
    <row r="305" spans="1:13" ht="20.45" customHeight="1">
      <c r="A305" s="533">
        <v>15</v>
      </c>
      <c r="B305" s="690" t="s">
        <v>384</v>
      </c>
      <c r="C305" s="641" t="s">
        <v>385</v>
      </c>
      <c r="D305" s="641">
        <v>30</v>
      </c>
      <c r="E305" s="643">
        <f>'Bang gia'!E20</f>
        <v>65000</v>
      </c>
      <c r="F305" s="535">
        <f t="shared" si="45"/>
        <v>83.333333333333329</v>
      </c>
      <c r="G305" s="638">
        <v>0.42</v>
      </c>
      <c r="H305" s="535">
        <f t="shared" si="42"/>
        <v>35</v>
      </c>
      <c r="I305" s="639">
        <v>2.7</v>
      </c>
      <c r="J305" s="538">
        <f>F305*I305</f>
        <v>225</v>
      </c>
      <c r="K305" s="638"/>
      <c r="L305" s="540"/>
      <c r="M305" s="541">
        <f t="shared" si="44"/>
        <v>260</v>
      </c>
    </row>
    <row r="306" spans="1:13" ht="20.45" customHeight="1">
      <c r="A306" s="641">
        <v>16</v>
      </c>
      <c r="B306" s="690" t="s">
        <v>386</v>
      </c>
      <c r="C306" s="641" t="s">
        <v>740</v>
      </c>
      <c r="D306" s="641"/>
      <c r="E306" s="643">
        <f>'Bang gia'!E21</f>
        <v>1554</v>
      </c>
      <c r="F306" s="643">
        <f>E306</f>
        <v>1554</v>
      </c>
      <c r="G306" s="638">
        <v>0.35899999999999999</v>
      </c>
      <c r="H306" s="643">
        <f t="shared" si="42"/>
        <v>557.88599999999997</v>
      </c>
      <c r="I306" s="639">
        <v>1.92</v>
      </c>
      <c r="J306" s="644">
        <f>F306*I306</f>
        <v>2983.68</v>
      </c>
      <c r="K306" s="638"/>
      <c r="L306" s="645"/>
      <c r="M306" s="646">
        <f t="shared" si="44"/>
        <v>3541.5659999999998</v>
      </c>
    </row>
    <row r="307" spans="1:13" ht="20.45" customHeight="1">
      <c r="A307" s="652"/>
      <c r="B307" s="652" t="s">
        <v>545</v>
      </c>
      <c r="C307" s="652"/>
      <c r="D307" s="652"/>
      <c r="E307" s="577"/>
      <c r="F307" s="577"/>
      <c r="G307" s="691"/>
      <c r="H307" s="577">
        <f>SUM(H291:H306)</f>
        <v>1762.6824743589743</v>
      </c>
      <c r="I307" s="654"/>
      <c r="J307" s="655">
        <f>SUM(J291:J306)</f>
        <v>9461.6928205128206</v>
      </c>
      <c r="K307" s="691"/>
      <c r="L307" s="546"/>
      <c r="M307" s="546">
        <f t="shared" si="44"/>
        <v>11224.375294871796</v>
      </c>
    </row>
    <row r="308" spans="1:13" ht="20.45" customHeight="1">
      <c r="A308" s="652"/>
      <c r="B308" s="652" t="s">
        <v>758</v>
      </c>
      <c r="C308" s="652"/>
      <c r="D308" s="652"/>
      <c r="E308" s="577"/>
      <c r="F308" s="577"/>
      <c r="G308" s="691"/>
      <c r="H308" s="577">
        <f>(H307-H306)*5%</f>
        <v>60.239823717948724</v>
      </c>
      <c r="I308" s="577"/>
      <c r="J308" s="577">
        <f>(J307-J306)*5%</f>
        <v>323.90064102564105</v>
      </c>
      <c r="K308" s="655"/>
      <c r="L308" s="655"/>
      <c r="M308" s="577">
        <f>(M307-M306)*5%</f>
        <v>384.1404647435898</v>
      </c>
    </row>
    <row r="309" spans="1:13" ht="20.45" customHeight="1">
      <c r="A309" s="657"/>
      <c r="B309" s="543" t="s">
        <v>33</v>
      </c>
      <c r="C309" s="657"/>
      <c r="D309" s="657"/>
      <c r="E309" s="739"/>
      <c r="F309" s="657"/>
      <c r="G309" s="657"/>
      <c r="H309" s="544">
        <f>H307+H308</f>
        <v>1822.922298076923</v>
      </c>
      <c r="I309" s="544"/>
      <c r="J309" s="655">
        <f>J307+J308</f>
        <v>9785.5934615384613</v>
      </c>
      <c r="K309" s="655"/>
      <c r="L309" s="655"/>
      <c r="M309" s="655">
        <f>M307+M308</f>
        <v>11608.515759615386</v>
      </c>
    </row>
    <row r="310" spans="1:13">
      <c r="A310" s="449"/>
      <c r="B310" s="554" t="s">
        <v>550</v>
      </c>
      <c r="C310" s="449"/>
      <c r="D310" s="449"/>
      <c r="E310" s="559"/>
      <c r="F310" s="449"/>
      <c r="G310" s="449"/>
      <c r="H310" s="557"/>
      <c r="I310" s="561"/>
      <c r="J310" s="734"/>
      <c r="K310" s="561"/>
      <c r="L310" s="734"/>
      <c r="M310" s="734"/>
    </row>
    <row r="311" spans="1:13" ht="22.15" customHeight="1">
      <c r="A311" s="449"/>
      <c r="B311" s="558" t="s">
        <v>678</v>
      </c>
      <c r="C311" s="449"/>
      <c r="D311" s="449"/>
      <c r="E311" s="559"/>
      <c r="F311" s="449"/>
      <c r="G311" s="449"/>
      <c r="H311" s="557"/>
      <c r="I311" s="561"/>
      <c r="J311" s="734"/>
      <c r="K311" s="561"/>
      <c r="L311" s="734"/>
      <c r="M311" s="734"/>
    </row>
    <row r="312" spans="1:13" ht="27" customHeight="1">
      <c r="A312" s="449"/>
      <c r="B312" s="1098" t="s">
        <v>679</v>
      </c>
      <c r="C312" s="1098"/>
      <c r="D312" s="1098"/>
      <c r="E312" s="1098"/>
      <c r="F312" s="1098"/>
      <c r="G312" s="1098"/>
      <c r="H312" s="1098"/>
      <c r="I312" s="1098"/>
      <c r="J312" s="1098"/>
      <c r="K312" s="1098"/>
      <c r="L312" s="1098"/>
      <c r="M312" s="1098"/>
    </row>
    <row r="313" spans="1:13" ht="24.6" customHeight="1">
      <c r="A313" s="449"/>
      <c r="B313" s="1098" t="s">
        <v>680</v>
      </c>
      <c r="C313" s="1098"/>
      <c r="D313" s="1098"/>
      <c r="E313" s="1098"/>
      <c r="F313" s="1098"/>
      <c r="G313" s="1098"/>
      <c r="H313" s="1098"/>
      <c r="I313" s="1098"/>
      <c r="J313" s="1098"/>
      <c r="K313" s="1098"/>
      <c r="L313" s="1098"/>
      <c r="M313" s="1098"/>
    </row>
    <row r="314" spans="1:13">
      <c r="A314" s="409"/>
      <c r="B314" s="560"/>
      <c r="C314" s="409"/>
    </row>
    <row r="315" spans="1:13" ht="36.75" customHeight="1">
      <c r="A315" s="1226" t="s">
        <v>179</v>
      </c>
      <c r="B315" s="1226"/>
      <c r="C315" s="1226"/>
      <c r="D315" s="1226"/>
      <c r="E315" s="1226"/>
      <c r="F315" s="1226"/>
      <c r="G315" s="1226"/>
      <c r="H315" s="1226"/>
      <c r="I315" s="1226"/>
      <c r="J315" s="1226"/>
      <c r="K315" s="1226"/>
      <c r="L315" s="1226"/>
      <c r="M315" s="1226"/>
    </row>
    <row r="316" spans="1:13" ht="10.5" customHeight="1">
      <c r="A316" s="766"/>
      <c r="B316" s="529"/>
      <c r="C316" s="530"/>
      <c r="D316" s="530"/>
      <c r="E316" s="567"/>
      <c r="F316" s="531"/>
      <c r="G316" s="529"/>
      <c r="H316" s="529"/>
      <c r="I316" s="529"/>
      <c r="J316" s="529"/>
      <c r="K316" s="532"/>
      <c r="L316" s="532"/>
      <c r="M316" s="532"/>
    </row>
    <row r="317" spans="1:13" ht="22.5" customHeight="1">
      <c r="A317" s="1203" t="s">
        <v>724</v>
      </c>
      <c r="B317" s="1203" t="s">
        <v>534</v>
      </c>
      <c r="C317" s="1203" t="s">
        <v>535</v>
      </c>
      <c r="D317" s="1206" t="s">
        <v>536</v>
      </c>
      <c r="E317" s="1203" t="s">
        <v>537</v>
      </c>
      <c r="F317" s="1203" t="s">
        <v>538</v>
      </c>
      <c r="G317" s="1212" t="s">
        <v>539</v>
      </c>
      <c r="H317" s="1214"/>
      <c r="I317" s="1214"/>
      <c r="J317" s="1214"/>
      <c r="K317" s="1214"/>
      <c r="L317" s="1213"/>
      <c r="M317" s="1203" t="s">
        <v>226</v>
      </c>
    </row>
    <row r="318" spans="1:13" ht="44.25" customHeight="1">
      <c r="A318" s="1204"/>
      <c r="B318" s="1204"/>
      <c r="C318" s="1204"/>
      <c r="D318" s="1207"/>
      <c r="E318" s="1204"/>
      <c r="F318" s="1204"/>
      <c r="G318" s="1212" t="s">
        <v>164</v>
      </c>
      <c r="H318" s="1213"/>
      <c r="I318" s="1212" t="s">
        <v>29</v>
      </c>
      <c r="J318" s="1213"/>
      <c r="K318" s="1212" t="s">
        <v>542</v>
      </c>
      <c r="L318" s="1213"/>
      <c r="M318" s="1204"/>
    </row>
    <row r="319" spans="1:13" ht="21" customHeight="1">
      <c r="A319" s="1205"/>
      <c r="B319" s="1205"/>
      <c r="C319" s="1205"/>
      <c r="D319" s="1208"/>
      <c r="E319" s="1205"/>
      <c r="F319" s="1205"/>
      <c r="G319" s="423" t="s">
        <v>739</v>
      </c>
      <c r="H319" s="423" t="s">
        <v>268</v>
      </c>
      <c r="I319" s="423" t="s">
        <v>739</v>
      </c>
      <c r="J319" s="423" t="s">
        <v>268</v>
      </c>
      <c r="K319" s="423" t="s">
        <v>739</v>
      </c>
      <c r="L319" s="423" t="s">
        <v>268</v>
      </c>
      <c r="M319" s="1205"/>
    </row>
    <row r="320" spans="1:13" ht="20.45" customHeight="1">
      <c r="A320" s="578">
        <v>1</v>
      </c>
      <c r="B320" s="579" t="s">
        <v>201</v>
      </c>
      <c r="C320" s="578" t="s">
        <v>202</v>
      </c>
      <c r="D320" s="578">
        <v>36</v>
      </c>
      <c r="E320" s="580">
        <f>'Bang gia'!E6</f>
        <v>230000</v>
      </c>
      <c r="F320" s="535">
        <f>E320/(D320*26)</f>
        <v>245.72649572649573</v>
      </c>
      <c r="G320" s="581">
        <v>0.18</v>
      </c>
      <c r="H320" s="580">
        <f>F320*G320</f>
        <v>44.230769230769226</v>
      </c>
      <c r="I320" s="581">
        <v>2.2200000000000002</v>
      </c>
      <c r="J320" s="582">
        <f t="shared" ref="J320:J335" si="46">F320*I320</f>
        <v>545.51282051282055</v>
      </c>
      <c r="K320" s="581"/>
      <c r="L320" s="583"/>
      <c r="M320" s="582">
        <f t="shared" ref="M320:M336" si="47">H320+J320+L320</f>
        <v>589.74358974358984</v>
      </c>
    </row>
    <row r="321" spans="1:13" ht="20.45" customHeight="1">
      <c r="A321" s="533">
        <v>2</v>
      </c>
      <c r="B321" s="585" t="s">
        <v>203</v>
      </c>
      <c r="C321" s="533" t="s">
        <v>202</v>
      </c>
      <c r="D321" s="533">
        <v>96</v>
      </c>
      <c r="E321" s="535">
        <f>'Bang gia'!E7</f>
        <v>360000</v>
      </c>
      <c r="F321" s="535">
        <f>E321/(D321*26)</f>
        <v>144.23076923076923</v>
      </c>
      <c r="G321" s="581">
        <v>0.18</v>
      </c>
      <c r="H321" s="535">
        <f t="shared" ref="H321:H335" si="48">F321*G321</f>
        <v>25.96153846153846</v>
      </c>
      <c r="I321" s="537">
        <v>2.94</v>
      </c>
      <c r="J321" s="538">
        <f t="shared" si="46"/>
        <v>424.03846153846149</v>
      </c>
      <c r="K321" s="539"/>
      <c r="L321" s="540"/>
      <c r="M321" s="541">
        <f t="shared" si="47"/>
        <v>449.99999999999994</v>
      </c>
    </row>
    <row r="322" spans="1:13" ht="20.45" customHeight="1">
      <c r="A322" s="533">
        <v>3</v>
      </c>
      <c r="B322" s="534" t="s">
        <v>204</v>
      </c>
      <c r="C322" s="533" t="s">
        <v>202</v>
      </c>
      <c r="D322" s="533">
        <v>96</v>
      </c>
      <c r="E322" s="535">
        <f>'Bang gia'!E8</f>
        <v>754000</v>
      </c>
      <c r="F322" s="535">
        <f>E322/(D322*26)</f>
        <v>302.08333333333331</v>
      </c>
      <c r="G322" s="581">
        <v>0.18</v>
      </c>
      <c r="H322" s="535">
        <f t="shared" si="48"/>
        <v>54.374999999999993</v>
      </c>
      <c r="I322" s="537">
        <v>2.94</v>
      </c>
      <c r="J322" s="538">
        <f t="shared" si="46"/>
        <v>888.12499999999989</v>
      </c>
      <c r="K322" s="539"/>
      <c r="L322" s="540"/>
      <c r="M322" s="541">
        <f t="shared" si="47"/>
        <v>942.49999999999989</v>
      </c>
    </row>
    <row r="323" spans="1:13" ht="20.45" customHeight="1">
      <c r="A323" s="533">
        <v>4</v>
      </c>
      <c r="B323" s="534" t="s">
        <v>205</v>
      </c>
      <c r="C323" s="533" t="s">
        <v>202</v>
      </c>
      <c r="D323" s="533">
        <v>96</v>
      </c>
      <c r="E323" s="535">
        <f>'Bang gia'!E9</f>
        <v>2331000</v>
      </c>
      <c r="F323" s="535">
        <f t="shared" ref="F323:F334" si="49">E323/(D323*26)</f>
        <v>933.89423076923072</v>
      </c>
      <c r="G323" s="581">
        <v>0.18</v>
      </c>
      <c r="H323" s="535">
        <f t="shared" si="48"/>
        <v>168.10096153846152</v>
      </c>
      <c r="I323" s="537">
        <v>2.2200000000000002</v>
      </c>
      <c r="J323" s="538">
        <f t="shared" si="46"/>
        <v>2073.2451923076924</v>
      </c>
      <c r="K323" s="539"/>
      <c r="L323" s="540"/>
      <c r="M323" s="541">
        <f t="shared" si="47"/>
        <v>2241.3461538461538</v>
      </c>
    </row>
    <row r="324" spans="1:13" ht="20.45" customHeight="1">
      <c r="A324" s="533">
        <v>5</v>
      </c>
      <c r="B324" s="534" t="s">
        <v>206</v>
      </c>
      <c r="C324" s="533" t="s">
        <v>202</v>
      </c>
      <c r="D324" s="533">
        <v>24</v>
      </c>
      <c r="E324" s="535">
        <f>'Bang gia'!E10</f>
        <v>15000</v>
      </c>
      <c r="F324" s="535">
        <f t="shared" si="49"/>
        <v>24.03846153846154</v>
      </c>
      <c r="G324" s="539">
        <v>8.9999999999999993E-3</v>
      </c>
      <c r="H324" s="756">
        <f t="shared" si="48"/>
        <v>0.21634615384615385</v>
      </c>
      <c r="I324" s="537">
        <v>0.54300000000000004</v>
      </c>
      <c r="J324" s="757">
        <f t="shared" si="46"/>
        <v>13.052884615384617</v>
      </c>
      <c r="K324" s="539"/>
      <c r="L324" s="738"/>
      <c r="M324" s="749">
        <f t="shared" si="47"/>
        <v>13.26923076923077</v>
      </c>
    </row>
    <row r="325" spans="1:13" ht="20.45" customHeight="1">
      <c r="A325" s="533">
        <v>6</v>
      </c>
      <c r="B325" s="534" t="s">
        <v>207</v>
      </c>
      <c r="C325" s="533" t="s">
        <v>202</v>
      </c>
      <c r="D325" s="533">
        <v>36</v>
      </c>
      <c r="E325" s="535">
        <f>'Bang gia'!E11</f>
        <v>270000</v>
      </c>
      <c r="F325" s="535">
        <f t="shared" si="49"/>
        <v>288.46153846153845</v>
      </c>
      <c r="G325" s="539">
        <v>2E-3</v>
      </c>
      <c r="H325" s="756">
        <f t="shared" si="48"/>
        <v>0.57692307692307687</v>
      </c>
      <c r="I325" s="537">
        <v>0.32100000000000001</v>
      </c>
      <c r="J325" s="757">
        <f t="shared" si="46"/>
        <v>92.59615384615384</v>
      </c>
      <c r="K325" s="539"/>
      <c r="L325" s="738"/>
      <c r="M325" s="541">
        <f t="shared" si="47"/>
        <v>93.17307692307692</v>
      </c>
    </row>
    <row r="326" spans="1:13" ht="20.45" customHeight="1">
      <c r="A326" s="533">
        <v>7</v>
      </c>
      <c r="B326" s="534" t="s">
        <v>208</v>
      </c>
      <c r="C326" s="533" t="s">
        <v>202</v>
      </c>
      <c r="D326" s="533">
        <v>12</v>
      </c>
      <c r="E326" s="535">
        <f>'Bang gia'!E12</f>
        <v>48000</v>
      </c>
      <c r="F326" s="535">
        <f t="shared" si="49"/>
        <v>153.84615384615384</v>
      </c>
      <c r="G326" s="539">
        <v>2E-3</v>
      </c>
      <c r="H326" s="756">
        <f t="shared" si="48"/>
        <v>0.30769230769230771</v>
      </c>
      <c r="I326" s="537">
        <v>0.33600000000000002</v>
      </c>
      <c r="J326" s="757">
        <f t="shared" si="46"/>
        <v>51.692307692307693</v>
      </c>
      <c r="K326" s="539"/>
      <c r="L326" s="738"/>
      <c r="M326" s="749">
        <f t="shared" si="47"/>
        <v>52</v>
      </c>
    </row>
    <row r="327" spans="1:13" ht="20.45" customHeight="1">
      <c r="A327" s="533">
        <v>8</v>
      </c>
      <c r="B327" s="534" t="s">
        <v>209</v>
      </c>
      <c r="C327" s="533" t="s">
        <v>202</v>
      </c>
      <c r="D327" s="533">
        <v>12</v>
      </c>
      <c r="E327" s="535">
        <f>'Bang gia'!E13</f>
        <v>25000</v>
      </c>
      <c r="F327" s="535">
        <f t="shared" si="49"/>
        <v>80.128205128205124</v>
      </c>
      <c r="G327" s="539">
        <v>0.02</v>
      </c>
      <c r="H327" s="756">
        <f t="shared" si="48"/>
        <v>1.6025641025641024</v>
      </c>
      <c r="I327" s="537">
        <v>0.81299999999999994</v>
      </c>
      <c r="J327" s="538">
        <f t="shared" si="46"/>
        <v>65.144230769230759</v>
      </c>
      <c r="K327" s="539"/>
      <c r="L327" s="738"/>
      <c r="M327" s="541">
        <f t="shared" si="47"/>
        <v>66.746794871794862</v>
      </c>
    </row>
    <row r="328" spans="1:13" ht="20.45" customHeight="1">
      <c r="A328" s="533">
        <v>9</v>
      </c>
      <c r="B328" s="534" t="s">
        <v>210</v>
      </c>
      <c r="C328" s="533" t="s">
        <v>202</v>
      </c>
      <c r="D328" s="533">
        <v>12</v>
      </c>
      <c r="E328" s="535">
        <f>'Bang gia'!E14</f>
        <v>35000</v>
      </c>
      <c r="F328" s="535">
        <f t="shared" si="49"/>
        <v>112.17948717948718</v>
      </c>
      <c r="G328" s="539">
        <v>8.0000000000000002E-3</v>
      </c>
      <c r="H328" s="535">
        <f t="shared" si="48"/>
        <v>0.89743589743589747</v>
      </c>
      <c r="I328" s="537">
        <v>0.38900000000000001</v>
      </c>
      <c r="J328" s="757">
        <f t="shared" si="46"/>
        <v>43.637820512820518</v>
      </c>
      <c r="K328" s="539"/>
      <c r="L328" s="738"/>
      <c r="M328" s="749">
        <f t="shared" si="47"/>
        <v>44.535256410256416</v>
      </c>
    </row>
    <row r="329" spans="1:13" ht="20.45" customHeight="1">
      <c r="A329" s="533">
        <v>10</v>
      </c>
      <c r="B329" s="534" t="s">
        <v>211</v>
      </c>
      <c r="C329" s="533" t="s">
        <v>202</v>
      </c>
      <c r="D329" s="533">
        <v>9</v>
      </c>
      <c r="E329" s="535">
        <f>'Bang gia'!E15</f>
        <v>15000</v>
      </c>
      <c r="F329" s="535">
        <f t="shared" si="49"/>
        <v>64.102564102564102</v>
      </c>
      <c r="G329" s="539">
        <v>3.0000000000000001E-3</v>
      </c>
      <c r="H329" s="535">
        <f t="shared" si="48"/>
        <v>0.19230769230769232</v>
      </c>
      <c r="I329" s="537">
        <v>0.998</v>
      </c>
      <c r="J329" s="757">
        <f t="shared" si="46"/>
        <v>63.974358974358971</v>
      </c>
      <c r="K329" s="539"/>
      <c r="L329" s="738"/>
      <c r="M329" s="749">
        <f t="shared" si="47"/>
        <v>64.166666666666657</v>
      </c>
    </row>
    <row r="330" spans="1:13" ht="20.45" customHeight="1">
      <c r="A330" s="533">
        <v>11</v>
      </c>
      <c r="B330" s="534" t="s">
        <v>544</v>
      </c>
      <c r="C330" s="533" t="s">
        <v>202</v>
      </c>
      <c r="D330" s="533">
        <v>12</v>
      </c>
      <c r="E330" s="535">
        <f>'Bang gia'!E16</f>
        <v>100000</v>
      </c>
      <c r="F330" s="535">
        <f t="shared" si="49"/>
        <v>320.5128205128205</v>
      </c>
      <c r="G330" s="539">
        <v>0.18</v>
      </c>
      <c r="H330" s="535">
        <f t="shared" si="48"/>
        <v>57.692307692307686</v>
      </c>
      <c r="I330" s="537">
        <v>2.94</v>
      </c>
      <c r="J330" s="538">
        <f t="shared" si="46"/>
        <v>942.30769230769226</v>
      </c>
      <c r="K330" s="539"/>
      <c r="L330" s="540"/>
      <c r="M330" s="541">
        <f t="shared" si="47"/>
        <v>1000</v>
      </c>
    </row>
    <row r="331" spans="1:13" ht="20.45" customHeight="1">
      <c r="A331" s="533">
        <v>12</v>
      </c>
      <c r="B331" s="534" t="s">
        <v>213</v>
      </c>
      <c r="C331" s="533" t="s">
        <v>381</v>
      </c>
      <c r="D331" s="533">
        <v>6</v>
      </c>
      <c r="E331" s="535">
        <f>'Bang gia'!E17</f>
        <v>18000</v>
      </c>
      <c r="F331" s="535">
        <f t="shared" si="49"/>
        <v>115.38461538461539</v>
      </c>
      <c r="G331" s="539">
        <v>0.18</v>
      </c>
      <c r="H331" s="535">
        <f t="shared" si="48"/>
        <v>20.76923076923077</v>
      </c>
      <c r="I331" s="537">
        <v>2.94</v>
      </c>
      <c r="J331" s="538">
        <f t="shared" si="46"/>
        <v>339.23076923076923</v>
      </c>
      <c r="K331" s="539"/>
      <c r="L331" s="540"/>
      <c r="M331" s="541">
        <f t="shared" si="47"/>
        <v>360</v>
      </c>
    </row>
    <row r="332" spans="1:13" ht="20.45" customHeight="1">
      <c r="A332" s="533">
        <v>13</v>
      </c>
      <c r="B332" s="690" t="s">
        <v>382</v>
      </c>
      <c r="C332" s="533" t="s">
        <v>202</v>
      </c>
      <c r="D332" s="533">
        <v>12</v>
      </c>
      <c r="E332" s="643">
        <f>'Bang gia'!E18</f>
        <v>25000</v>
      </c>
      <c r="F332" s="535">
        <f t="shared" si="49"/>
        <v>80.128205128205124</v>
      </c>
      <c r="G332" s="638">
        <v>0.03</v>
      </c>
      <c r="H332" s="535">
        <f t="shared" si="48"/>
        <v>2.4038461538461537</v>
      </c>
      <c r="I332" s="639">
        <v>0.186</v>
      </c>
      <c r="J332" s="757">
        <f t="shared" si="46"/>
        <v>14.903846153846153</v>
      </c>
      <c r="K332" s="638"/>
      <c r="L332" s="540"/>
      <c r="M332" s="749">
        <f t="shared" si="47"/>
        <v>17.307692307692307</v>
      </c>
    </row>
    <row r="333" spans="1:13" ht="20.45" customHeight="1">
      <c r="A333" s="533">
        <v>14</v>
      </c>
      <c r="B333" s="690" t="s">
        <v>383</v>
      </c>
      <c r="C333" s="533" t="s">
        <v>202</v>
      </c>
      <c r="D333" s="533">
        <v>36</v>
      </c>
      <c r="E333" s="643">
        <f>'Bang gia'!E19</f>
        <v>870000</v>
      </c>
      <c r="F333" s="535">
        <f t="shared" si="49"/>
        <v>929.48717948717945</v>
      </c>
      <c r="G333" s="638">
        <v>0.12</v>
      </c>
      <c r="H333" s="535">
        <f t="shared" si="48"/>
        <v>111.53846153846153</v>
      </c>
      <c r="I333" s="639">
        <v>1.4810000000000001</v>
      </c>
      <c r="J333" s="538">
        <f t="shared" si="46"/>
        <v>1376.5705128205129</v>
      </c>
      <c r="K333" s="638"/>
      <c r="L333" s="540"/>
      <c r="M333" s="541">
        <f t="shared" si="47"/>
        <v>1488.1089743589744</v>
      </c>
    </row>
    <row r="334" spans="1:13" ht="20.45" customHeight="1">
      <c r="A334" s="533">
        <v>15</v>
      </c>
      <c r="B334" s="690" t="s">
        <v>384</v>
      </c>
      <c r="C334" s="641" t="s">
        <v>385</v>
      </c>
      <c r="D334" s="641">
        <v>30</v>
      </c>
      <c r="E334" s="643">
        <f>'Bang gia'!E20</f>
        <v>65000</v>
      </c>
      <c r="F334" s="535">
        <f t="shared" si="49"/>
        <v>83.333333333333329</v>
      </c>
      <c r="G334" s="638">
        <v>0.18</v>
      </c>
      <c r="H334" s="535">
        <f t="shared" si="48"/>
        <v>14.999999999999998</v>
      </c>
      <c r="I334" s="639">
        <v>2.94</v>
      </c>
      <c r="J334" s="538">
        <f t="shared" si="46"/>
        <v>244.99999999999997</v>
      </c>
      <c r="K334" s="638"/>
      <c r="L334" s="540"/>
      <c r="M334" s="541">
        <f t="shared" si="47"/>
        <v>259.99999999999994</v>
      </c>
    </row>
    <row r="335" spans="1:13" ht="20.45" customHeight="1">
      <c r="A335" s="641">
        <v>16</v>
      </c>
      <c r="B335" s="690" t="s">
        <v>386</v>
      </c>
      <c r="C335" s="641" t="s">
        <v>740</v>
      </c>
      <c r="D335" s="641"/>
      <c r="E335" s="643">
        <f>'Bang gia'!E21</f>
        <v>1554</v>
      </c>
      <c r="F335" s="643">
        <f>E335</f>
        <v>1554</v>
      </c>
      <c r="G335" s="638">
        <v>0.153</v>
      </c>
      <c r="H335" s="643">
        <f t="shared" si="48"/>
        <v>237.762</v>
      </c>
      <c r="I335" s="639">
        <v>2.1259999999999999</v>
      </c>
      <c r="J335" s="644">
        <f t="shared" si="46"/>
        <v>3303.8039999999996</v>
      </c>
      <c r="K335" s="638"/>
      <c r="L335" s="645"/>
      <c r="M335" s="646">
        <f t="shared" si="47"/>
        <v>3541.5659999999998</v>
      </c>
    </row>
    <row r="336" spans="1:13" ht="20.45" customHeight="1">
      <c r="A336" s="652"/>
      <c r="B336" s="652" t="s">
        <v>545</v>
      </c>
      <c r="C336" s="652"/>
      <c r="D336" s="652"/>
      <c r="E336" s="577"/>
      <c r="F336" s="577"/>
      <c r="G336" s="576"/>
      <c r="H336" s="577">
        <f>SUM(H320:H335)</f>
        <v>741.62738461538447</v>
      </c>
      <c r="I336" s="654"/>
      <c r="J336" s="655">
        <f>SUM(J320:J335)</f>
        <v>10482.836051282051</v>
      </c>
      <c r="K336" s="576"/>
      <c r="L336" s="546"/>
      <c r="M336" s="546">
        <f t="shared" si="47"/>
        <v>11224.463435897436</v>
      </c>
    </row>
    <row r="337" spans="1:13" ht="20.45" customHeight="1">
      <c r="A337" s="652"/>
      <c r="B337" s="652" t="s">
        <v>758</v>
      </c>
      <c r="C337" s="652"/>
      <c r="D337" s="652"/>
      <c r="E337" s="577"/>
      <c r="F337" s="577"/>
      <c r="G337" s="576"/>
      <c r="H337" s="577">
        <f>(H336-H335)*5%</f>
        <v>25.193269230769225</v>
      </c>
      <c r="I337" s="577"/>
      <c r="J337" s="577">
        <f>(J336-J335)*5%</f>
        <v>358.95160256410259</v>
      </c>
      <c r="K337" s="655"/>
      <c r="L337" s="655"/>
      <c r="M337" s="577">
        <f>(M336-M335)*5%</f>
        <v>384.14487179487185</v>
      </c>
    </row>
    <row r="338" spans="1:13" ht="20.45" customHeight="1">
      <c r="A338" s="657"/>
      <c r="B338" s="543" t="s">
        <v>33</v>
      </c>
      <c r="C338" s="657"/>
      <c r="D338" s="657"/>
      <c r="E338" s="739"/>
      <c r="F338" s="657"/>
      <c r="G338" s="657"/>
      <c r="H338" s="544">
        <f>H336+H337</f>
        <v>766.82065384615373</v>
      </c>
      <c r="I338" s="544"/>
      <c r="J338" s="655">
        <f>J336+J337</f>
        <v>10841.787653846153</v>
      </c>
      <c r="K338" s="655"/>
      <c r="L338" s="655"/>
      <c r="M338" s="655">
        <f>M336+M337</f>
        <v>11608.608307692308</v>
      </c>
    </row>
    <row r="339" spans="1:13">
      <c r="A339" s="409"/>
      <c r="B339" s="409"/>
      <c r="C339" s="409"/>
    </row>
    <row r="340" spans="1:13">
      <c r="A340" s="449"/>
      <c r="B340" s="554" t="s">
        <v>550</v>
      </c>
      <c r="C340" s="449"/>
      <c r="D340" s="449"/>
      <c r="E340" s="559"/>
      <c r="F340" s="449"/>
      <c r="G340" s="449"/>
      <c r="H340" s="557"/>
      <c r="I340" s="561"/>
      <c r="J340" s="734"/>
      <c r="K340" s="561"/>
      <c r="L340" s="734"/>
      <c r="M340" s="734"/>
    </row>
    <row r="341" spans="1:13">
      <c r="A341" s="449"/>
      <c r="B341" s="558" t="s">
        <v>96</v>
      </c>
      <c r="C341" s="449"/>
      <c r="D341" s="449"/>
      <c r="E341" s="559"/>
      <c r="F341" s="449"/>
      <c r="G341" s="449"/>
      <c r="H341" s="557"/>
      <c r="I341" s="561"/>
      <c r="J341" s="734"/>
      <c r="K341" s="561"/>
      <c r="L341" s="734"/>
      <c r="M341" s="734"/>
    </row>
    <row r="342" spans="1:13">
      <c r="A342" s="409"/>
      <c r="B342" s="560" t="s">
        <v>334</v>
      </c>
      <c r="C342" s="409"/>
    </row>
    <row r="343" spans="1:13">
      <c r="A343" s="409"/>
      <c r="B343" s="560" t="s">
        <v>95</v>
      </c>
      <c r="C343" s="409"/>
    </row>
    <row r="344" spans="1:13">
      <c r="A344" s="409"/>
      <c r="B344" s="409"/>
      <c r="C344" s="409"/>
    </row>
    <row r="345" spans="1:13" ht="31.9" customHeight="1">
      <c r="A345" s="1226" t="s">
        <v>180</v>
      </c>
      <c r="B345" s="1226"/>
      <c r="C345" s="1226"/>
      <c r="D345" s="1226"/>
      <c r="E345" s="1226"/>
      <c r="F345" s="1226"/>
      <c r="G345" s="1226"/>
      <c r="H345" s="1226"/>
      <c r="I345" s="1226"/>
      <c r="J345" s="1226"/>
      <c r="K345" s="1226"/>
      <c r="L345" s="1226"/>
      <c r="M345" s="1226"/>
    </row>
    <row r="346" spans="1:13">
      <c r="A346" s="766"/>
      <c r="B346" s="529"/>
      <c r="C346" s="530"/>
      <c r="D346" s="530"/>
      <c r="E346" s="567"/>
      <c r="F346" s="531"/>
      <c r="G346" s="529"/>
      <c r="H346" s="529"/>
      <c r="I346" s="529"/>
      <c r="J346" s="529"/>
      <c r="K346" s="532"/>
      <c r="L346" s="532"/>
      <c r="M346" s="532"/>
    </row>
    <row r="347" spans="1:13" ht="23.25" customHeight="1">
      <c r="A347" s="1203" t="s">
        <v>724</v>
      </c>
      <c r="B347" s="1203" t="s">
        <v>534</v>
      </c>
      <c r="C347" s="1203" t="s">
        <v>535</v>
      </c>
      <c r="D347" s="1206" t="s">
        <v>536</v>
      </c>
      <c r="E347" s="1203" t="s">
        <v>537</v>
      </c>
      <c r="F347" s="1203" t="s">
        <v>538</v>
      </c>
      <c r="G347" s="1212" t="s">
        <v>539</v>
      </c>
      <c r="H347" s="1214"/>
      <c r="I347" s="1214"/>
      <c r="J347" s="1214"/>
      <c r="K347" s="1214"/>
      <c r="L347" s="1213"/>
      <c r="M347" s="1203" t="s">
        <v>226</v>
      </c>
    </row>
    <row r="348" spans="1:13" ht="29.25" customHeight="1">
      <c r="A348" s="1204"/>
      <c r="B348" s="1204"/>
      <c r="C348" s="1204"/>
      <c r="D348" s="1207"/>
      <c r="E348" s="1204"/>
      <c r="F348" s="1204"/>
      <c r="G348" s="1212" t="s">
        <v>164</v>
      </c>
      <c r="H348" s="1213"/>
      <c r="I348" s="1212" t="s">
        <v>485</v>
      </c>
      <c r="J348" s="1213"/>
      <c r="K348" s="1212" t="s">
        <v>542</v>
      </c>
      <c r="L348" s="1213"/>
      <c r="M348" s="1204"/>
    </row>
    <row r="349" spans="1:13" ht="26.45" customHeight="1">
      <c r="A349" s="1205"/>
      <c r="B349" s="1205"/>
      <c r="C349" s="1205"/>
      <c r="D349" s="1208"/>
      <c r="E349" s="1205"/>
      <c r="F349" s="1205"/>
      <c r="G349" s="423" t="s">
        <v>739</v>
      </c>
      <c r="H349" s="423" t="s">
        <v>268</v>
      </c>
      <c r="I349" s="423" t="s">
        <v>739</v>
      </c>
      <c r="J349" s="423" t="s">
        <v>268</v>
      </c>
      <c r="K349" s="423" t="s">
        <v>739</v>
      </c>
      <c r="L349" s="423" t="s">
        <v>268</v>
      </c>
      <c r="M349" s="1205"/>
    </row>
    <row r="350" spans="1:13" ht="28.9" customHeight="1">
      <c r="A350" s="578">
        <v>1</v>
      </c>
      <c r="B350" s="579" t="s">
        <v>201</v>
      </c>
      <c r="C350" s="578" t="s">
        <v>202</v>
      </c>
      <c r="D350" s="578">
        <v>36</v>
      </c>
      <c r="E350" s="580">
        <f>'Bang gia'!E6</f>
        <v>230000</v>
      </c>
      <c r="F350" s="535">
        <f>E350/(D350*26)</f>
        <v>245.72649572649573</v>
      </c>
      <c r="G350" s="581">
        <v>1.7999999999999999E-2</v>
      </c>
      <c r="H350" s="735">
        <f t="shared" ref="H350:H356" si="50">F350*G350</f>
        <v>4.4230769230769225</v>
      </c>
      <c r="I350" s="581"/>
      <c r="J350" s="736"/>
      <c r="K350" s="581">
        <v>4.4400000000000004</v>
      </c>
      <c r="L350" s="583">
        <f t="shared" ref="L350:L357" si="51">F350*K350</f>
        <v>1091.0256410256411</v>
      </c>
      <c r="M350" s="582">
        <f t="shared" ref="M350:M361" si="52">H350+J350+L350</f>
        <v>1095.448717948718</v>
      </c>
    </row>
    <row r="351" spans="1:13" ht="28.9" customHeight="1">
      <c r="A351" s="533">
        <v>2</v>
      </c>
      <c r="B351" s="585" t="s">
        <v>203</v>
      </c>
      <c r="C351" s="533" t="s">
        <v>202</v>
      </c>
      <c r="D351" s="533">
        <v>96</v>
      </c>
      <c r="E351" s="535">
        <f>'Bang gia'!E7</f>
        <v>360000</v>
      </c>
      <c r="F351" s="535">
        <f>E351/(D351*26)</f>
        <v>144.23076923076923</v>
      </c>
      <c r="G351" s="581">
        <v>1.7999999999999999E-2</v>
      </c>
      <c r="H351" s="535">
        <f t="shared" si="50"/>
        <v>2.5961538461538458</v>
      </c>
      <c r="I351" s="537"/>
      <c r="J351" s="538"/>
      <c r="K351" s="539">
        <v>6.84</v>
      </c>
      <c r="L351" s="540">
        <f t="shared" si="51"/>
        <v>986.53846153846143</v>
      </c>
      <c r="M351" s="541">
        <f t="shared" si="52"/>
        <v>989.13461538461524</v>
      </c>
    </row>
    <row r="352" spans="1:13" ht="28.9" customHeight="1">
      <c r="A352" s="533">
        <v>3</v>
      </c>
      <c r="B352" s="534" t="s">
        <v>204</v>
      </c>
      <c r="C352" s="533" t="s">
        <v>202</v>
      </c>
      <c r="D352" s="533">
        <v>96</v>
      </c>
      <c r="E352" s="535">
        <f>'Bang gia'!E8</f>
        <v>754000</v>
      </c>
      <c r="F352" s="535">
        <f>E352/(D352*26)</f>
        <v>302.08333333333331</v>
      </c>
      <c r="G352" s="581">
        <v>1.7999999999999999E-2</v>
      </c>
      <c r="H352" s="535">
        <f t="shared" si="50"/>
        <v>5.4374999999999991</v>
      </c>
      <c r="I352" s="537"/>
      <c r="J352" s="538"/>
      <c r="K352" s="539">
        <v>6.84</v>
      </c>
      <c r="L352" s="540">
        <f t="shared" si="51"/>
        <v>2066.25</v>
      </c>
      <c r="M352" s="541">
        <f t="shared" si="52"/>
        <v>2071.6875</v>
      </c>
    </row>
    <row r="353" spans="1:13" ht="28.9" customHeight="1">
      <c r="A353" s="533">
        <v>4</v>
      </c>
      <c r="B353" s="534" t="s">
        <v>205</v>
      </c>
      <c r="C353" s="533" t="s">
        <v>202</v>
      </c>
      <c r="D353" s="533">
        <v>96</v>
      </c>
      <c r="E353" s="535">
        <f>'Bang gia'!E9</f>
        <v>2331000</v>
      </c>
      <c r="F353" s="535">
        <f t="shared" ref="F353:F359" si="53">E353/(D353*26)</f>
        <v>933.89423076923072</v>
      </c>
      <c r="G353" s="581">
        <v>1.7999999999999999E-2</v>
      </c>
      <c r="H353" s="535">
        <f t="shared" si="50"/>
        <v>16.810096153846153</v>
      </c>
      <c r="I353" s="537"/>
      <c r="J353" s="538"/>
      <c r="K353" s="581">
        <v>4.4400000000000004</v>
      </c>
      <c r="L353" s="540">
        <f t="shared" si="51"/>
        <v>4146.4903846153848</v>
      </c>
      <c r="M353" s="541">
        <f t="shared" si="52"/>
        <v>4163.3004807692305</v>
      </c>
    </row>
    <row r="354" spans="1:13" ht="28.9" customHeight="1">
      <c r="A354" s="533">
        <v>5</v>
      </c>
      <c r="B354" s="534" t="s">
        <v>209</v>
      </c>
      <c r="C354" s="533" t="s">
        <v>202</v>
      </c>
      <c r="D354" s="533">
        <v>12</v>
      </c>
      <c r="E354" s="535">
        <f>'Bang gia'!E13</f>
        <v>25000</v>
      </c>
      <c r="F354" s="535">
        <f t="shared" si="53"/>
        <v>80.128205128205124</v>
      </c>
      <c r="G354" s="581">
        <v>1.7999999999999999E-2</v>
      </c>
      <c r="H354" s="737">
        <f t="shared" si="50"/>
        <v>1.4423076923076921</v>
      </c>
      <c r="I354" s="537"/>
      <c r="J354" s="767"/>
      <c r="K354" s="539">
        <v>2.3E-2</v>
      </c>
      <c r="L354" s="540">
        <f t="shared" si="51"/>
        <v>1.8429487179487178</v>
      </c>
      <c r="M354" s="541">
        <f t="shared" si="52"/>
        <v>3.2852564102564097</v>
      </c>
    </row>
    <row r="355" spans="1:13" ht="28.9" customHeight="1">
      <c r="A355" s="533">
        <v>6</v>
      </c>
      <c r="B355" s="534" t="s">
        <v>544</v>
      </c>
      <c r="C355" s="533" t="s">
        <v>202</v>
      </c>
      <c r="D355" s="533">
        <v>12</v>
      </c>
      <c r="E355" s="535">
        <f>'Bang gia'!E16</f>
        <v>100000</v>
      </c>
      <c r="F355" s="535">
        <f t="shared" si="53"/>
        <v>320.5128205128205</v>
      </c>
      <c r="G355" s="581">
        <v>1.7999999999999999E-2</v>
      </c>
      <c r="H355" s="535">
        <f t="shared" si="50"/>
        <v>5.7692307692307683</v>
      </c>
      <c r="I355" s="537"/>
      <c r="J355" s="538"/>
      <c r="K355" s="539">
        <v>6.84</v>
      </c>
      <c r="L355" s="540">
        <f t="shared" si="51"/>
        <v>2192.3076923076924</v>
      </c>
      <c r="M355" s="541">
        <f t="shared" si="52"/>
        <v>2198.0769230769233</v>
      </c>
    </row>
    <row r="356" spans="1:13" ht="28.9" customHeight="1">
      <c r="A356" s="533">
        <v>7</v>
      </c>
      <c r="B356" s="534" t="s">
        <v>213</v>
      </c>
      <c r="C356" s="533" t="s">
        <v>381</v>
      </c>
      <c r="D356" s="533">
        <v>6</v>
      </c>
      <c r="E356" s="535">
        <f>'Bang gia'!E17</f>
        <v>18000</v>
      </c>
      <c r="F356" s="535">
        <f t="shared" si="53"/>
        <v>115.38461538461539</v>
      </c>
      <c r="G356" s="581">
        <v>1.7999999999999999E-2</v>
      </c>
      <c r="H356" s="737">
        <f t="shared" si="50"/>
        <v>2.0769230769230766</v>
      </c>
      <c r="I356" s="537"/>
      <c r="J356" s="538"/>
      <c r="K356" s="539">
        <v>6.84</v>
      </c>
      <c r="L356" s="540">
        <f t="shared" si="51"/>
        <v>789.23076923076928</v>
      </c>
      <c r="M356" s="541">
        <f t="shared" si="52"/>
        <v>791.30769230769238</v>
      </c>
    </row>
    <row r="357" spans="1:13" ht="28.9" customHeight="1">
      <c r="A357" s="533">
        <v>8</v>
      </c>
      <c r="B357" s="690" t="s">
        <v>382</v>
      </c>
      <c r="C357" s="533" t="s">
        <v>202</v>
      </c>
      <c r="D357" s="533">
        <v>12</v>
      </c>
      <c r="E357" s="643">
        <f>'Bang gia'!E18</f>
        <v>25000</v>
      </c>
      <c r="F357" s="535">
        <f t="shared" si="53"/>
        <v>80.128205128205124</v>
      </c>
      <c r="G357" s="638"/>
      <c r="H357" s="535"/>
      <c r="I357" s="639"/>
      <c r="J357" s="757"/>
      <c r="K357" s="638">
        <v>1.4999999999999999E-2</v>
      </c>
      <c r="L357" s="540">
        <f t="shared" si="51"/>
        <v>1.2019230769230769</v>
      </c>
      <c r="M357" s="541">
        <f t="shared" si="52"/>
        <v>1.2019230769230769</v>
      </c>
    </row>
    <row r="358" spans="1:13" ht="28.9" customHeight="1">
      <c r="A358" s="533">
        <v>9</v>
      </c>
      <c r="B358" s="690" t="s">
        <v>383</v>
      </c>
      <c r="C358" s="533" t="s">
        <v>202</v>
      </c>
      <c r="D358" s="533">
        <v>36</v>
      </c>
      <c r="E358" s="643">
        <f>'Bang gia'!E19</f>
        <v>870000</v>
      </c>
      <c r="F358" s="535">
        <f t="shared" si="53"/>
        <v>929.48717948717945</v>
      </c>
      <c r="G358" s="638">
        <v>1.2E-2</v>
      </c>
      <c r="H358" s="535">
        <f>F358*G358</f>
        <v>11.153846153846153</v>
      </c>
      <c r="I358" s="639"/>
      <c r="J358" s="538"/>
      <c r="K358" s="638">
        <v>0.36</v>
      </c>
      <c r="L358" s="540">
        <f>F358*K358</f>
        <v>334.61538461538458</v>
      </c>
      <c r="M358" s="541">
        <f t="shared" si="52"/>
        <v>345.76923076923072</v>
      </c>
    </row>
    <row r="359" spans="1:13" ht="28.9" customHeight="1">
      <c r="A359" s="533">
        <v>10</v>
      </c>
      <c r="B359" s="690" t="s">
        <v>384</v>
      </c>
      <c r="C359" s="641" t="s">
        <v>385</v>
      </c>
      <c r="D359" s="641">
        <v>30</v>
      </c>
      <c r="E359" s="643">
        <f>'Bang gia'!E20</f>
        <v>65000</v>
      </c>
      <c r="F359" s="535">
        <f t="shared" si="53"/>
        <v>83.333333333333329</v>
      </c>
      <c r="G359" s="581">
        <v>1.7999999999999999E-2</v>
      </c>
      <c r="H359" s="737">
        <f>F359*G359</f>
        <v>1.4999999999999998</v>
      </c>
      <c r="I359" s="639"/>
      <c r="J359" s="757"/>
      <c r="K359" s="638">
        <v>4.4400000000000004</v>
      </c>
      <c r="L359" s="540">
        <f>F359*K359</f>
        <v>370</v>
      </c>
      <c r="M359" s="541">
        <f t="shared" si="52"/>
        <v>371.5</v>
      </c>
    </row>
    <row r="360" spans="1:13" ht="28.9" customHeight="1">
      <c r="A360" s="641">
        <v>11</v>
      </c>
      <c r="B360" s="690" t="s">
        <v>386</v>
      </c>
      <c r="C360" s="641" t="s">
        <v>740</v>
      </c>
      <c r="D360" s="641"/>
      <c r="E360" s="643">
        <f>'Bang gia'!E21</f>
        <v>1554</v>
      </c>
      <c r="F360" s="643">
        <f>E360</f>
        <v>1554</v>
      </c>
      <c r="G360" s="638">
        <v>1.4999999999999999E-2</v>
      </c>
      <c r="H360" s="643">
        <f>F360*G360</f>
        <v>23.31</v>
      </c>
      <c r="I360" s="639"/>
      <c r="J360" s="644"/>
      <c r="K360" s="638">
        <v>1.7090000000000001</v>
      </c>
      <c r="L360" s="645">
        <f>F360*K360</f>
        <v>2655.7860000000001</v>
      </c>
      <c r="M360" s="646">
        <f t="shared" si="52"/>
        <v>2679.096</v>
      </c>
    </row>
    <row r="361" spans="1:13" ht="28.9" customHeight="1">
      <c r="A361" s="652"/>
      <c r="B361" s="652" t="s">
        <v>545</v>
      </c>
      <c r="C361" s="652"/>
      <c r="D361" s="652"/>
      <c r="E361" s="577"/>
      <c r="F361" s="577"/>
      <c r="G361" s="576"/>
      <c r="H361" s="577">
        <f>SUM(H350:H360)</f>
        <v>74.519134615384601</v>
      </c>
      <c r="I361" s="654"/>
      <c r="J361" s="655"/>
      <c r="K361" s="576"/>
      <c r="L361" s="546">
        <f>SUM(L350:L360)</f>
        <v>14635.289205128207</v>
      </c>
      <c r="M361" s="546">
        <f t="shared" si="52"/>
        <v>14709.808339743591</v>
      </c>
    </row>
    <row r="362" spans="1:13" ht="28.9" customHeight="1">
      <c r="A362" s="652"/>
      <c r="B362" s="652" t="s">
        <v>758</v>
      </c>
      <c r="C362" s="652"/>
      <c r="D362" s="652"/>
      <c r="E362" s="577"/>
      <c r="F362" s="577"/>
      <c r="G362" s="576"/>
      <c r="H362" s="577">
        <f>(H361-H360)*5%</f>
        <v>2.5604567307692303</v>
      </c>
      <c r="I362" s="577"/>
      <c r="J362" s="655"/>
      <c r="K362" s="655"/>
      <c r="L362" s="577">
        <f>(L361-L360)*5%</f>
        <v>598.97516025641039</v>
      </c>
      <c r="M362" s="577">
        <f>(M361-M360)*5%</f>
        <v>601.53561698717965</v>
      </c>
    </row>
    <row r="363" spans="1:13" ht="28.9" customHeight="1">
      <c r="A363" s="657"/>
      <c r="B363" s="543" t="s">
        <v>33</v>
      </c>
      <c r="C363" s="657"/>
      <c r="D363" s="657"/>
      <c r="E363" s="739"/>
      <c r="F363" s="657"/>
      <c r="G363" s="657"/>
      <c r="H363" s="544">
        <f>H361+H362</f>
        <v>77.079591346153833</v>
      </c>
      <c r="I363" s="544"/>
      <c r="J363" s="655"/>
      <c r="K363" s="655"/>
      <c r="L363" s="655">
        <f>L361+L362</f>
        <v>15234.264365384617</v>
      </c>
      <c r="M363" s="655">
        <f>M361+M362</f>
        <v>15311.343956730771</v>
      </c>
    </row>
    <row r="364" spans="1:13">
      <c r="A364" s="409"/>
      <c r="B364" s="409"/>
      <c r="C364" s="409"/>
    </row>
    <row r="365" spans="1:13">
      <c r="A365" s="449"/>
      <c r="B365" s="554" t="s">
        <v>550</v>
      </c>
      <c r="C365" s="449"/>
      <c r="D365" s="449"/>
      <c r="E365" s="559"/>
      <c r="F365" s="449"/>
      <c r="G365" s="449"/>
      <c r="H365" s="557"/>
      <c r="I365" s="561"/>
      <c r="J365" s="734"/>
      <c r="K365" s="561"/>
      <c r="L365" s="734"/>
      <c r="M365" s="734"/>
    </row>
    <row r="366" spans="1:13" ht="21" customHeight="1">
      <c r="A366" s="449"/>
      <c r="B366" s="558" t="s">
        <v>165</v>
      </c>
      <c r="C366" s="449"/>
      <c r="D366" s="449"/>
      <c r="E366" s="559"/>
      <c r="F366" s="449"/>
      <c r="G366" s="449"/>
      <c r="H366" s="557"/>
      <c r="I366" s="561"/>
      <c r="J366" s="734"/>
      <c r="K366" s="561"/>
      <c r="L366" s="734"/>
      <c r="M366" s="560"/>
    </row>
    <row r="367" spans="1:13" ht="27.6" customHeight="1">
      <c r="A367" s="449"/>
      <c r="B367" s="1217" t="s">
        <v>334</v>
      </c>
      <c r="C367" s="1217"/>
      <c r="D367" s="1217"/>
      <c r="E367" s="1217"/>
      <c r="F367" s="1217"/>
      <c r="G367" s="1217"/>
      <c r="H367" s="1217"/>
      <c r="I367" s="1217"/>
      <c r="J367" s="1217"/>
      <c r="K367" s="1217"/>
      <c r="L367" s="1217"/>
      <c r="M367" s="1217"/>
    </row>
    <row r="368" spans="1:13" ht="33" customHeight="1">
      <c r="A368" s="449"/>
      <c r="B368" s="1217" t="s">
        <v>335</v>
      </c>
      <c r="C368" s="1217"/>
      <c r="D368" s="1217"/>
      <c r="E368" s="1217"/>
      <c r="F368" s="1217"/>
      <c r="G368" s="1217"/>
      <c r="H368" s="1217"/>
      <c r="I368" s="1217"/>
      <c r="J368" s="1217"/>
      <c r="K368" s="1217"/>
      <c r="L368" s="1217"/>
      <c r="M368" s="1217"/>
    </row>
    <row r="369" spans="1:13" ht="15.6" customHeight="1">
      <c r="A369" s="435"/>
      <c r="C369" s="555"/>
      <c r="D369" s="449"/>
      <c r="E369" s="559"/>
      <c r="F369" s="449"/>
      <c r="G369" s="556"/>
      <c r="H369" s="556"/>
      <c r="I369" s="557"/>
      <c r="J369" s="557"/>
      <c r="K369" s="557"/>
      <c r="L369" s="557"/>
      <c r="M369" s="449"/>
    </row>
    <row r="370" spans="1:13" ht="25.9" customHeight="1">
      <c r="A370" s="1221" t="s">
        <v>789</v>
      </c>
      <c r="B370" s="1221"/>
      <c r="C370" s="1221"/>
      <c r="D370" s="1221"/>
      <c r="E370" s="1221"/>
      <c r="F370" s="1221"/>
      <c r="G370" s="1221"/>
      <c r="H370" s="1221"/>
    </row>
    <row r="371" spans="1:13" ht="10.5" customHeight="1">
      <c r="A371" s="715"/>
      <c r="B371" s="715"/>
      <c r="C371" s="716"/>
      <c r="D371" s="530"/>
      <c r="E371" s="567"/>
      <c r="F371" s="531"/>
      <c r="G371" s="529"/>
      <c r="H371" s="529"/>
    </row>
    <row r="372" spans="1:13" ht="49.5" customHeight="1">
      <c r="A372" s="676" t="s">
        <v>724</v>
      </c>
      <c r="B372" s="676" t="s">
        <v>534</v>
      </c>
      <c r="C372" s="676" t="s">
        <v>535</v>
      </c>
      <c r="D372" s="768" t="s">
        <v>634</v>
      </c>
      <c r="E372" s="676" t="s">
        <v>537</v>
      </c>
      <c r="F372" s="423" t="s">
        <v>538</v>
      </c>
      <c r="G372" s="423" t="s">
        <v>635</v>
      </c>
      <c r="H372" s="423" t="s">
        <v>636</v>
      </c>
      <c r="I372" s="1218" t="s">
        <v>983</v>
      </c>
      <c r="J372" s="1219"/>
      <c r="K372" s="1219"/>
      <c r="L372" s="1219"/>
      <c r="M372" s="1220"/>
    </row>
    <row r="373" spans="1:13" ht="24.6" customHeight="1">
      <c r="A373" s="578">
        <v>1</v>
      </c>
      <c r="B373" s="579" t="s">
        <v>201</v>
      </c>
      <c r="C373" s="578" t="s">
        <v>202</v>
      </c>
      <c r="D373" s="578">
        <v>36</v>
      </c>
      <c r="E373" s="580">
        <f t="shared" ref="E373:E388" si="54">E320</f>
        <v>230000</v>
      </c>
      <c r="F373" s="612">
        <f>E373/(D373*26)</f>
        <v>245.72649572649573</v>
      </c>
      <c r="G373" s="613">
        <v>0.08</v>
      </c>
      <c r="H373" s="769">
        <f>F373*G373</f>
        <v>19.658119658119659</v>
      </c>
      <c r="I373" s="770"/>
      <c r="J373" s="678"/>
      <c r="K373" s="678"/>
      <c r="L373" s="678"/>
      <c r="M373" s="680"/>
    </row>
    <row r="374" spans="1:13" ht="24.6" customHeight="1">
      <c r="A374" s="533">
        <v>2</v>
      </c>
      <c r="B374" s="585" t="s">
        <v>203</v>
      </c>
      <c r="C374" s="533" t="s">
        <v>202</v>
      </c>
      <c r="D374" s="533">
        <v>96</v>
      </c>
      <c r="E374" s="535">
        <f t="shared" si="54"/>
        <v>360000</v>
      </c>
      <c r="F374" s="535">
        <f>E374/(D374*26)</f>
        <v>144.23076923076923</v>
      </c>
      <c r="G374" s="539">
        <v>0.32</v>
      </c>
      <c r="H374" s="771">
        <f>F374*G374</f>
        <v>46.153846153846153</v>
      </c>
      <c r="I374" s="617"/>
      <c r="J374" s="618"/>
      <c r="K374" s="618"/>
      <c r="L374" s="618"/>
      <c r="M374" s="619"/>
    </row>
    <row r="375" spans="1:13" ht="24.6" customHeight="1">
      <c r="A375" s="533">
        <v>3</v>
      </c>
      <c r="B375" s="534" t="s">
        <v>204</v>
      </c>
      <c r="C375" s="533" t="s">
        <v>202</v>
      </c>
      <c r="D375" s="533">
        <v>96</v>
      </c>
      <c r="E375" s="535">
        <f t="shared" si="54"/>
        <v>754000</v>
      </c>
      <c r="F375" s="535">
        <f>E375/(D375*26)</f>
        <v>302.08333333333331</v>
      </c>
      <c r="G375" s="539">
        <v>0.32</v>
      </c>
      <c r="H375" s="771">
        <f t="shared" ref="H375:H388" si="55">F375*G375</f>
        <v>96.666666666666657</v>
      </c>
      <c r="I375" s="617"/>
      <c r="J375" s="618"/>
      <c r="K375" s="618"/>
      <c r="L375" s="618"/>
      <c r="M375" s="619"/>
    </row>
    <row r="376" spans="1:13" ht="24.6" customHeight="1">
      <c r="A376" s="533">
        <v>4</v>
      </c>
      <c r="B376" s="534" t="s">
        <v>205</v>
      </c>
      <c r="C376" s="533" t="s">
        <v>202</v>
      </c>
      <c r="D376" s="533">
        <v>96</v>
      </c>
      <c r="E376" s="535">
        <f t="shared" si="54"/>
        <v>2331000</v>
      </c>
      <c r="F376" s="535">
        <f t="shared" ref="F376:F387" si="56">E376/(D376*26)</f>
        <v>933.89423076923072</v>
      </c>
      <c r="G376" s="539">
        <v>0.08</v>
      </c>
      <c r="H376" s="771">
        <f t="shared" si="55"/>
        <v>74.711538461538453</v>
      </c>
      <c r="I376" s="617"/>
      <c r="J376" s="618"/>
      <c r="K376" s="618"/>
      <c r="L376" s="618"/>
      <c r="M376" s="619"/>
    </row>
    <row r="377" spans="1:13" ht="24.6" customHeight="1">
      <c r="A377" s="533">
        <v>5</v>
      </c>
      <c r="B377" s="534" t="s">
        <v>206</v>
      </c>
      <c r="C377" s="533" t="s">
        <v>202</v>
      </c>
      <c r="D377" s="533">
        <v>24</v>
      </c>
      <c r="E377" s="535">
        <f t="shared" si="54"/>
        <v>15000</v>
      </c>
      <c r="F377" s="535">
        <f t="shared" si="56"/>
        <v>24.03846153846154</v>
      </c>
      <c r="G377" s="539">
        <v>0.05</v>
      </c>
      <c r="H377" s="771">
        <f t="shared" si="55"/>
        <v>1.2019230769230771</v>
      </c>
      <c r="I377" s="617"/>
      <c r="J377" s="618"/>
      <c r="K377" s="618"/>
      <c r="L377" s="618"/>
      <c r="M377" s="619"/>
    </row>
    <row r="378" spans="1:13" ht="24.6" customHeight="1">
      <c r="A378" s="533">
        <v>6</v>
      </c>
      <c r="B378" s="534" t="s">
        <v>207</v>
      </c>
      <c r="C378" s="533" t="s">
        <v>202</v>
      </c>
      <c r="D378" s="533">
        <v>36</v>
      </c>
      <c r="E378" s="535">
        <f t="shared" si="54"/>
        <v>270000</v>
      </c>
      <c r="F378" s="535">
        <f t="shared" si="56"/>
        <v>288.46153846153845</v>
      </c>
      <c r="G378" s="539">
        <v>0.01</v>
      </c>
      <c r="H378" s="771">
        <f t="shared" si="55"/>
        <v>2.8846153846153846</v>
      </c>
      <c r="I378" s="617"/>
      <c r="J378" s="618"/>
      <c r="K378" s="618"/>
      <c r="L378" s="618"/>
      <c r="M378" s="619"/>
    </row>
    <row r="379" spans="1:13" ht="24.6" customHeight="1">
      <c r="A379" s="533">
        <v>7</v>
      </c>
      <c r="B379" s="534" t="s">
        <v>209</v>
      </c>
      <c r="C379" s="533" t="s">
        <v>202</v>
      </c>
      <c r="D379" s="533">
        <v>12</v>
      </c>
      <c r="E379" s="535">
        <f t="shared" si="54"/>
        <v>48000</v>
      </c>
      <c r="F379" s="535">
        <f t="shared" si="56"/>
        <v>153.84615384615384</v>
      </c>
      <c r="G379" s="539">
        <v>0.11</v>
      </c>
      <c r="H379" s="771">
        <f t="shared" si="55"/>
        <v>16.923076923076923</v>
      </c>
      <c r="I379" s="617"/>
      <c r="J379" s="618"/>
      <c r="K379" s="618"/>
      <c r="L379" s="618"/>
      <c r="M379" s="619"/>
    </row>
    <row r="380" spans="1:13" ht="24.6" customHeight="1">
      <c r="A380" s="533">
        <v>8</v>
      </c>
      <c r="B380" s="534" t="s">
        <v>210</v>
      </c>
      <c r="C380" s="533" t="s">
        <v>202</v>
      </c>
      <c r="D380" s="533">
        <v>12</v>
      </c>
      <c r="E380" s="535">
        <f t="shared" si="54"/>
        <v>25000</v>
      </c>
      <c r="F380" s="535">
        <f t="shared" si="56"/>
        <v>80.128205128205124</v>
      </c>
      <c r="G380" s="539">
        <v>0.04</v>
      </c>
      <c r="H380" s="771">
        <f t="shared" si="55"/>
        <v>3.2051282051282048</v>
      </c>
      <c r="I380" s="617"/>
      <c r="J380" s="618"/>
      <c r="K380" s="618"/>
      <c r="L380" s="618"/>
      <c r="M380" s="619"/>
    </row>
    <row r="381" spans="1:13" ht="24.6" customHeight="1">
      <c r="A381" s="533">
        <v>9</v>
      </c>
      <c r="B381" s="534" t="s">
        <v>211</v>
      </c>
      <c r="C381" s="533" t="s">
        <v>202</v>
      </c>
      <c r="D381" s="533">
        <v>9</v>
      </c>
      <c r="E381" s="535">
        <f t="shared" si="54"/>
        <v>35000</v>
      </c>
      <c r="F381" s="535">
        <f t="shared" si="56"/>
        <v>149.57264957264957</v>
      </c>
      <c r="G381" s="539">
        <v>0.02</v>
      </c>
      <c r="H381" s="771">
        <f t="shared" si="55"/>
        <v>2.9914529914529915</v>
      </c>
      <c r="I381" s="617"/>
      <c r="J381" s="618"/>
      <c r="K381" s="618"/>
      <c r="L381" s="618"/>
      <c r="M381" s="619"/>
    </row>
    <row r="382" spans="1:13" ht="24.6" customHeight="1">
      <c r="A382" s="533">
        <v>10</v>
      </c>
      <c r="B382" s="534" t="s">
        <v>544</v>
      </c>
      <c r="C382" s="533" t="s">
        <v>202</v>
      </c>
      <c r="D382" s="533">
        <v>12</v>
      </c>
      <c r="E382" s="535">
        <f t="shared" si="54"/>
        <v>15000</v>
      </c>
      <c r="F382" s="535">
        <f t="shared" si="56"/>
        <v>48.07692307692308</v>
      </c>
      <c r="G382" s="539">
        <v>0.32</v>
      </c>
      <c r="H382" s="771">
        <f t="shared" si="55"/>
        <v>15.384615384615387</v>
      </c>
      <c r="I382" s="617"/>
      <c r="J382" s="618"/>
      <c r="K382" s="618"/>
      <c r="L382" s="618"/>
      <c r="M382" s="619"/>
    </row>
    <row r="383" spans="1:13" ht="24.6" customHeight="1">
      <c r="A383" s="533">
        <v>11</v>
      </c>
      <c r="B383" s="534" t="s">
        <v>213</v>
      </c>
      <c r="C383" s="533" t="s">
        <v>381</v>
      </c>
      <c r="D383" s="533">
        <v>6</v>
      </c>
      <c r="E383" s="535">
        <f t="shared" si="54"/>
        <v>100000</v>
      </c>
      <c r="F383" s="535">
        <f t="shared" si="56"/>
        <v>641.02564102564099</v>
      </c>
      <c r="G383" s="539">
        <v>0.32</v>
      </c>
      <c r="H383" s="771">
        <f t="shared" si="55"/>
        <v>205.12820512820511</v>
      </c>
      <c r="I383" s="617"/>
      <c r="J383" s="618"/>
      <c r="K383" s="618"/>
      <c r="L383" s="618"/>
      <c r="M383" s="619"/>
    </row>
    <row r="384" spans="1:13" ht="24.6" customHeight="1">
      <c r="A384" s="533">
        <v>12</v>
      </c>
      <c r="B384" s="690" t="s">
        <v>501</v>
      </c>
      <c r="C384" s="533" t="s">
        <v>202</v>
      </c>
      <c r="D384" s="533">
        <v>48</v>
      </c>
      <c r="E384" s="535">
        <f t="shared" si="54"/>
        <v>18000</v>
      </c>
      <c r="F384" s="535">
        <f t="shared" si="56"/>
        <v>14.423076923076923</v>
      </c>
      <c r="G384" s="638">
        <v>0.08</v>
      </c>
      <c r="H384" s="771">
        <f t="shared" si="55"/>
        <v>1.153846153846154</v>
      </c>
      <c r="I384" s="617"/>
      <c r="J384" s="618"/>
      <c r="K384" s="618"/>
      <c r="L384" s="618"/>
      <c r="M384" s="619"/>
    </row>
    <row r="385" spans="1:13" ht="24.6" customHeight="1">
      <c r="A385" s="533">
        <v>13</v>
      </c>
      <c r="B385" s="690" t="s">
        <v>502</v>
      </c>
      <c r="C385" s="533" t="s">
        <v>202</v>
      </c>
      <c r="D385" s="533">
        <v>24</v>
      </c>
      <c r="E385" s="535">
        <f t="shared" si="54"/>
        <v>25000</v>
      </c>
      <c r="F385" s="535">
        <f t="shared" si="56"/>
        <v>40.064102564102562</v>
      </c>
      <c r="G385" s="638">
        <v>0.08</v>
      </c>
      <c r="H385" s="771">
        <f t="shared" si="55"/>
        <v>3.2051282051282048</v>
      </c>
      <c r="I385" s="617"/>
      <c r="J385" s="618"/>
      <c r="K385" s="618"/>
      <c r="L385" s="618"/>
      <c r="M385" s="619"/>
    </row>
    <row r="386" spans="1:13" ht="24.6" customHeight="1">
      <c r="A386" s="533">
        <v>14</v>
      </c>
      <c r="B386" s="690" t="s">
        <v>383</v>
      </c>
      <c r="C386" s="533" t="s">
        <v>202</v>
      </c>
      <c r="D386" s="533">
        <v>36</v>
      </c>
      <c r="E386" s="535">
        <f t="shared" si="54"/>
        <v>870000</v>
      </c>
      <c r="F386" s="535">
        <f t="shared" si="56"/>
        <v>929.48717948717945</v>
      </c>
      <c r="G386" s="638">
        <v>0.06</v>
      </c>
      <c r="H386" s="771">
        <f t="shared" si="55"/>
        <v>55.769230769230766</v>
      </c>
      <c r="I386" s="617"/>
      <c r="J386" s="618"/>
      <c r="K386" s="618"/>
      <c r="L386" s="618"/>
      <c r="M386" s="619"/>
    </row>
    <row r="387" spans="1:13" ht="24.6" customHeight="1">
      <c r="A387" s="533">
        <v>15</v>
      </c>
      <c r="B387" s="690" t="s">
        <v>384</v>
      </c>
      <c r="C387" s="641" t="s">
        <v>385</v>
      </c>
      <c r="D387" s="641">
        <v>30</v>
      </c>
      <c r="E387" s="535">
        <f t="shared" si="54"/>
        <v>65000</v>
      </c>
      <c r="F387" s="535">
        <f t="shared" si="56"/>
        <v>83.333333333333329</v>
      </c>
      <c r="G387" s="638">
        <v>0.32</v>
      </c>
      <c r="H387" s="771">
        <f t="shared" si="55"/>
        <v>26.666666666666664</v>
      </c>
      <c r="I387" s="617"/>
      <c r="J387" s="618"/>
      <c r="K387" s="618"/>
      <c r="L387" s="618"/>
      <c r="M387" s="619"/>
    </row>
    <row r="388" spans="1:13" ht="24.6" customHeight="1">
      <c r="A388" s="533">
        <v>16</v>
      </c>
      <c r="B388" s="690" t="s">
        <v>386</v>
      </c>
      <c r="C388" s="641" t="s">
        <v>740</v>
      </c>
      <c r="D388" s="641"/>
      <c r="E388" s="535">
        <f t="shared" si="54"/>
        <v>1554</v>
      </c>
      <c r="F388" s="643">
        <f>E388</f>
        <v>1554</v>
      </c>
      <c r="G388" s="638">
        <v>0.15</v>
      </c>
      <c r="H388" s="771">
        <f t="shared" si="55"/>
        <v>233.1</v>
      </c>
      <c r="I388" s="772"/>
      <c r="J388" s="684"/>
      <c r="K388" s="684"/>
      <c r="L388" s="684"/>
      <c r="M388" s="686"/>
    </row>
    <row r="389" spans="1:13" ht="24.6" customHeight="1">
      <c r="A389" s="569"/>
      <c r="B389" s="652" t="s">
        <v>545</v>
      </c>
      <c r="C389" s="569"/>
      <c r="D389" s="569"/>
      <c r="E389" s="571"/>
      <c r="F389" s="571"/>
      <c r="G389" s="727"/>
      <c r="H389" s="546">
        <f>SUM(H373:H388)</f>
        <v>804.80405982905972</v>
      </c>
      <c r="I389" s="573"/>
      <c r="J389" s="574"/>
      <c r="K389" s="574"/>
      <c r="L389" s="574"/>
      <c r="M389" s="575"/>
    </row>
    <row r="390" spans="1:13" ht="24.6" customHeight="1">
      <c r="A390" s="569"/>
      <c r="B390" s="652" t="s">
        <v>758</v>
      </c>
      <c r="C390" s="569"/>
      <c r="D390" s="569"/>
      <c r="E390" s="571"/>
      <c r="F390" s="571"/>
      <c r="G390" s="727"/>
      <c r="H390" s="546">
        <f>(H389-H388)*5%</f>
        <v>28.585202991452988</v>
      </c>
      <c r="I390" s="573"/>
      <c r="J390" s="574"/>
      <c r="K390" s="574"/>
      <c r="L390" s="574"/>
      <c r="M390" s="575"/>
    </row>
    <row r="391" spans="1:13" ht="24.6" customHeight="1">
      <c r="A391" s="542"/>
      <c r="B391" s="543" t="s">
        <v>546</v>
      </c>
      <c r="C391" s="542"/>
      <c r="D391" s="542"/>
      <c r="E391" s="591"/>
      <c r="F391" s="542"/>
      <c r="G391" s="542"/>
      <c r="H391" s="546">
        <f>H389+H390</f>
        <v>833.38926282051273</v>
      </c>
      <c r="I391" s="573"/>
      <c r="J391" s="574"/>
      <c r="K391" s="574"/>
      <c r="L391" s="574"/>
      <c r="M391" s="575"/>
    </row>
    <row r="393" spans="1:13">
      <c r="B393" s="773" t="s">
        <v>983</v>
      </c>
    </row>
    <row r="394" spans="1:13" ht="66" customHeight="1">
      <c r="B394" s="1215" t="s">
        <v>163</v>
      </c>
      <c r="C394" s="1216"/>
      <c r="D394" s="1216"/>
      <c r="E394" s="1216"/>
      <c r="F394" s="1216"/>
      <c r="G394" s="1216"/>
      <c r="H394" s="1216"/>
      <c r="I394" s="1216"/>
      <c r="J394" s="1216"/>
      <c r="K394" s="1216"/>
      <c r="L394" s="1216"/>
      <c r="M394" s="1216"/>
    </row>
  </sheetData>
  <mergeCells count="181">
    <mergeCell ref="A317:A319"/>
    <mergeCell ref="B317:B319"/>
    <mergeCell ref="B312:M312"/>
    <mergeCell ref="A315:M315"/>
    <mergeCell ref="C317:C319"/>
    <mergeCell ref="D317:D319"/>
    <mergeCell ref="G317:L317"/>
    <mergeCell ref="G318:H318"/>
    <mergeCell ref="F317:F319"/>
    <mergeCell ref="K318:L318"/>
    <mergeCell ref="A286:M286"/>
    <mergeCell ref="F230:F232"/>
    <mergeCell ref="M259:M261"/>
    <mergeCell ref="B259:B261"/>
    <mergeCell ref="F259:F261"/>
    <mergeCell ref="G259:L259"/>
    <mergeCell ref="K231:L231"/>
    <mergeCell ref="G231:H231"/>
    <mergeCell ref="C259:C261"/>
    <mergeCell ref="E230:E232"/>
    <mergeCell ref="A288:A290"/>
    <mergeCell ref="A259:A261"/>
    <mergeCell ref="G288:L288"/>
    <mergeCell ref="I260:J260"/>
    <mergeCell ref="B288:B290"/>
    <mergeCell ref="C288:C290"/>
    <mergeCell ref="D288:D290"/>
    <mergeCell ref="E288:E290"/>
    <mergeCell ref="K260:L260"/>
    <mergeCell ref="I289:J289"/>
    <mergeCell ref="C131:C133"/>
    <mergeCell ref="G131:L131"/>
    <mergeCell ref="A76:M76"/>
    <mergeCell ref="M193:M195"/>
    <mergeCell ref="I194:J194"/>
    <mergeCell ref="M157:M159"/>
    <mergeCell ref="D157:D159"/>
    <mergeCell ref="G193:L193"/>
    <mergeCell ref="K158:L158"/>
    <mergeCell ref="C193:C195"/>
    <mergeCell ref="B185:M185"/>
    <mergeCell ref="B186:M186"/>
    <mergeCell ref="B187:M187"/>
    <mergeCell ref="B188:M188"/>
    <mergeCell ref="A155:M155"/>
    <mergeCell ref="I158:J158"/>
    <mergeCell ref="G158:H158"/>
    <mergeCell ref="B75:M75"/>
    <mergeCell ref="G104:L104"/>
    <mergeCell ref="M104:M106"/>
    <mergeCell ref="F131:F133"/>
    <mergeCell ref="M131:M133"/>
    <mergeCell ref="D104:D106"/>
    <mergeCell ref="E104:E106"/>
    <mergeCell ref="F104:F106"/>
    <mergeCell ref="M78:M80"/>
    <mergeCell ref="D131:D133"/>
    <mergeCell ref="A1:M1"/>
    <mergeCell ref="M5:M7"/>
    <mergeCell ref="A5:A7"/>
    <mergeCell ref="B5:B7"/>
    <mergeCell ref="C5:C7"/>
    <mergeCell ref="G6:H6"/>
    <mergeCell ref="I6:J6"/>
    <mergeCell ref="K6:L6"/>
    <mergeCell ref="E5:E7"/>
    <mergeCell ref="A3:M3"/>
    <mergeCell ref="F5:F7"/>
    <mergeCell ref="B37:M37"/>
    <mergeCell ref="D5:D7"/>
    <mergeCell ref="G5:L5"/>
    <mergeCell ref="B33:M33"/>
    <mergeCell ref="B34:M34"/>
    <mergeCell ref="B35:M35"/>
    <mergeCell ref="B36:M36"/>
    <mergeCell ref="A78:A80"/>
    <mergeCell ref="I79:J79"/>
    <mergeCell ref="K79:L79"/>
    <mergeCell ref="B78:B80"/>
    <mergeCell ref="G79:H79"/>
    <mergeCell ref="C78:C80"/>
    <mergeCell ref="G78:L78"/>
    <mergeCell ref="D78:D80"/>
    <mergeCell ref="F78:F80"/>
    <mergeCell ref="E78:E80"/>
    <mergeCell ref="E259:E261"/>
    <mergeCell ref="B224:M224"/>
    <mergeCell ref="B225:M225"/>
    <mergeCell ref="B226:M226"/>
    <mergeCell ref="M230:M232"/>
    <mergeCell ref="B230:B232"/>
    <mergeCell ref="C230:C232"/>
    <mergeCell ref="G260:H260"/>
    <mergeCell ref="A228:M228"/>
    <mergeCell ref="A257:M257"/>
    <mergeCell ref="I132:J132"/>
    <mergeCell ref="I105:J105"/>
    <mergeCell ref="A157:A159"/>
    <mergeCell ref="B157:B159"/>
    <mergeCell ref="C157:C159"/>
    <mergeCell ref="F157:F159"/>
    <mergeCell ref="G132:H132"/>
    <mergeCell ref="E157:E159"/>
    <mergeCell ref="C104:C106"/>
    <mergeCell ref="E131:E133"/>
    <mergeCell ref="A230:A232"/>
    <mergeCell ref="G230:L230"/>
    <mergeCell ref="B223:M223"/>
    <mergeCell ref="I231:J231"/>
    <mergeCell ref="D230:D232"/>
    <mergeCell ref="G105:H105"/>
    <mergeCell ref="G157:L157"/>
    <mergeCell ref="A129:M129"/>
    <mergeCell ref="B125:K125"/>
    <mergeCell ref="B126:M126"/>
    <mergeCell ref="D259:D261"/>
    <mergeCell ref="F288:F290"/>
    <mergeCell ref="I318:J318"/>
    <mergeCell ref="M347:M349"/>
    <mergeCell ref="I348:J348"/>
    <mergeCell ref="M317:M319"/>
    <mergeCell ref="G289:H289"/>
    <mergeCell ref="M288:M290"/>
    <mergeCell ref="G348:H348"/>
    <mergeCell ref="E317:E319"/>
    <mergeCell ref="A347:A349"/>
    <mergeCell ref="B347:B349"/>
    <mergeCell ref="A345:M345"/>
    <mergeCell ref="C347:C349"/>
    <mergeCell ref="F347:F349"/>
    <mergeCell ref="D347:D349"/>
    <mergeCell ref="G347:L347"/>
    <mergeCell ref="B99:K99"/>
    <mergeCell ref="B100:M100"/>
    <mergeCell ref="B152:M152"/>
    <mergeCell ref="B153:M153"/>
    <mergeCell ref="A102:M102"/>
    <mergeCell ref="A131:A133"/>
    <mergeCell ref="B131:B133"/>
    <mergeCell ref="K132:L132"/>
    <mergeCell ref="A104:A106"/>
    <mergeCell ref="B104:B106"/>
    <mergeCell ref="B189:M189"/>
    <mergeCell ref="B222:M222"/>
    <mergeCell ref="E193:E195"/>
    <mergeCell ref="A191:M191"/>
    <mergeCell ref="G194:H194"/>
    <mergeCell ref="D193:D195"/>
    <mergeCell ref="A193:A195"/>
    <mergeCell ref="B193:B195"/>
    <mergeCell ref="F193:F195"/>
    <mergeCell ref="K194:L194"/>
    <mergeCell ref="K105:L105"/>
    <mergeCell ref="B394:M394"/>
    <mergeCell ref="B368:M368"/>
    <mergeCell ref="B367:M367"/>
    <mergeCell ref="B255:M255"/>
    <mergeCell ref="B313:M313"/>
    <mergeCell ref="I372:M372"/>
    <mergeCell ref="A370:H370"/>
    <mergeCell ref="E347:E349"/>
    <mergeCell ref="K348:L348"/>
    <mergeCell ref="K289:L289"/>
    <mergeCell ref="B38:M38"/>
    <mergeCell ref="M41:M43"/>
    <mergeCell ref="G41:L41"/>
    <mergeCell ref="A39:M39"/>
    <mergeCell ref="I42:J42"/>
    <mergeCell ref="A41:A43"/>
    <mergeCell ref="B41:B43"/>
    <mergeCell ref="E41:E43"/>
    <mergeCell ref="K42:L42"/>
    <mergeCell ref="B74:M74"/>
    <mergeCell ref="C41:C43"/>
    <mergeCell ref="D41:D43"/>
    <mergeCell ref="G42:H42"/>
    <mergeCell ref="F41:F43"/>
    <mergeCell ref="B70:M70"/>
    <mergeCell ref="B73:M73"/>
    <mergeCell ref="B71:M71"/>
    <mergeCell ref="B72:M72"/>
  </mergeCells>
  <phoneticPr fontId="5" type="noConversion"/>
  <printOptions horizontalCentered="1"/>
  <pageMargins left="0.55118110236220497" right="0.55118110236220497" top="0.62992125984252001" bottom="0.66929133858267698" header="0.31496062992126" footer="0.39370078740157499"/>
  <pageSetup paperSize="9" scale="90" firstPageNumber="138" orientation="landscape"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393"/>
  <sheetViews>
    <sheetView topLeftCell="A381" zoomScale="84" zoomScaleNormal="84" workbookViewId="0">
      <selection activeCell="H312" sqref="H312"/>
    </sheetView>
  </sheetViews>
  <sheetFormatPr defaultRowHeight="16.5"/>
  <cols>
    <col min="1" max="1" width="5.6640625" style="527" customWidth="1"/>
    <col min="2" max="2" width="26.21875" style="527" customWidth="1"/>
    <col min="3" max="3" width="8" style="527" customWidth="1"/>
    <col min="4" max="4" width="10" style="409" customWidth="1"/>
    <col min="5" max="5" width="7.77734375" style="607" customWidth="1"/>
    <col min="6" max="6" width="11.33203125" style="409" customWidth="1"/>
    <col min="7" max="7" width="7.88671875" style="607" customWidth="1"/>
    <col min="8" max="8" width="10.5546875" style="409" customWidth="1"/>
    <col min="9" max="9" width="7.44140625" style="607" customWidth="1"/>
    <col min="10" max="10" width="9.88671875" style="409" customWidth="1"/>
    <col min="11" max="11" width="12.44140625" style="409" customWidth="1"/>
    <col min="12" max="12" width="8.88671875" style="527"/>
    <col min="13" max="17" width="9.88671875" style="527" bestFit="1" customWidth="1"/>
    <col min="18" max="16384" width="8.88671875" style="527"/>
  </cols>
  <sheetData>
    <row r="1" spans="1:11" ht="27.75" customHeight="1">
      <c r="A1" s="1227" t="s">
        <v>432</v>
      </c>
      <c r="B1" s="1227"/>
      <c r="C1" s="1227"/>
      <c r="D1" s="1227"/>
      <c r="E1" s="1227"/>
      <c r="F1" s="1227"/>
      <c r="G1" s="1227"/>
      <c r="H1" s="1227"/>
      <c r="I1" s="1227"/>
      <c r="J1" s="1227"/>
      <c r="K1" s="1227"/>
    </row>
    <row r="2" spans="1:11" ht="15" customHeight="1">
      <c r="A2" s="561"/>
      <c r="B2" s="449"/>
      <c r="C2" s="625"/>
      <c r="D2" s="556"/>
      <c r="E2" s="626"/>
      <c r="F2" s="556"/>
      <c r="G2" s="626"/>
      <c r="H2" s="627"/>
      <c r="I2" s="626"/>
      <c r="J2" s="556"/>
      <c r="K2" s="449"/>
    </row>
    <row r="3" spans="1:11" ht="33.75" customHeight="1">
      <c r="A3" s="1070" t="s">
        <v>766</v>
      </c>
      <c r="B3" s="1070"/>
      <c r="C3" s="1070"/>
      <c r="D3" s="1070"/>
      <c r="E3" s="1070"/>
      <c r="F3" s="1070"/>
      <c r="G3" s="1070"/>
      <c r="H3" s="1070"/>
      <c r="I3" s="1070"/>
      <c r="J3" s="1070"/>
      <c r="K3" s="1070"/>
    </row>
    <row r="4" spans="1:11" ht="3.75" customHeight="1">
      <c r="A4" s="628"/>
      <c r="B4" s="435"/>
      <c r="C4" s="625"/>
      <c r="D4" s="556"/>
      <c r="E4" s="626"/>
      <c r="F4" s="556"/>
      <c r="G4" s="626"/>
      <c r="H4" s="627"/>
      <c r="I4" s="629"/>
      <c r="J4" s="556"/>
      <c r="K4" s="449"/>
    </row>
    <row r="5" spans="1:11" ht="18" customHeight="1">
      <c r="A5" s="1203" t="s">
        <v>724</v>
      </c>
      <c r="B5" s="1203" t="s">
        <v>534</v>
      </c>
      <c r="C5" s="1203" t="s">
        <v>535</v>
      </c>
      <c r="D5" s="1203" t="s">
        <v>556</v>
      </c>
      <c r="E5" s="1212" t="s">
        <v>539</v>
      </c>
      <c r="F5" s="1214"/>
      <c r="G5" s="1214"/>
      <c r="H5" s="1214"/>
      <c r="I5" s="1214"/>
      <c r="J5" s="1213"/>
      <c r="K5" s="1203" t="s">
        <v>225</v>
      </c>
    </row>
    <row r="6" spans="1:11" ht="32.25" customHeight="1">
      <c r="A6" s="1204"/>
      <c r="B6" s="1204"/>
      <c r="C6" s="1204"/>
      <c r="D6" s="1204"/>
      <c r="E6" s="1212" t="s">
        <v>164</v>
      </c>
      <c r="F6" s="1213"/>
      <c r="G6" s="1212" t="s">
        <v>487</v>
      </c>
      <c r="H6" s="1213"/>
      <c r="I6" s="1212" t="s">
        <v>542</v>
      </c>
      <c r="J6" s="1213"/>
      <c r="K6" s="1204"/>
    </row>
    <row r="7" spans="1:11" ht="16.5" customHeight="1">
      <c r="A7" s="1205"/>
      <c r="B7" s="1205"/>
      <c r="C7" s="1205"/>
      <c r="D7" s="1205"/>
      <c r="E7" s="630" t="s">
        <v>141</v>
      </c>
      <c r="F7" s="423" t="s">
        <v>543</v>
      </c>
      <c r="G7" s="630" t="s">
        <v>141</v>
      </c>
      <c r="H7" s="423" t="s">
        <v>543</v>
      </c>
      <c r="I7" s="630" t="s">
        <v>141</v>
      </c>
      <c r="J7" s="423" t="s">
        <v>543</v>
      </c>
      <c r="K7" s="1205"/>
    </row>
    <row r="8" spans="1:11" ht="15.95" customHeight="1">
      <c r="A8" s="578">
        <v>1</v>
      </c>
      <c r="B8" s="631" t="s">
        <v>918</v>
      </c>
      <c r="C8" s="632" t="s">
        <v>919</v>
      </c>
      <c r="D8" s="535">
        <f>'Bang gia'!K6</f>
        <v>5000</v>
      </c>
      <c r="E8" s="581">
        <v>2E-3</v>
      </c>
      <c r="F8" s="580">
        <f>D8*E8</f>
        <v>10</v>
      </c>
      <c r="G8" s="581">
        <v>1.7000000000000001E-2</v>
      </c>
      <c r="H8" s="582">
        <f>D8*G8</f>
        <v>85</v>
      </c>
      <c r="I8" s="581">
        <v>2E-3</v>
      </c>
      <c r="J8" s="583">
        <f t="shared" ref="J8:J13" si="0">D8*I8</f>
        <v>10</v>
      </c>
      <c r="K8" s="582">
        <f>F8+H8+J8</f>
        <v>105</v>
      </c>
    </row>
    <row r="9" spans="1:11" ht="15.95" customHeight="1">
      <c r="A9" s="533">
        <v>2</v>
      </c>
      <c r="B9" s="633" t="s">
        <v>920</v>
      </c>
      <c r="C9" s="634" t="s">
        <v>921</v>
      </c>
      <c r="D9" s="535">
        <f>'Bang gia'!K7</f>
        <v>2000</v>
      </c>
      <c r="E9" s="539">
        <v>1E-3</v>
      </c>
      <c r="F9" s="535">
        <f>D9*E9</f>
        <v>2</v>
      </c>
      <c r="G9" s="537">
        <v>1.7000000000000001E-2</v>
      </c>
      <c r="H9" s="538">
        <f>D9*G9</f>
        <v>34</v>
      </c>
      <c r="I9" s="539">
        <v>1E-3</v>
      </c>
      <c r="J9" s="540">
        <f t="shared" si="0"/>
        <v>2</v>
      </c>
      <c r="K9" s="541">
        <f>F9+H9+J9</f>
        <v>38</v>
      </c>
    </row>
    <row r="10" spans="1:11" ht="15.95" customHeight="1">
      <c r="A10" s="533">
        <v>3</v>
      </c>
      <c r="B10" s="633" t="s">
        <v>922</v>
      </c>
      <c r="C10" s="634" t="s">
        <v>921</v>
      </c>
      <c r="D10" s="535">
        <f>'Bang gia'!K8</f>
        <v>2000</v>
      </c>
      <c r="E10" s="539">
        <v>1E-3</v>
      </c>
      <c r="F10" s="535">
        <f t="shared" ref="F10:F28" si="1">D10*E10</f>
        <v>2</v>
      </c>
      <c r="G10" s="537">
        <v>1.0999999999999999E-2</v>
      </c>
      <c r="H10" s="538">
        <f t="shared" ref="H10:H24" si="2">D10*G10</f>
        <v>22</v>
      </c>
      <c r="I10" s="539">
        <v>2E-3</v>
      </c>
      <c r="J10" s="540">
        <f t="shared" si="0"/>
        <v>4</v>
      </c>
      <c r="K10" s="541">
        <f t="shared" ref="K10:K27" si="3">F10+H10+J10</f>
        <v>28</v>
      </c>
    </row>
    <row r="11" spans="1:11" ht="15.95" customHeight="1">
      <c r="A11" s="533">
        <v>4</v>
      </c>
      <c r="B11" s="633" t="s">
        <v>923</v>
      </c>
      <c r="C11" s="634" t="s">
        <v>921</v>
      </c>
      <c r="D11" s="535">
        <f>'Bang gia'!K9</f>
        <v>1450000</v>
      </c>
      <c r="E11" s="539">
        <v>1E-3</v>
      </c>
      <c r="F11" s="535">
        <f t="shared" si="1"/>
        <v>1450</v>
      </c>
      <c r="G11" s="537">
        <v>1E-3</v>
      </c>
      <c r="H11" s="538">
        <f t="shared" si="2"/>
        <v>1450</v>
      </c>
      <c r="I11" s="539">
        <v>1E-3</v>
      </c>
      <c r="J11" s="540">
        <f t="shared" si="0"/>
        <v>1450</v>
      </c>
      <c r="K11" s="541">
        <f t="shared" si="3"/>
        <v>4350</v>
      </c>
    </row>
    <row r="12" spans="1:11" ht="15.95" customHeight="1">
      <c r="A12" s="533">
        <v>5</v>
      </c>
      <c r="B12" s="633" t="s">
        <v>142</v>
      </c>
      <c r="C12" s="634" t="s">
        <v>921</v>
      </c>
      <c r="D12" s="535">
        <f>'Bang gia'!K10</f>
        <v>300000</v>
      </c>
      <c r="E12" s="539"/>
      <c r="F12" s="535"/>
      <c r="G12" s="537">
        <v>2E-3</v>
      </c>
      <c r="H12" s="538">
        <f t="shared" si="2"/>
        <v>600</v>
      </c>
      <c r="I12" s="539">
        <v>3.0000000000000001E-3</v>
      </c>
      <c r="J12" s="540">
        <f t="shared" si="0"/>
        <v>900</v>
      </c>
      <c r="K12" s="541">
        <f t="shared" si="3"/>
        <v>1500</v>
      </c>
    </row>
    <row r="13" spans="1:11" ht="15.95" customHeight="1">
      <c r="A13" s="533">
        <v>6</v>
      </c>
      <c r="B13" s="633" t="s">
        <v>926</v>
      </c>
      <c r="C13" s="634" t="s">
        <v>921</v>
      </c>
      <c r="D13" s="535">
        <f>'Bang gia'!K11</f>
        <v>3350000</v>
      </c>
      <c r="E13" s="539"/>
      <c r="F13" s="535"/>
      <c r="G13" s="537">
        <v>1E-3</v>
      </c>
      <c r="H13" s="538">
        <f t="shared" si="2"/>
        <v>3350</v>
      </c>
      <c r="I13" s="539">
        <v>1E-3</v>
      </c>
      <c r="J13" s="540">
        <f t="shared" si="0"/>
        <v>3350</v>
      </c>
      <c r="K13" s="541">
        <f t="shared" si="3"/>
        <v>6700</v>
      </c>
    </row>
    <row r="14" spans="1:11" ht="15.95" customHeight="1">
      <c r="A14" s="533">
        <v>7</v>
      </c>
      <c r="B14" s="633" t="s">
        <v>927</v>
      </c>
      <c r="C14" s="634" t="s">
        <v>928</v>
      </c>
      <c r="D14" s="535">
        <f>'Bang gia'!K12</f>
        <v>300</v>
      </c>
      <c r="E14" s="539"/>
      <c r="F14" s="535"/>
      <c r="G14" s="537">
        <v>1</v>
      </c>
      <c r="H14" s="538">
        <f t="shared" si="2"/>
        <v>300</v>
      </c>
      <c r="I14" s="539"/>
      <c r="J14" s="540"/>
      <c r="K14" s="541">
        <f t="shared" si="3"/>
        <v>300</v>
      </c>
    </row>
    <row r="15" spans="1:11" ht="15.95" customHeight="1">
      <c r="A15" s="533">
        <v>8</v>
      </c>
      <c r="B15" s="633" t="s">
        <v>558</v>
      </c>
      <c r="C15" s="634" t="s">
        <v>929</v>
      </c>
      <c r="D15" s="535">
        <f>'Bang gia'!K13</f>
        <v>7000</v>
      </c>
      <c r="E15" s="539"/>
      <c r="F15" s="535"/>
      <c r="G15" s="537">
        <v>1</v>
      </c>
      <c r="H15" s="538">
        <f t="shared" si="2"/>
        <v>7000</v>
      </c>
      <c r="I15" s="539"/>
      <c r="J15" s="540"/>
      <c r="K15" s="541">
        <f t="shared" si="3"/>
        <v>7000</v>
      </c>
    </row>
    <row r="16" spans="1:11" ht="15.95" customHeight="1">
      <c r="A16" s="533">
        <v>9</v>
      </c>
      <c r="B16" s="633" t="s">
        <v>557</v>
      </c>
      <c r="C16" s="634" t="s">
        <v>928</v>
      </c>
      <c r="D16" s="535">
        <f>'Bang gia'!K14</f>
        <v>300</v>
      </c>
      <c r="E16" s="539">
        <v>1</v>
      </c>
      <c r="F16" s="535">
        <f t="shared" si="1"/>
        <v>300</v>
      </c>
      <c r="G16" s="537"/>
      <c r="H16" s="538"/>
      <c r="I16" s="539"/>
      <c r="J16" s="540"/>
      <c r="K16" s="541">
        <f t="shared" si="3"/>
        <v>300</v>
      </c>
    </row>
    <row r="17" spans="1:17" ht="15.95" customHeight="1">
      <c r="A17" s="533">
        <v>10</v>
      </c>
      <c r="B17" s="633" t="s">
        <v>930</v>
      </c>
      <c r="C17" s="634" t="s">
        <v>931</v>
      </c>
      <c r="D17" s="535">
        <f>'Bang gia'!K15</f>
        <v>45000</v>
      </c>
      <c r="E17" s="539">
        <v>2E-3</v>
      </c>
      <c r="F17" s="535">
        <f t="shared" si="1"/>
        <v>90</v>
      </c>
      <c r="G17" s="537">
        <v>8.9999999999999993E-3</v>
      </c>
      <c r="H17" s="538">
        <f t="shared" si="2"/>
        <v>404.99999999999994</v>
      </c>
      <c r="I17" s="539">
        <v>2E-3</v>
      </c>
      <c r="J17" s="540">
        <f t="shared" ref="J17:J24" si="4">D17*I17</f>
        <v>90</v>
      </c>
      <c r="K17" s="541">
        <f t="shared" si="3"/>
        <v>585</v>
      </c>
    </row>
    <row r="18" spans="1:17" ht="15.95" customHeight="1">
      <c r="A18" s="533">
        <v>11</v>
      </c>
      <c r="B18" s="633" t="s">
        <v>932</v>
      </c>
      <c r="C18" s="634" t="s">
        <v>931</v>
      </c>
      <c r="D18" s="535">
        <f>'Bang gia'!K16</f>
        <v>90000</v>
      </c>
      <c r="E18" s="539"/>
      <c r="F18" s="535"/>
      <c r="G18" s="537">
        <v>8.9999999999999993E-3</v>
      </c>
      <c r="H18" s="538">
        <f t="shared" si="2"/>
        <v>809.99999999999989</v>
      </c>
      <c r="I18" s="539">
        <v>0.01</v>
      </c>
      <c r="J18" s="540">
        <f t="shared" si="4"/>
        <v>900</v>
      </c>
      <c r="K18" s="541">
        <f t="shared" si="3"/>
        <v>1710</v>
      </c>
    </row>
    <row r="19" spans="1:17" ht="15.95" customHeight="1">
      <c r="A19" s="533">
        <v>12</v>
      </c>
      <c r="B19" s="633" t="s">
        <v>933</v>
      </c>
      <c r="C19" s="634" t="s">
        <v>934</v>
      </c>
      <c r="D19" s="535">
        <f>'Bang gia'!K17</f>
        <v>25000</v>
      </c>
      <c r="E19" s="539">
        <v>4.0000000000000001E-3</v>
      </c>
      <c r="F19" s="535">
        <f t="shared" si="1"/>
        <v>100</v>
      </c>
      <c r="G19" s="537">
        <v>8.9999999999999993E-3</v>
      </c>
      <c r="H19" s="538">
        <f t="shared" si="2"/>
        <v>224.99999999999997</v>
      </c>
      <c r="I19" s="539">
        <v>2E-3</v>
      </c>
      <c r="J19" s="540">
        <f t="shared" si="4"/>
        <v>50</v>
      </c>
      <c r="K19" s="541">
        <f t="shared" si="3"/>
        <v>375</v>
      </c>
    </row>
    <row r="20" spans="1:17" ht="15.95" customHeight="1">
      <c r="A20" s="533">
        <v>13</v>
      </c>
      <c r="B20" s="635" t="s">
        <v>935</v>
      </c>
      <c r="C20" s="636" t="s">
        <v>143</v>
      </c>
      <c r="D20" s="535">
        <f>'Bang gia'!K18</f>
        <v>2500</v>
      </c>
      <c r="E20" s="539">
        <v>1.9E-2</v>
      </c>
      <c r="F20" s="535">
        <f t="shared" si="1"/>
        <v>47.5</v>
      </c>
      <c r="G20" s="537">
        <v>1.0999999999999999E-2</v>
      </c>
      <c r="H20" s="538">
        <f t="shared" si="2"/>
        <v>27.5</v>
      </c>
      <c r="I20" s="539">
        <v>4.0000000000000001E-3</v>
      </c>
      <c r="J20" s="540">
        <f t="shared" si="4"/>
        <v>10</v>
      </c>
      <c r="K20" s="541">
        <f t="shared" si="3"/>
        <v>85</v>
      </c>
    </row>
    <row r="21" spans="1:17" ht="15.95" customHeight="1">
      <c r="A21" s="533">
        <v>14</v>
      </c>
      <c r="B21" s="635" t="s">
        <v>936</v>
      </c>
      <c r="C21" s="636" t="s">
        <v>919</v>
      </c>
      <c r="D21" s="535">
        <f>'Bang gia'!K19</f>
        <v>18000</v>
      </c>
      <c r="E21" s="539">
        <v>2E-3</v>
      </c>
      <c r="F21" s="535">
        <f t="shared" si="1"/>
        <v>36</v>
      </c>
      <c r="G21" s="537">
        <v>6.0000000000000001E-3</v>
      </c>
      <c r="H21" s="538">
        <f t="shared" si="2"/>
        <v>108</v>
      </c>
      <c r="I21" s="539">
        <v>1E-3</v>
      </c>
      <c r="J21" s="540">
        <f t="shared" si="4"/>
        <v>18</v>
      </c>
      <c r="K21" s="541">
        <f t="shared" si="3"/>
        <v>162</v>
      </c>
    </row>
    <row r="22" spans="1:17" ht="15.95" customHeight="1">
      <c r="A22" s="533">
        <v>15</v>
      </c>
      <c r="B22" s="635" t="s">
        <v>937</v>
      </c>
      <c r="C22" s="636" t="s">
        <v>919</v>
      </c>
      <c r="D22" s="535">
        <f>'Bang gia'!K20</f>
        <v>15000</v>
      </c>
      <c r="E22" s="539">
        <v>2E-3</v>
      </c>
      <c r="F22" s="535">
        <f t="shared" si="1"/>
        <v>30</v>
      </c>
      <c r="G22" s="537">
        <v>6.0000000000000001E-3</v>
      </c>
      <c r="H22" s="538">
        <f t="shared" si="2"/>
        <v>90</v>
      </c>
      <c r="I22" s="539">
        <v>1E-3</v>
      </c>
      <c r="J22" s="540">
        <f t="shared" si="4"/>
        <v>15</v>
      </c>
      <c r="K22" s="541">
        <f t="shared" si="3"/>
        <v>135</v>
      </c>
    </row>
    <row r="23" spans="1:17" ht="15.95" customHeight="1">
      <c r="A23" s="533">
        <v>16</v>
      </c>
      <c r="B23" s="635" t="s">
        <v>144</v>
      </c>
      <c r="C23" s="636" t="s">
        <v>939</v>
      </c>
      <c r="D23" s="535">
        <f>'Bang gia'!K21</f>
        <v>1000</v>
      </c>
      <c r="E23" s="539"/>
      <c r="F23" s="535"/>
      <c r="G23" s="537"/>
      <c r="H23" s="538"/>
      <c r="I23" s="539">
        <v>2.4E-2</v>
      </c>
      <c r="J23" s="540">
        <f t="shared" si="4"/>
        <v>24</v>
      </c>
      <c r="K23" s="541">
        <f t="shared" si="3"/>
        <v>24</v>
      </c>
    </row>
    <row r="24" spans="1:17" ht="15.95" customHeight="1">
      <c r="A24" s="533">
        <v>17</v>
      </c>
      <c r="B24" s="635" t="s">
        <v>947</v>
      </c>
      <c r="C24" s="637" t="s">
        <v>941</v>
      </c>
      <c r="D24" s="535">
        <f>'Bang gia'!K27</f>
        <v>10000</v>
      </c>
      <c r="E24" s="638"/>
      <c r="F24" s="535"/>
      <c r="G24" s="639">
        <v>2E-3</v>
      </c>
      <c r="H24" s="538">
        <f t="shared" si="2"/>
        <v>20</v>
      </c>
      <c r="I24" s="638">
        <v>4.0000000000000001E-3</v>
      </c>
      <c r="J24" s="540">
        <f t="shared" si="4"/>
        <v>40</v>
      </c>
      <c r="K24" s="541">
        <f t="shared" si="3"/>
        <v>60</v>
      </c>
    </row>
    <row r="25" spans="1:17" ht="15.95" customHeight="1">
      <c r="A25" s="533">
        <v>18</v>
      </c>
      <c r="B25" s="635" t="s">
        <v>948</v>
      </c>
      <c r="C25" s="637" t="s">
        <v>919</v>
      </c>
      <c r="D25" s="535">
        <f>'Bang gia'!K28</f>
        <v>3000</v>
      </c>
      <c r="E25" s="638">
        <v>1</v>
      </c>
      <c r="F25" s="535">
        <f t="shared" si="1"/>
        <v>3000</v>
      </c>
      <c r="G25" s="640"/>
      <c r="H25" s="538"/>
      <c r="I25" s="638"/>
      <c r="J25" s="540"/>
      <c r="K25" s="541">
        <f t="shared" si="3"/>
        <v>3000</v>
      </c>
    </row>
    <row r="26" spans="1:17" ht="15.95" customHeight="1">
      <c r="A26" s="533">
        <v>19</v>
      </c>
      <c r="B26" s="635" t="s">
        <v>943</v>
      </c>
      <c r="C26" s="637" t="s">
        <v>921</v>
      </c>
      <c r="D26" s="535">
        <f>'Bang gia'!K24</f>
        <v>2400000</v>
      </c>
      <c r="E26" s="638">
        <v>1E-3</v>
      </c>
      <c r="F26" s="535"/>
      <c r="G26" s="640"/>
      <c r="H26" s="538"/>
      <c r="I26" s="638">
        <v>1E-3</v>
      </c>
      <c r="J26" s="540">
        <f>D26*I26</f>
        <v>2400</v>
      </c>
      <c r="K26" s="541">
        <f t="shared" si="3"/>
        <v>2400</v>
      </c>
    </row>
    <row r="27" spans="1:17" ht="15.95" customHeight="1">
      <c r="A27" s="641">
        <v>20</v>
      </c>
      <c r="B27" s="635" t="s">
        <v>145</v>
      </c>
      <c r="C27" s="642" t="s">
        <v>945</v>
      </c>
      <c r="D27" s="643">
        <f>'Bang gia'!K25</f>
        <v>4500</v>
      </c>
      <c r="E27" s="638">
        <v>2.3E-2</v>
      </c>
      <c r="F27" s="535">
        <f t="shared" si="1"/>
        <v>103.5</v>
      </c>
      <c r="G27" s="640"/>
      <c r="H27" s="644"/>
      <c r="I27" s="638">
        <v>6.8000000000000005E-2</v>
      </c>
      <c r="J27" s="645">
        <f>D27*I27</f>
        <v>306</v>
      </c>
      <c r="K27" s="646">
        <f t="shared" si="3"/>
        <v>409.5</v>
      </c>
    </row>
    <row r="28" spans="1:17" ht="15.95" customHeight="1">
      <c r="A28" s="599">
        <v>21</v>
      </c>
      <c r="B28" s="647" t="s">
        <v>949</v>
      </c>
      <c r="C28" s="648" t="s">
        <v>921</v>
      </c>
      <c r="D28" s="601">
        <f>'Bang gia'!K29</f>
        <v>1250000</v>
      </c>
      <c r="E28" s="602">
        <v>1E-3</v>
      </c>
      <c r="F28" s="535">
        <f t="shared" si="1"/>
        <v>1250</v>
      </c>
      <c r="G28" s="649"/>
      <c r="H28" s="604"/>
      <c r="I28" s="602"/>
      <c r="J28" s="650"/>
      <c r="K28" s="651"/>
    </row>
    <row r="29" spans="1:17" ht="15.95" customHeight="1">
      <c r="A29" s="652"/>
      <c r="B29" s="653" t="s">
        <v>146</v>
      </c>
      <c r="C29" s="577"/>
      <c r="D29" s="577"/>
      <c r="E29" s="576"/>
      <c r="F29" s="577">
        <f>SUM(F8:F28)</f>
        <v>6421</v>
      </c>
      <c r="G29" s="654"/>
      <c r="H29" s="655">
        <f>SUM(H8:H28)</f>
        <v>14526.5</v>
      </c>
      <c r="I29" s="576"/>
      <c r="J29" s="546">
        <f>SUM(J8:J28)</f>
        <v>9569</v>
      </c>
      <c r="K29" s="546">
        <f>SUM(K8:K28)</f>
        <v>29266.5</v>
      </c>
    </row>
    <row r="30" spans="1:17" ht="15.95" customHeight="1">
      <c r="A30" s="652"/>
      <c r="B30" s="653" t="s">
        <v>147</v>
      </c>
      <c r="C30" s="577"/>
      <c r="D30" s="577"/>
      <c r="E30" s="576"/>
      <c r="F30" s="577">
        <f>F29*8%</f>
        <v>513.68000000000006</v>
      </c>
      <c r="G30" s="656"/>
      <c r="H30" s="655">
        <f>H29*8%</f>
        <v>1162.1200000000001</v>
      </c>
      <c r="I30" s="654"/>
      <c r="J30" s="655">
        <f>J29*8%</f>
        <v>765.52</v>
      </c>
      <c r="K30" s="655">
        <f>K29*8%</f>
        <v>2341.3200000000002</v>
      </c>
    </row>
    <row r="31" spans="1:17" ht="15.95" customHeight="1">
      <c r="A31" s="657"/>
      <c r="B31" s="543" t="s">
        <v>546</v>
      </c>
      <c r="C31" s="657"/>
      <c r="D31" s="657"/>
      <c r="E31" s="658"/>
      <c r="F31" s="544">
        <f>F29+F30</f>
        <v>6934.68</v>
      </c>
      <c r="G31" s="576"/>
      <c r="H31" s="655">
        <f>H29+H30</f>
        <v>15688.62</v>
      </c>
      <c r="I31" s="654"/>
      <c r="J31" s="655">
        <f>J29+J30</f>
        <v>10334.52</v>
      </c>
      <c r="K31" s="655">
        <f>K29+K30</f>
        <v>31607.82</v>
      </c>
      <c r="M31" s="547">
        <f>F31/8000</f>
        <v>0.86683500000000002</v>
      </c>
      <c r="N31" s="547">
        <f>G31/8000</f>
        <v>0</v>
      </c>
      <c r="O31" s="547">
        <f>H31/8000</f>
        <v>1.9610775</v>
      </c>
      <c r="P31" s="547">
        <f>I31/8000</f>
        <v>0</v>
      </c>
      <c r="Q31" s="547">
        <f>J31/8000</f>
        <v>1.2918150000000002</v>
      </c>
    </row>
    <row r="32" spans="1:17" ht="8.25" customHeight="1">
      <c r="A32" s="551"/>
      <c r="B32" s="659"/>
      <c r="C32" s="551"/>
      <c r="D32" s="551"/>
      <c r="E32" s="660"/>
      <c r="F32" s="553"/>
      <c r="G32" s="661"/>
      <c r="H32" s="662"/>
      <c r="I32" s="661"/>
      <c r="J32" s="662"/>
      <c r="K32" s="662"/>
    </row>
    <row r="33" spans="1:11">
      <c r="A33" s="663"/>
      <c r="B33" s="554" t="s">
        <v>550</v>
      </c>
      <c r="C33" s="558"/>
      <c r="D33" s="556"/>
      <c r="E33" s="626"/>
      <c r="F33" s="556"/>
      <c r="G33" s="626"/>
      <c r="H33" s="627"/>
      <c r="I33" s="629"/>
      <c r="J33" s="556"/>
      <c r="K33" s="449"/>
    </row>
    <row r="34" spans="1:11" ht="21.6" customHeight="1">
      <c r="A34" s="560"/>
      <c r="B34" s="1217" t="s">
        <v>682</v>
      </c>
      <c r="C34" s="1217"/>
      <c r="D34" s="1217"/>
      <c r="E34" s="1217"/>
      <c r="F34" s="1217"/>
      <c r="G34" s="1217"/>
      <c r="H34" s="1217"/>
      <c r="I34" s="1217"/>
      <c r="J34" s="1217"/>
      <c r="K34" s="1217"/>
    </row>
    <row r="35" spans="1:11" ht="26.45" customHeight="1">
      <c r="A35" s="560"/>
      <c r="B35" s="1098" t="s">
        <v>463</v>
      </c>
      <c r="C35" s="1098"/>
      <c r="D35" s="1098"/>
      <c r="E35" s="1098"/>
      <c r="F35" s="1098"/>
      <c r="G35" s="1098"/>
      <c r="H35" s="1098"/>
      <c r="I35" s="1098"/>
      <c r="J35" s="1098"/>
      <c r="K35" s="1098"/>
    </row>
    <row r="36" spans="1:11" ht="33" customHeight="1">
      <c r="A36" s="560"/>
      <c r="B36" s="1098" t="s">
        <v>464</v>
      </c>
      <c r="C36" s="1098"/>
      <c r="D36" s="1098"/>
      <c r="E36" s="1098"/>
      <c r="F36" s="1098"/>
      <c r="G36" s="1098"/>
      <c r="H36" s="1098"/>
      <c r="I36" s="1098"/>
      <c r="J36" s="1098"/>
      <c r="K36" s="1098"/>
    </row>
    <row r="37" spans="1:11" ht="6.75" customHeight="1">
      <c r="A37" s="560"/>
      <c r="B37" s="565"/>
      <c r="C37" s="565"/>
      <c r="D37" s="565"/>
      <c r="E37" s="664"/>
      <c r="F37" s="565"/>
      <c r="G37" s="664"/>
      <c r="H37" s="565"/>
      <c r="I37" s="664"/>
      <c r="J37" s="565"/>
      <c r="K37" s="565"/>
    </row>
    <row r="38" spans="1:11" ht="29.25" customHeight="1">
      <c r="A38" s="1070" t="s">
        <v>631</v>
      </c>
      <c r="B38" s="1070"/>
      <c r="C38" s="1070"/>
      <c r="D38" s="1070"/>
      <c r="E38" s="1070"/>
      <c r="F38" s="1070"/>
      <c r="G38" s="1070"/>
      <c r="H38" s="1070"/>
      <c r="I38" s="1070"/>
      <c r="J38" s="1070"/>
      <c r="K38" s="1070"/>
    </row>
    <row r="39" spans="1:11" ht="6.75" customHeight="1">
      <c r="A39" s="628"/>
      <c r="B39" s="435"/>
      <c r="C39" s="625"/>
      <c r="D39" s="556"/>
      <c r="E39" s="626"/>
      <c r="F39" s="556"/>
      <c r="G39" s="626"/>
      <c r="H39" s="627"/>
      <c r="I39" s="629"/>
      <c r="J39" s="556"/>
      <c r="K39" s="449"/>
    </row>
    <row r="40" spans="1:11" ht="18" customHeight="1">
      <c r="A40" s="1203" t="s">
        <v>724</v>
      </c>
      <c r="B40" s="1203" t="s">
        <v>534</v>
      </c>
      <c r="C40" s="1203" t="s">
        <v>535</v>
      </c>
      <c r="D40" s="1203" t="s">
        <v>556</v>
      </c>
      <c r="E40" s="1212" t="s">
        <v>539</v>
      </c>
      <c r="F40" s="1214"/>
      <c r="G40" s="1214"/>
      <c r="H40" s="1214"/>
      <c r="I40" s="1214"/>
      <c r="J40" s="1213"/>
      <c r="K40" s="1203" t="s">
        <v>467</v>
      </c>
    </row>
    <row r="41" spans="1:11" ht="36" customHeight="1">
      <c r="A41" s="1204"/>
      <c r="B41" s="1204"/>
      <c r="C41" s="1204"/>
      <c r="D41" s="1204"/>
      <c r="E41" s="1212" t="s">
        <v>488</v>
      </c>
      <c r="F41" s="1213"/>
      <c r="G41" s="1212" t="s">
        <v>34</v>
      </c>
      <c r="H41" s="1213"/>
      <c r="I41" s="1212" t="s">
        <v>542</v>
      </c>
      <c r="J41" s="1213"/>
      <c r="K41" s="1204"/>
    </row>
    <row r="42" spans="1:11" ht="19.5" customHeight="1">
      <c r="A42" s="1205"/>
      <c r="B42" s="1205"/>
      <c r="C42" s="1205"/>
      <c r="D42" s="1205"/>
      <c r="E42" s="524" t="s">
        <v>739</v>
      </c>
      <c r="F42" s="524" t="s">
        <v>496</v>
      </c>
      <c r="G42" s="524" t="s">
        <v>739</v>
      </c>
      <c r="H42" s="524" t="s">
        <v>496</v>
      </c>
      <c r="I42" s="524" t="s">
        <v>739</v>
      </c>
      <c r="J42" s="524" t="s">
        <v>496</v>
      </c>
      <c r="K42" s="1205"/>
    </row>
    <row r="43" spans="1:11" ht="18" customHeight="1">
      <c r="A43" s="578">
        <v>1</v>
      </c>
      <c r="B43" s="631" t="s">
        <v>918</v>
      </c>
      <c r="C43" s="632" t="s">
        <v>919</v>
      </c>
      <c r="D43" s="535">
        <f>'Bang gia'!K6</f>
        <v>5000</v>
      </c>
      <c r="E43" s="581">
        <v>1.4999999999999999E-2</v>
      </c>
      <c r="F43" s="580">
        <f>D43*E43</f>
        <v>75</v>
      </c>
      <c r="G43" s="539">
        <v>0.01</v>
      </c>
      <c r="H43" s="582">
        <f>D43*G43</f>
        <v>50</v>
      </c>
      <c r="I43" s="581">
        <v>3.0000000000000001E-3</v>
      </c>
      <c r="J43" s="583">
        <f t="shared" ref="J43:J48" si="5">D43*I43</f>
        <v>15</v>
      </c>
      <c r="K43" s="582">
        <f>F43+H43+J43</f>
        <v>140</v>
      </c>
    </row>
    <row r="44" spans="1:11" ht="18" customHeight="1">
      <c r="A44" s="533">
        <v>2</v>
      </c>
      <c r="B44" s="633" t="s">
        <v>920</v>
      </c>
      <c r="C44" s="634" t="s">
        <v>921</v>
      </c>
      <c r="D44" s="535">
        <f>'Bang gia'!K7</f>
        <v>2000</v>
      </c>
      <c r="E44" s="539">
        <v>0.01</v>
      </c>
      <c r="F44" s="535">
        <f>E44*D44</f>
        <v>20</v>
      </c>
      <c r="G44" s="539">
        <v>2E-3</v>
      </c>
      <c r="H44" s="538">
        <f>D44*G44</f>
        <v>4</v>
      </c>
      <c r="I44" s="539">
        <v>1E-3</v>
      </c>
      <c r="J44" s="540">
        <f t="shared" si="5"/>
        <v>2</v>
      </c>
      <c r="K44" s="541">
        <f>F44+H44+J44</f>
        <v>26</v>
      </c>
    </row>
    <row r="45" spans="1:11" ht="18" customHeight="1">
      <c r="A45" s="533">
        <v>3</v>
      </c>
      <c r="B45" s="633" t="s">
        <v>922</v>
      </c>
      <c r="C45" s="634" t="s">
        <v>921</v>
      </c>
      <c r="D45" s="535">
        <f>'Bang gia'!K8</f>
        <v>2000</v>
      </c>
      <c r="E45" s="539">
        <v>1.4999999999999999E-2</v>
      </c>
      <c r="F45" s="535">
        <f>E45*D45</f>
        <v>30</v>
      </c>
      <c r="G45" s="539">
        <v>2E-3</v>
      </c>
      <c r="H45" s="538">
        <f t="shared" ref="H45:H51" si="6">D45*G45</f>
        <v>4</v>
      </c>
      <c r="I45" s="539">
        <v>3.0000000000000001E-3</v>
      </c>
      <c r="J45" s="540">
        <f t="shared" si="5"/>
        <v>6</v>
      </c>
      <c r="K45" s="541">
        <f t="shared" ref="K45:K62" si="7">F45+H45+J45</f>
        <v>40</v>
      </c>
    </row>
    <row r="46" spans="1:11" ht="18" customHeight="1">
      <c r="A46" s="533">
        <v>4</v>
      </c>
      <c r="B46" s="633" t="s">
        <v>923</v>
      </c>
      <c r="C46" s="634" t="s">
        <v>921</v>
      </c>
      <c r="D46" s="535">
        <f>'Bang gia'!K9</f>
        <v>1450000</v>
      </c>
      <c r="E46" s="539">
        <v>5.0000000000000001E-3</v>
      </c>
      <c r="F46" s="535">
        <f>E46*D46</f>
        <v>7250</v>
      </c>
      <c r="G46" s="539">
        <v>1E-3</v>
      </c>
      <c r="H46" s="538">
        <f t="shared" si="6"/>
        <v>1450</v>
      </c>
      <c r="I46" s="539">
        <v>2E-3</v>
      </c>
      <c r="J46" s="540">
        <f t="shared" si="5"/>
        <v>2900</v>
      </c>
      <c r="K46" s="541">
        <f t="shared" si="7"/>
        <v>11600</v>
      </c>
    </row>
    <row r="47" spans="1:11" ht="18" customHeight="1">
      <c r="A47" s="533">
        <v>5</v>
      </c>
      <c r="B47" s="633" t="s">
        <v>142</v>
      </c>
      <c r="C47" s="634" t="s">
        <v>921</v>
      </c>
      <c r="D47" s="535">
        <f>'Bang gia'!K10</f>
        <v>300000</v>
      </c>
      <c r="E47" s="539">
        <v>5.0000000000000001E-3</v>
      </c>
      <c r="F47" s="535">
        <f>E47*D47</f>
        <v>1500</v>
      </c>
      <c r="G47" s="539">
        <v>2E-3</v>
      </c>
      <c r="H47" s="538">
        <f t="shared" si="6"/>
        <v>600</v>
      </c>
      <c r="I47" s="539">
        <v>2E-3</v>
      </c>
      <c r="J47" s="540">
        <f t="shared" si="5"/>
        <v>600</v>
      </c>
      <c r="K47" s="541">
        <f t="shared" si="7"/>
        <v>2700</v>
      </c>
    </row>
    <row r="48" spans="1:11" ht="18" customHeight="1">
      <c r="A48" s="533">
        <v>6</v>
      </c>
      <c r="B48" s="633" t="s">
        <v>926</v>
      </c>
      <c r="C48" s="634" t="s">
        <v>921</v>
      </c>
      <c r="D48" s="535">
        <f>'Bang gia'!K11</f>
        <v>3350000</v>
      </c>
      <c r="E48" s="539"/>
      <c r="F48" s="535"/>
      <c r="G48" s="539">
        <v>2E-3</v>
      </c>
      <c r="H48" s="538">
        <f t="shared" si="6"/>
        <v>6700</v>
      </c>
      <c r="I48" s="539">
        <v>1E-3</v>
      </c>
      <c r="J48" s="540">
        <f t="shared" si="5"/>
        <v>3350</v>
      </c>
      <c r="K48" s="541">
        <f t="shared" si="7"/>
        <v>10050</v>
      </c>
    </row>
    <row r="49" spans="1:11" ht="18" customHeight="1">
      <c r="A49" s="533">
        <v>7</v>
      </c>
      <c r="B49" s="633" t="s">
        <v>927</v>
      </c>
      <c r="C49" s="634" t="s">
        <v>928</v>
      </c>
      <c r="D49" s="535">
        <f>'Bang gia'!K12</f>
        <v>300</v>
      </c>
      <c r="E49" s="539"/>
      <c r="F49" s="535"/>
      <c r="G49" s="539">
        <v>1</v>
      </c>
      <c r="H49" s="538">
        <f t="shared" si="6"/>
        <v>300</v>
      </c>
      <c r="I49" s="539"/>
      <c r="J49" s="540"/>
      <c r="K49" s="541">
        <f t="shared" si="7"/>
        <v>300</v>
      </c>
    </row>
    <row r="50" spans="1:11" ht="18" customHeight="1">
      <c r="A50" s="533">
        <v>8</v>
      </c>
      <c r="B50" s="633" t="s">
        <v>559</v>
      </c>
      <c r="C50" s="634" t="s">
        <v>929</v>
      </c>
      <c r="D50" s="535">
        <f>'Bang gia'!K13</f>
        <v>7000</v>
      </c>
      <c r="E50" s="539"/>
      <c r="F50" s="535"/>
      <c r="G50" s="539">
        <v>1</v>
      </c>
      <c r="H50" s="538">
        <f t="shared" si="6"/>
        <v>7000</v>
      </c>
      <c r="I50" s="539"/>
      <c r="J50" s="540"/>
      <c r="K50" s="541">
        <f t="shared" si="7"/>
        <v>7000</v>
      </c>
    </row>
    <row r="51" spans="1:11" ht="18" customHeight="1">
      <c r="A51" s="533">
        <v>9</v>
      </c>
      <c r="B51" s="633" t="s">
        <v>557</v>
      </c>
      <c r="C51" s="634" t="s">
        <v>928</v>
      </c>
      <c r="D51" s="535">
        <f>'Bang gia'!K14</f>
        <v>300</v>
      </c>
      <c r="E51" s="539">
        <v>1</v>
      </c>
      <c r="F51" s="535">
        <f>E51*D51</f>
        <v>300</v>
      </c>
      <c r="G51" s="539"/>
      <c r="H51" s="538">
        <f t="shared" si="6"/>
        <v>0</v>
      </c>
      <c r="I51" s="539"/>
      <c r="J51" s="665"/>
      <c r="K51" s="541">
        <f t="shared" si="7"/>
        <v>300</v>
      </c>
    </row>
    <row r="52" spans="1:11" ht="18" customHeight="1">
      <c r="A52" s="533">
        <v>10</v>
      </c>
      <c r="B52" s="633" t="s">
        <v>930</v>
      </c>
      <c r="C52" s="634" t="s">
        <v>931</v>
      </c>
      <c r="D52" s="535">
        <f>'Bang gia'!K15</f>
        <v>45000</v>
      </c>
      <c r="E52" s="539">
        <v>0.01</v>
      </c>
      <c r="F52" s="535">
        <f>E52*D52</f>
        <v>450</v>
      </c>
      <c r="G52" s="539">
        <v>3.0000000000000001E-3</v>
      </c>
      <c r="H52" s="538">
        <f t="shared" ref="H52:H58" si="8">D52*G52</f>
        <v>135</v>
      </c>
      <c r="I52" s="539">
        <v>3.0000000000000001E-3</v>
      </c>
      <c r="J52" s="540">
        <f t="shared" ref="J52:J61" si="9">D52*I52</f>
        <v>135</v>
      </c>
      <c r="K52" s="541">
        <f t="shared" si="7"/>
        <v>720</v>
      </c>
    </row>
    <row r="53" spans="1:11" ht="18" customHeight="1">
      <c r="A53" s="533">
        <v>11</v>
      </c>
      <c r="B53" s="633" t="s">
        <v>932</v>
      </c>
      <c r="C53" s="634" t="s">
        <v>931</v>
      </c>
      <c r="D53" s="535">
        <f>'Bang gia'!K16</f>
        <v>90000</v>
      </c>
      <c r="E53" s="539">
        <v>3.0000000000000001E-3</v>
      </c>
      <c r="F53" s="535"/>
      <c r="G53" s="539">
        <v>8.9999999999999993E-3</v>
      </c>
      <c r="H53" s="538">
        <f t="shared" si="8"/>
        <v>809.99999999999989</v>
      </c>
      <c r="I53" s="539">
        <v>1.7000000000000001E-2</v>
      </c>
      <c r="J53" s="540">
        <f t="shared" si="9"/>
        <v>1530</v>
      </c>
      <c r="K53" s="541">
        <f t="shared" si="7"/>
        <v>2340</v>
      </c>
    </row>
    <row r="54" spans="1:11" ht="18" customHeight="1">
      <c r="A54" s="533">
        <v>12</v>
      </c>
      <c r="B54" s="633" t="s">
        <v>933</v>
      </c>
      <c r="C54" s="634" t="s">
        <v>934</v>
      </c>
      <c r="D54" s="535">
        <f>'Bang gia'!K17</f>
        <v>25000</v>
      </c>
      <c r="E54" s="539">
        <v>0.01</v>
      </c>
      <c r="F54" s="535">
        <f>E54*D54</f>
        <v>250</v>
      </c>
      <c r="G54" s="539">
        <v>2E-3</v>
      </c>
      <c r="H54" s="538">
        <f t="shared" si="8"/>
        <v>50</v>
      </c>
      <c r="I54" s="539">
        <v>3.0000000000000001E-3</v>
      </c>
      <c r="J54" s="540">
        <f t="shared" si="9"/>
        <v>75</v>
      </c>
      <c r="K54" s="541">
        <f t="shared" si="7"/>
        <v>375</v>
      </c>
    </row>
    <row r="55" spans="1:11" ht="18" customHeight="1">
      <c r="A55" s="533">
        <v>13</v>
      </c>
      <c r="B55" s="635" t="s">
        <v>935</v>
      </c>
      <c r="C55" s="636" t="s">
        <v>143</v>
      </c>
      <c r="D55" s="535">
        <f>'Bang gia'!K18</f>
        <v>2500</v>
      </c>
      <c r="E55" s="539">
        <v>0.08</v>
      </c>
      <c r="F55" s="535">
        <f>E55*D55</f>
        <v>200</v>
      </c>
      <c r="G55" s="539">
        <v>5.0000000000000001E-3</v>
      </c>
      <c r="H55" s="538">
        <f t="shared" si="8"/>
        <v>12.5</v>
      </c>
      <c r="I55" s="539">
        <v>5.0000000000000001E-3</v>
      </c>
      <c r="J55" s="540">
        <f t="shared" si="9"/>
        <v>12.5</v>
      </c>
      <c r="K55" s="541">
        <f t="shared" si="7"/>
        <v>225</v>
      </c>
    </row>
    <row r="56" spans="1:11" ht="18" customHeight="1">
      <c r="A56" s="533">
        <v>14</v>
      </c>
      <c r="B56" s="635" t="s">
        <v>936</v>
      </c>
      <c r="C56" s="636" t="s">
        <v>919</v>
      </c>
      <c r="D56" s="535">
        <f>'Bang gia'!K19</f>
        <v>18000</v>
      </c>
      <c r="E56" s="539">
        <v>0.01</v>
      </c>
      <c r="F56" s="535">
        <f>E56*D56</f>
        <v>180</v>
      </c>
      <c r="G56" s="539">
        <v>1E-3</v>
      </c>
      <c r="H56" s="538">
        <f t="shared" si="8"/>
        <v>18</v>
      </c>
      <c r="I56" s="539">
        <v>1E-3</v>
      </c>
      <c r="J56" s="540">
        <f t="shared" si="9"/>
        <v>18</v>
      </c>
      <c r="K56" s="541">
        <f t="shared" si="7"/>
        <v>216</v>
      </c>
    </row>
    <row r="57" spans="1:11" ht="18" customHeight="1">
      <c r="A57" s="533">
        <v>15</v>
      </c>
      <c r="B57" s="635" t="s">
        <v>937</v>
      </c>
      <c r="C57" s="636" t="s">
        <v>919</v>
      </c>
      <c r="D57" s="535">
        <f>'Bang gia'!K20</f>
        <v>15000</v>
      </c>
      <c r="E57" s="539">
        <v>0.01</v>
      </c>
      <c r="F57" s="535">
        <f>E57*D57</f>
        <v>150</v>
      </c>
      <c r="G57" s="539">
        <v>1E-3</v>
      </c>
      <c r="H57" s="538">
        <f t="shared" si="8"/>
        <v>15</v>
      </c>
      <c r="I57" s="539">
        <v>1E-3</v>
      </c>
      <c r="J57" s="540">
        <f t="shared" si="9"/>
        <v>15</v>
      </c>
      <c r="K57" s="541">
        <f t="shared" si="7"/>
        <v>180</v>
      </c>
    </row>
    <row r="58" spans="1:11" ht="18" customHeight="1">
      <c r="A58" s="533">
        <v>16</v>
      </c>
      <c r="B58" s="635" t="s">
        <v>144</v>
      </c>
      <c r="C58" s="636" t="s">
        <v>939</v>
      </c>
      <c r="D58" s="535">
        <f>'Bang gia'!K21</f>
        <v>1000</v>
      </c>
      <c r="E58" s="539"/>
      <c r="F58" s="535"/>
      <c r="G58" s="539"/>
      <c r="H58" s="538">
        <f t="shared" si="8"/>
        <v>0</v>
      </c>
      <c r="I58" s="539">
        <v>9.4E-2</v>
      </c>
      <c r="J58" s="540">
        <f t="shared" si="9"/>
        <v>94</v>
      </c>
      <c r="K58" s="541">
        <f t="shared" si="7"/>
        <v>94</v>
      </c>
    </row>
    <row r="59" spans="1:11" ht="18" customHeight="1">
      <c r="A59" s="533">
        <v>17</v>
      </c>
      <c r="B59" s="635" t="s">
        <v>947</v>
      </c>
      <c r="C59" s="637" t="s">
        <v>941</v>
      </c>
      <c r="D59" s="535">
        <f>'Bang gia'!K27</f>
        <v>10000</v>
      </c>
      <c r="E59" s="638"/>
      <c r="F59" s="535"/>
      <c r="G59" s="539">
        <v>1.7999999999999999E-2</v>
      </c>
      <c r="H59" s="538">
        <f>D59*G59</f>
        <v>180</v>
      </c>
      <c r="I59" s="638">
        <v>3.0000000000000001E-3</v>
      </c>
      <c r="J59" s="540">
        <f t="shared" si="9"/>
        <v>30</v>
      </c>
      <c r="K59" s="541">
        <f t="shared" si="7"/>
        <v>210</v>
      </c>
    </row>
    <row r="60" spans="1:11" ht="18" customHeight="1">
      <c r="A60" s="533">
        <v>18</v>
      </c>
      <c r="B60" s="635" t="s">
        <v>948</v>
      </c>
      <c r="C60" s="637" t="s">
        <v>919</v>
      </c>
      <c r="D60" s="535">
        <f>'Bang gia'!K28</f>
        <v>3000</v>
      </c>
      <c r="E60" s="638">
        <v>1</v>
      </c>
      <c r="F60" s="535">
        <f>E60*D60</f>
        <v>3000</v>
      </c>
      <c r="G60" s="539"/>
      <c r="H60" s="538"/>
      <c r="I60" s="638"/>
      <c r="J60" s="540"/>
      <c r="K60" s="541">
        <f t="shared" si="7"/>
        <v>3000</v>
      </c>
    </row>
    <row r="61" spans="1:11" ht="18" customHeight="1">
      <c r="A61" s="641">
        <v>19</v>
      </c>
      <c r="B61" s="635" t="s">
        <v>943</v>
      </c>
      <c r="C61" s="642" t="s">
        <v>921</v>
      </c>
      <c r="D61" s="643">
        <f>'Bang gia'!K24</f>
        <v>2400000</v>
      </c>
      <c r="E61" s="638"/>
      <c r="F61" s="535"/>
      <c r="G61" s="539"/>
      <c r="H61" s="538"/>
      <c r="I61" s="638">
        <v>1E-3</v>
      </c>
      <c r="J61" s="540">
        <f t="shared" si="9"/>
        <v>2400</v>
      </c>
      <c r="K61" s="541">
        <f t="shared" si="7"/>
        <v>2400</v>
      </c>
    </row>
    <row r="62" spans="1:11" ht="18" customHeight="1">
      <c r="A62" s="641">
        <v>20</v>
      </c>
      <c r="B62" s="635" t="s">
        <v>145</v>
      </c>
      <c r="C62" s="642" t="s">
        <v>928</v>
      </c>
      <c r="D62" s="643">
        <f>'Bang gia'!K25</f>
        <v>4500</v>
      </c>
      <c r="E62" s="638"/>
      <c r="F62" s="535"/>
      <c r="G62" s="539">
        <v>0.03</v>
      </c>
      <c r="H62" s="538"/>
      <c r="I62" s="638">
        <v>0.09</v>
      </c>
      <c r="J62" s="645">
        <f>D62*I62</f>
        <v>405</v>
      </c>
      <c r="K62" s="646">
        <f t="shared" si="7"/>
        <v>405</v>
      </c>
    </row>
    <row r="63" spans="1:11" ht="18" customHeight="1">
      <c r="A63" s="599">
        <v>21</v>
      </c>
      <c r="B63" s="647" t="s">
        <v>949</v>
      </c>
      <c r="C63" s="648" t="s">
        <v>921</v>
      </c>
      <c r="D63" s="601">
        <f>'Bang gia'!K29</f>
        <v>1250000</v>
      </c>
      <c r="E63" s="602">
        <v>1E-3</v>
      </c>
      <c r="F63" s="601">
        <f>D63*E63</f>
        <v>1250</v>
      </c>
      <c r="G63" s="539"/>
      <c r="H63" s="538"/>
      <c r="I63" s="602"/>
      <c r="J63" s="650"/>
      <c r="K63" s="646">
        <f>F63+H63+J63</f>
        <v>1250</v>
      </c>
    </row>
    <row r="64" spans="1:11" ht="18.600000000000001" customHeight="1">
      <c r="A64" s="652"/>
      <c r="B64" s="653" t="s">
        <v>146</v>
      </c>
      <c r="C64" s="577"/>
      <c r="D64" s="577"/>
      <c r="E64" s="576"/>
      <c r="F64" s="655">
        <f>SUM(F43:F63)</f>
        <v>14655</v>
      </c>
      <c r="G64" s="654"/>
      <c r="H64" s="655">
        <f>SUM(H43:H63)</f>
        <v>17328.5</v>
      </c>
      <c r="I64" s="576"/>
      <c r="J64" s="546">
        <f>SUM(J43:J63)</f>
        <v>11587.5</v>
      </c>
      <c r="K64" s="546">
        <f>SUM(K43:K63)</f>
        <v>43571</v>
      </c>
    </row>
    <row r="65" spans="1:13" ht="18.600000000000001" customHeight="1">
      <c r="A65" s="652"/>
      <c r="B65" s="653" t="s">
        <v>147</v>
      </c>
      <c r="C65" s="577"/>
      <c r="D65" s="577"/>
      <c r="E65" s="576"/>
      <c r="F65" s="655">
        <f>F64*8%</f>
        <v>1172.4000000000001</v>
      </c>
      <c r="G65" s="654"/>
      <c r="H65" s="655">
        <f>H64*8%</f>
        <v>1386.28</v>
      </c>
      <c r="I65" s="654"/>
      <c r="J65" s="655">
        <f>J64*8%</f>
        <v>927</v>
      </c>
      <c r="K65" s="655">
        <f>K64*8%</f>
        <v>3485.6800000000003</v>
      </c>
    </row>
    <row r="66" spans="1:13" ht="18.600000000000001" customHeight="1">
      <c r="A66" s="657"/>
      <c r="B66" s="543" t="s">
        <v>546</v>
      </c>
      <c r="C66" s="657"/>
      <c r="D66" s="657"/>
      <c r="E66" s="658"/>
      <c r="F66" s="655">
        <f>F64+F65</f>
        <v>15827.4</v>
      </c>
      <c r="G66" s="654"/>
      <c r="H66" s="655">
        <f>H64+H65</f>
        <v>18714.78</v>
      </c>
      <c r="I66" s="654"/>
      <c r="J66" s="655">
        <f>J64+J65</f>
        <v>12514.5</v>
      </c>
      <c r="K66" s="655">
        <f>K64+K65</f>
        <v>47056.68</v>
      </c>
      <c r="M66" s="547">
        <f>F66/5000</f>
        <v>3.1654800000000001</v>
      </c>
    </row>
    <row r="67" spans="1:13" ht="6" customHeight="1">
      <c r="A67" s="628"/>
      <c r="B67" s="435"/>
      <c r="C67" s="625"/>
      <c r="D67" s="556"/>
      <c r="E67" s="626"/>
      <c r="F67" s="556"/>
      <c r="G67" s="626"/>
      <c r="H67" s="627"/>
      <c r="I67" s="629"/>
      <c r="J67" s="556"/>
      <c r="K67" s="449"/>
    </row>
    <row r="68" spans="1:13">
      <c r="A68" s="663"/>
      <c r="B68" s="554" t="s">
        <v>550</v>
      </c>
      <c r="C68" s="558"/>
      <c r="D68" s="556"/>
      <c r="E68" s="626"/>
      <c r="F68" s="556"/>
      <c r="G68" s="626"/>
      <c r="H68" s="627"/>
      <c r="I68" s="629"/>
      <c r="J68" s="556"/>
      <c r="K68" s="666"/>
    </row>
    <row r="69" spans="1:13" ht="25.15" customHeight="1">
      <c r="A69" s="561"/>
      <c r="B69" s="1217" t="s">
        <v>465</v>
      </c>
      <c r="C69" s="1217"/>
      <c r="D69" s="1217"/>
      <c r="E69" s="1217"/>
      <c r="F69" s="1217"/>
      <c r="G69" s="1217"/>
      <c r="H69" s="1217"/>
      <c r="I69" s="1217"/>
      <c r="J69" s="1217"/>
      <c r="K69" s="1217"/>
    </row>
    <row r="70" spans="1:13" ht="18" customHeight="1">
      <c r="A70" s="561"/>
      <c r="B70" s="1217" t="s">
        <v>466</v>
      </c>
      <c r="C70" s="1217"/>
      <c r="D70" s="1217"/>
      <c r="E70" s="1217"/>
      <c r="F70" s="1217"/>
      <c r="G70" s="1217"/>
      <c r="H70" s="1217"/>
      <c r="I70" s="1217"/>
      <c r="J70" s="1217"/>
      <c r="K70" s="1217"/>
    </row>
    <row r="71" spans="1:13" ht="18" customHeight="1">
      <c r="A71" s="561"/>
      <c r="B71" s="560"/>
      <c r="C71" s="560"/>
      <c r="D71" s="556"/>
      <c r="E71" s="626"/>
      <c r="F71" s="556"/>
      <c r="G71" s="626"/>
      <c r="H71" s="627"/>
      <c r="I71" s="629"/>
      <c r="J71" s="556"/>
      <c r="K71" s="449"/>
    </row>
    <row r="72" spans="1:13" ht="30.6" customHeight="1">
      <c r="A72" s="1177" t="s">
        <v>704</v>
      </c>
      <c r="B72" s="1177"/>
      <c r="C72" s="1177"/>
      <c r="D72" s="1177"/>
      <c r="E72" s="1177"/>
      <c r="F72" s="1177"/>
      <c r="G72" s="1177"/>
      <c r="H72" s="1177"/>
      <c r="I72" s="1177"/>
      <c r="J72" s="1177"/>
      <c r="K72" s="1177"/>
    </row>
    <row r="73" spans="1:13" ht="6.75" customHeight="1">
      <c r="A73" s="667"/>
      <c r="B73" s="668"/>
      <c r="C73" s="669"/>
      <c r="D73" s="556"/>
      <c r="E73" s="626"/>
      <c r="F73" s="556"/>
      <c r="G73" s="626"/>
      <c r="H73" s="627"/>
      <c r="I73" s="629"/>
      <c r="J73" s="556"/>
      <c r="K73" s="449"/>
    </row>
    <row r="74" spans="1:13" ht="27" customHeight="1">
      <c r="A74" s="1203" t="s">
        <v>724</v>
      </c>
      <c r="B74" s="1203" t="s">
        <v>534</v>
      </c>
      <c r="C74" s="1203" t="s">
        <v>535</v>
      </c>
      <c r="D74" s="1203" t="s">
        <v>556</v>
      </c>
      <c r="E74" s="1212" t="s">
        <v>539</v>
      </c>
      <c r="F74" s="1214"/>
      <c r="G74" s="1214"/>
      <c r="H74" s="1214"/>
      <c r="I74" s="1214"/>
      <c r="J74" s="1213"/>
      <c r="K74" s="1203" t="s">
        <v>226</v>
      </c>
    </row>
    <row r="75" spans="1:13" ht="36" customHeight="1">
      <c r="A75" s="1204"/>
      <c r="B75" s="1204"/>
      <c r="C75" s="1204"/>
      <c r="D75" s="1204"/>
      <c r="E75" s="1212" t="s">
        <v>164</v>
      </c>
      <c r="F75" s="1213"/>
      <c r="G75" s="1212" t="s">
        <v>140</v>
      </c>
      <c r="H75" s="1213"/>
      <c r="I75" s="1212" t="s">
        <v>542</v>
      </c>
      <c r="J75" s="1213"/>
      <c r="K75" s="1204"/>
    </row>
    <row r="76" spans="1:13" ht="25.9" customHeight="1">
      <c r="A76" s="1205"/>
      <c r="B76" s="1205"/>
      <c r="C76" s="1205"/>
      <c r="D76" s="1205"/>
      <c r="E76" s="630" t="s">
        <v>141</v>
      </c>
      <c r="F76" s="423" t="s">
        <v>268</v>
      </c>
      <c r="G76" s="630" t="s">
        <v>141</v>
      </c>
      <c r="H76" s="423" t="s">
        <v>268</v>
      </c>
      <c r="I76" s="630" t="s">
        <v>141</v>
      </c>
      <c r="J76" s="423" t="s">
        <v>268</v>
      </c>
      <c r="K76" s="1205"/>
    </row>
    <row r="77" spans="1:13" ht="20.100000000000001" customHeight="1">
      <c r="A77" s="578">
        <v>1</v>
      </c>
      <c r="B77" s="631" t="s">
        <v>918</v>
      </c>
      <c r="C77" s="632" t="s">
        <v>919</v>
      </c>
      <c r="D77" s="535">
        <f>'Bang gia'!K6</f>
        <v>5000</v>
      </c>
      <c r="E77" s="581">
        <v>2E-3</v>
      </c>
      <c r="F77" s="580">
        <f>D77*E77</f>
        <v>10</v>
      </c>
      <c r="G77" s="581">
        <v>2E-3</v>
      </c>
      <c r="H77" s="582">
        <f>D77*G77</f>
        <v>10</v>
      </c>
      <c r="I77" s="581"/>
      <c r="J77" s="583"/>
      <c r="K77" s="582">
        <f>F77+H77+J77</f>
        <v>20</v>
      </c>
    </row>
    <row r="78" spans="1:13" ht="20.100000000000001" customHeight="1">
      <c r="A78" s="533">
        <v>2</v>
      </c>
      <c r="B78" s="633" t="s">
        <v>920</v>
      </c>
      <c r="C78" s="634" t="s">
        <v>921</v>
      </c>
      <c r="D78" s="535">
        <f>'Bang gia'!K7</f>
        <v>2000</v>
      </c>
      <c r="E78" s="539">
        <v>7.0000000000000001E-3</v>
      </c>
      <c r="F78" s="535">
        <f>D78*E78</f>
        <v>14</v>
      </c>
      <c r="G78" s="537">
        <v>0.02</v>
      </c>
      <c r="H78" s="538">
        <f>D78*G78</f>
        <v>40</v>
      </c>
      <c r="I78" s="539"/>
      <c r="J78" s="540"/>
      <c r="K78" s="541">
        <f>F78+H78+J78</f>
        <v>54</v>
      </c>
    </row>
    <row r="79" spans="1:13" ht="20.100000000000001" customHeight="1">
      <c r="A79" s="533">
        <v>3</v>
      </c>
      <c r="B79" s="633" t="s">
        <v>922</v>
      </c>
      <c r="C79" s="634" t="s">
        <v>921</v>
      </c>
      <c r="D79" s="535">
        <f>'Bang gia'!K8</f>
        <v>2000</v>
      </c>
      <c r="E79" s="539">
        <v>0.02</v>
      </c>
      <c r="F79" s="535">
        <f>D79*E79</f>
        <v>40</v>
      </c>
      <c r="G79" s="537">
        <v>0.04</v>
      </c>
      <c r="H79" s="538">
        <f t="shared" ref="H79:H84" si="10">D79*G79</f>
        <v>80</v>
      </c>
      <c r="I79" s="539"/>
      <c r="J79" s="540"/>
      <c r="K79" s="541">
        <f t="shared" ref="K79:K93" si="11">F79+H79+J79</f>
        <v>120</v>
      </c>
    </row>
    <row r="80" spans="1:13" ht="20.100000000000001" customHeight="1">
      <c r="A80" s="533">
        <v>4</v>
      </c>
      <c r="B80" s="633" t="s">
        <v>923</v>
      </c>
      <c r="C80" s="634" t="s">
        <v>921</v>
      </c>
      <c r="D80" s="535">
        <f>'Bang gia'!K9</f>
        <v>1450000</v>
      </c>
      <c r="E80" s="539">
        <v>2E-3</v>
      </c>
      <c r="F80" s="535">
        <f>D80*E80</f>
        <v>2900</v>
      </c>
      <c r="G80" s="537">
        <v>3.0000000000000001E-3</v>
      </c>
      <c r="H80" s="538">
        <f t="shared" si="10"/>
        <v>4350</v>
      </c>
      <c r="I80" s="539"/>
      <c r="J80" s="540"/>
      <c r="K80" s="541">
        <f t="shared" si="11"/>
        <v>7250</v>
      </c>
    </row>
    <row r="81" spans="1:11" ht="20.100000000000001" customHeight="1">
      <c r="A81" s="533">
        <v>5</v>
      </c>
      <c r="B81" s="633" t="s">
        <v>924</v>
      </c>
      <c r="C81" s="634" t="s">
        <v>921</v>
      </c>
      <c r="D81" s="535">
        <f>'Bang gia'!K10</f>
        <v>300000</v>
      </c>
      <c r="E81" s="539">
        <v>3.0000000000000001E-3</v>
      </c>
      <c r="F81" s="535">
        <f>D81*E81</f>
        <v>900</v>
      </c>
      <c r="G81" s="537">
        <v>5.0000000000000001E-3</v>
      </c>
      <c r="H81" s="538">
        <f t="shared" si="10"/>
        <v>1500</v>
      </c>
      <c r="I81" s="539"/>
      <c r="J81" s="540"/>
      <c r="K81" s="541">
        <f t="shared" si="11"/>
        <v>2400</v>
      </c>
    </row>
    <row r="82" spans="1:11" ht="20.100000000000001" customHeight="1">
      <c r="A82" s="533">
        <v>6</v>
      </c>
      <c r="B82" s="633" t="s">
        <v>926</v>
      </c>
      <c r="C82" s="634" t="s">
        <v>921</v>
      </c>
      <c r="D82" s="535">
        <f>'Bang gia'!K11</f>
        <v>3350000</v>
      </c>
      <c r="E82" s="539"/>
      <c r="F82" s="535"/>
      <c r="G82" s="537">
        <v>3.0000000000000001E-3</v>
      </c>
      <c r="H82" s="538">
        <f t="shared" si="10"/>
        <v>10050</v>
      </c>
      <c r="I82" s="539"/>
      <c r="J82" s="540"/>
      <c r="K82" s="541">
        <f t="shared" si="11"/>
        <v>10050</v>
      </c>
    </row>
    <row r="83" spans="1:11" ht="20.100000000000001" customHeight="1">
      <c r="A83" s="533">
        <v>7</v>
      </c>
      <c r="B83" s="633" t="s">
        <v>927</v>
      </c>
      <c r="C83" s="634" t="s">
        <v>928</v>
      </c>
      <c r="D83" s="535">
        <f>'Bang gia'!K12</f>
        <v>300</v>
      </c>
      <c r="E83" s="539"/>
      <c r="F83" s="535"/>
      <c r="G83" s="537">
        <v>1</v>
      </c>
      <c r="H83" s="538">
        <f t="shared" si="10"/>
        <v>300</v>
      </c>
      <c r="I83" s="539"/>
      <c r="J83" s="540"/>
      <c r="K83" s="541">
        <f t="shared" si="11"/>
        <v>300</v>
      </c>
    </row>
    <row r="84" spans="1:11" ht="20.100000000000001" customHeight="1">
      <c r="A84" s="533">
        <v>8</v>
      </c>
      <c r="B84" s="633" t="s">
        <v>558</v>
      </c>
      <c r="C84" s="634" t="s">
        <v>929</v>
      </c>
      <c r="D84" s="535">
        <f>'Bang gia'!K13</f>
        <v>7000</v>
      </c>
      <c r="E84" s="539"/>
      <c r="F84" s="535"/>
      <c r="G84" s="537">
        <v>1</v>
      </c>
      <c r="H84" s="538">
        <f t="shared" si="10"/>
        <v>7000</v>
      </c>
      <c r="I84" s="539"/>
      <c r="J84" s="540"/>
      <c r="K84" s="541">
        <f t="shared" si="11"/>
        <v>7000</v>
      </c>
    </row>
    <row r="85" spans="1:11" ht="20.100000000000001" customHeight="1">
      <c r="A85" s="533">
        <v>9</v>
      </c>
      <c r="B85" s="633" t="s">
        <v>557</v>
      </c>
      <c r="C85" s="634" t="s">
        <v>928</v>
      </c>
      <c r="D85" s="535">
        <f>'Bang gia'!K14</f>
        <v>300</v>
      </c>
      <c r="E85" s="539">
        <v>1</v>
      </c>
      <c r="F85" s="535">
        <f>D85*E85</f>
        <v>300</v>
      </c>
      <c r="G85" s="537"/>
      <c r="H85" s="538"/>
      <c r="I85" s="539"/>
      <c r="J85" s="540"/>
      <c r="K85" s="541">
        <f t="shared" si="11"/>
        <v>300</v>
      </c>
    </row>
    <row r="86" spans="1:11" ht="20.100000000000001" customHeight="1">
      <c r="A86" s="533">
        <v>10</v>
      </c>
      <c r="B86" s="633" t="s">
        <v>930</v>
      </c>
      <c r="C86" s="634" t="s">
        <v>931</v>
      </c>
      <c r="D86" s="535">
        <f>'Bang gia'!K15</f>
        <v>45000</v>
      </c>
      <c r="E86" s="539">
        <v>1.4999999999999999E-2</v>
      </c>
      <c r="F86" s="535">
        <f>D86*E86</f>
        <v>675</v>
      </c>
      <c r="G86" s="537">
        <v>2.3E-2</v>
      </c>
      <c r="H86" s="538">
        <f t="shared" ref="H86:H91" si="12">D86*G86</f>
        <v>1035</v>
      </c>
      <c r="I86" s="539"/>
      <c r="J86" s="540"/>
      <c r="K86" s="541">
        <f t="shared" si="11"/>
        <v>1710</v>
      </c>
    </row>
    <row r="87" spans="1:11" ht="20.100000000000001" customHeight="1">
      <c r="A87" s="533">
        <v>11</v>
      </c>
      <c r="B87" s="633" t="s">
        <v>932</v>
      </c>
      <c r="C87" s="634" t="s">
        <v>931</v>
      </c>
      <c r="D87" s="535">
        <f>'Bang gia'!K16</f>
        <v>90000</v>
      </c>
      <c r="E87" s="539"/>
      <c r="F87" s="535"/>
      <c r="G87" s="537">
        <v>4.0000000000000001E-3</v>
      </c>
      <c r="H87" s="538">
        <f t="shared" si="12"/>
        <v>360</v>
      </c>
      <c r="I87" s="539"/>
      <c r="J87" s="540"/>
      <c r="K87" s="541">
        <f t="shared" si="11"/>
        <v>360</v>
      </c>
    </row>
    <row r="88" spans="1:11" ht="20.100000000000001" customHeight="1">
      <c r="A88" s="533">
        <v>12</v>
      </c>
      <c r="B88" s="633" t="s">
        <v>933</v>
      </c>
      <c r="C88" s="634" t="s">
        <v>934</v>
      </c>
      <c r="D88" s="535">
        <f>'Bang gia'!K17</f>
        <v>25000</v>
      </c>
      <c r="E88" s="539"/>
      <c r="F88" s="535"/>
      <c r="G88" s="537">
        <v>3.0000000000000001E-3</v>
      </c>
      <c r="H88" s="538">
        <f t="shared" si="12"/>
        <v>75</v>
      </c>
      <c r="I88" s="539"/>
      <c r="J88" s="540"/>
      <c r="K88" s="541">
        <f t="shared" si="11"/>
        <v>75</v>
      </c>
    </row>
    <row r="89" spans="1:11" ht="20.100000000000001" customHeight="1">
      <c r="A89" s="533">
        <v>13</v>
      </c>
      <c r="B89" s="635" t="s">
        <v>935</v>
      </c>
      <c r="C89" s="636" t="s">
        <v>143</v>
      </c>
      <c r="D89" s="535">
        <f>'Bang gia'!K18</f>
        <v>2500</v>
      </c>
      <c r="E89" s="539">
        <v>0.01</v>
      </c>
      <c r="F89" s="535">
        <f>D89*E89</f>
        <v>25</v>
      </c>
      <c r="G89" s="537">
        <v>1.6E-2</v>
      </c>
      <c r="H89" s="538">
        <f t="shared" si="12"/>
        <v>40</v>
      </c>
      <c r="I89" s="539"/>
      <c r="J89" s="540"/>
      <c r="K89" s="541">
        <f t="shared" si="11"/>
        <v>65</v>
      </c>
    </row>
    <row r="90" spans="1:11" ht="20.100000000000001" customHeight="1">
      <c r="A90" s="533">
        <v>14</v>
      </c>
      <c r="B90" s="635" t="s">
        <v>936</v>
      </c>
      <c r="C90" s="636" t="s">
        <v>919</v>
      </c>
      <c r="D90" s="535">
        <f>'Bang gia'!K19</f>
        <v>18000</v>
      </c>
      <c r="E90" s="539"/>
      <c r="F90" s="535"/>
      <c r="G90" s="537">
        <v>2E-3</v>
      </c>
      <c r="H90" s="538">
        <f t="shared" si="12"/>
        <v>36</v>
      </c>
      <c r="I90" s="539"/>
      <c r="J90" s="540"/>
      <c r="K90" s="541">
        <f t="shared" si="11"/>
        <v>36</v>
      </c>
    </row>
    <row r="91" spans="1:11" ht="20.100000000000001" customHeight="1">
      <c r="A91" s="533">
        <v>15</v>
      </c>
      <c r="B91" s="635" t="s">
        <v>937</v>
      </c>
      <c r="C91" s="636" t="s">
        <v>919</v>
      </c>
      <c r="D91" s="535">
        <f>'Bang gia'!K20</f>
        <v>15000</v>
      </c>
      <c r="E91" s="539"/>
      <c r="F91" s="535"/>
      <c r="G91" s="537">
        <v>2E-3</v>
      </c>
      <c r="H91" s="538">
        <f t="shared" si="12"/>
        <v>30</v>
      </c>
      <c r="I91" s="539"/>
      <c r="J91" s="540"/>
      <c r="K91" s="541">
        <f t="shared" si="11"/>
        <v>30</v>
      </c>
    </row>
    <row r="92" spans="1:11" ht="20.100000000000001" customHeight="1">
      <c r="A92" s="533">
        <v>16</v>
      </c>
      <c r="B92" s="635" t="s">
        <v>560</v>
      </c>
      <c r="C92" s="637" t="s">
        <v>941</v>
      </c>
      <c r="D92" s="535">
        <f>'Bang gia'!K27</f>
        <v>10000</v>
      </c>
      <c r="E92" s="638"/>
      <c r="F92" s="535"/>
      <c r="G92" s="639">
        <v>3.0000000000000001E-3</v>
      </c>
      <c r="H92" s="538">
        <f>D92*G92</f>
        <v>30</v>
      </c>
      <c r="I92" s="638"/>
      <c r="J92" s="540"/>
      <c r="K92" s="541">
        <f t="shared" si="11"/>
        <v>30</v>
      </c>
    </row>
    <row r="93" spans="1:11" ht="20.100000000000001" customHeight="1">
      <c r="A93" s="641">
        <v>17</v>
      </c>
      <c r="B93" s="635" t="s">
        <v>942</v>
      </c>
      <c r="C93" s="642" t="s">
        <v>928</v>
      </c>
      <c r="D93" s="643">
        <f>'Bang gia'!K23</f>
        <v>1500</v>
      </c>
      <c r="E93" s="638">
        <v>1</v>
      </c>
      <c r="F93" s="643">
        <f>D93*E93</f>
        <v>1500</v>
      </c>
      <c r="G93" s="639"/>
      <c r="H93" s="644"/>
      <c r="I93" s="638"/>
      <c r="J93" s="645"/>
      <c r="K93" s="646">
        <f t="shared" si="11"/>
        <v>1500</v>
      </c>
    </row>
    <row r="94" spans="1:11" ht="20.100000000000001" customHeight="1">
      <c r="A94" s="652"/>
      <c r="B94" s="653" t="s">
        <v>146</v>
      </c>
      <c r="C94" s="577"/>
      <c r="D94" s="577"/>
      <c r="E94" s="576"/>
      <c r="F94" s="577">
        <f>SUM(F77:F93)</f>
        <v>6364</v>
      </c>
      <c r="G94" s="654"/>
      <c r="H94" s="655">
        <f>SUM(H77:H93)</f>
        <v>24936</v>
      </c>
      <c r="I94" s="576"/>
      <c r="J94" s="546"/>
      <c r="K94" s="546">
        <f>SUM(K77:K93)</f>
        <v>31300</v>
      </c>
    </row>
    <row r="95" spans="1:11" ht="20.100000000000001" customHeight="1">
      <c r="A95" s="652"/>
      <c r="B95" s="653" t="s">
        <v>147</v>
      </c>
      <c r="C95" s="577"/>
      <c r="D95" s="577"/>
      <c r="E95" s="576"/>
      <c r="F95" s="577">
        <f>F94*8%</f>
        <v>509.12</v>
      </c>
      <c r="G95" s="656"/>
      <c r="H95" s="577">
        <f>H94*8%</f>
        <v>1994.88</v>
      </c>
      <c r="I95" s="656"/>
      <c r="J95" s="577"/>
      <c r="K95" s="577">
        <f>K94*8%</f>
        <v>2504</v>
      </c>
    </row>
    <row r="96" spans="1:11" ht="20.100000000000001" customHeight="1">
      <c r="A96" s="657"/>
      <c r="B96" s="543" t="s">
        <v>546</v>
      </c>
      <c r="C96" s="657"/>
      <c r="D96" s="657"/>
      <c r="E96" s="658"/>
      <c r="F96" s="544">
        <f>F94+F95</f>
        <v>6873.12</v>
      </c>
      <c r="G96" s="576"/>
      <c r="H96" s="544">
        <f>H94+H95</f>
        <v>26930.880000000001</v>
      </c>
      <c r="I96" s="576"/>
      <c r="J96" s="544"/>
      <c r="K96" s="544">
        <f>K94+K95</f>
        <v>33804</v>
      </c>
    </row>
    <row r="97" spans="1:11" ht="8.25" customHeight="1">
      <c r="A97" s="628"/>
      <c r="B97" s="435"/>
      <c r="C97" s="625"/>
      <c r="D97" s="556"/>
      <c r="E97" s="626"/>
      <c r="F97" s="556"/>
      <c r="G97" s="626"/>
      <c r="H97" s="627"/>
      <c r="I97" s="629"/>
      <c r="J97" s="556"/>
      <c r="K97" s="449"/>
    </row>
    <row r="98" spans="1:11">
      <c r="A98" s="663"/>
      <c r="B98" s="554" t="s">
        <v>550</v>
      </c>
      <c r="C98" s="558"/>
      <c r="D98" s="556"/>
      <c r="E98" s="626"/>
      <c r="F98" s="556"/>
      <c r="G98" s="626"/>
      <c r="H98" s="627"/>
      <c r="I98" s="629"/>
      <c r="J98" s="556"/>
      <c r="K98" s="449"/>
    </row>
    <row r="99" spans="1:11" ht="20.25" customHeight="1">
      <c r="A99" s="561"/>
      <c r="B99" s="1217" t="s">
        <v>468</v>
      </c>
      <c r="C99" s="1217"/>
      <c r="D99" s="1217"/>
      <c r="E99" s="1217"/>
      <c r="F99" s="1217"/>
      <c r="G99" s="1217"/>
      <c r="H99" s="1217"/>
      <c r="I99" s="1217"/>
      <c r="J99" s="1217"/>
      <c r="K99" s="1217"/>
    </row>
    <row r="100" spans="1:11" ht="20.25" customHeight="1">
      <c r="A100" s="628"/>
      <c r="B100" s="560"/>
      <c r="C100" s="625"/>
      <c r="D100" s="556"/>
      <c r="E100" s="626"/>
      <c r="F100" s="556"/>
      <c r="G100" s="626"/>
      <c r="H100" s="627"/>
      <c r="I100" s="629"/>
      <c r="J100" s="556"/>
      <c r="K100" s="449"/>
    </row>
    <row r="101" spans="1:11" ht="32.25" customHeight="1">
      <c r="A101" s="1177" t="s">
        <v>214</v>
      </c>
      <c r="B101" s="1177"/>
      <c r="C101" s="1177"/>
      <c r="D101" s="1177"/>
      <c r="E101" s="1177"/>
      <c r="F101" s="1177"/>
      <c r="G101" s="1177"/>
      <c r="H101" s="1177"/>
      <c r="I101" s="1177"/>
      <c r="J101" s="1177"/>
      <c r="K101" s="1177"/>
    </row>
    <row r="102" spans="1:11" ht="6.75" customHeight="1">
      <c r="A102" s="667"/>
      <c r="B102" s="668"/>
      <c r="C102" s="669"/>
      <c r="D102" s="556"/>
      <c r="E102" s="626"/>
      <c r="F102" s="556"/>
      <c r="G102" s="626"/>
      <c r="H102" s="627"/>
      <c r="I102" s="629"/>
      <c r="J102" s="556"/>
      <c r="K102" s="449"/>
    </row>
    <row r="103" spans="1:11" ht="18" customHeight="1">
      <c r="A103" s="1203" t="s">
        <v>724</v>
      </c>
      <c r="B103" s="1203" t="s">
        <v>534</v>
      </c>
      <c r="C103" s="1203" t="s">
        <v>535</v>
      </c>
      <c r="D103" s="1203" t="s">
        <v>556</v>
      </c>
      <c r="E103" s="1212" t="s">
        <v>539</v>
      </c>
      <c r="F103" s="1214"/>
      <c r="G103" s="1214"/>
      <c r="H103" s="1214"/>
      <c r="I103" s="1214"/>
      <c r="J103" s="1213"/>
      <c r="K103" s="1203" t="s">
        <v>226</v>
      </c>
    </row>
    <row r="104" spans="1:11" ht="42.75" customHeight="1">
      <c r="A104" s="1204"/>
      <c r="B104" s="1204"/>
      <c r="C104" s="1204"/>
      <c r="D104" s="1204"/>
      <c r="E104" s="1212" t="s">
        <v>164</v>
      </c>
      <c r="F104" s="1213"/>
      <c r="G104" s="1212" t="s">
        <v>140</v>
      </c>
      <c r="H104" s="1213"/>
      <c r="I104" s="1212" t="s">
        <v>542</v>
      </c>
      <c r="J104" s="1213"/>
      <c r="K104" s="1204"/>
    </row>
    <row r="105" spans="1:11" ht="19.5" customHeight="1">
      <c r="A105" s="1205"/>
      <c r="B105" s="1205"/>
      <c r="C105" s="1205"/>
      <c r="D105" s="1205"/>
      <c r="E105" s="630" t="s">
        <v>141</v>
      </c>
      <c r="F105" s="423" t="s">
        <v>268</v>
      </c>
      <c r="G105" s="630" t="s">
        <v>141</v>
      </c>
      <c r="H105" s="423" t="s">
        <v>268</v>
      </c>
      <c r="I105" s="630" t="s">
        <v>141</v>
      </c>
      <c r="J105" s="423" t="s">
        <v>268</v>
      </c>
      <c r="K105" s="1205"/>
    </row>
    <row r="106" spans="1:11" ht="20.100000000000001" customHeight="1">
      <c r="A106" s="578">
        <v>1</v>
      </c>
      <c r="B106" s="631" t="s">
        <v>918</v>
      </c>
      <c r="C106" s="632" t="s">
        <v>919</v>
      </c>
      <c r="D106" s="535">
        <f t="shared" ref="D106:D122" si="13">D77</f>
        <v>5000</v>
      </c>
      <c r="E106" s="581">
        <v>2E-3</v>
      </c>
      <c r="F106" s="580">
        <f>D106*E106</f>
        <v>10</v>
      </c>
      <c r="G106" s="581">
        <v>2E-3</v>
      </c>
      <c r="H106" s="582">
        <f>D106*G106</f>
        <v>10</v>
      </c>
      <c r="I106" s="581"/>
      <c r="J106" s="583"/>
      <c r="K106" s="582">
        <f>F106+H106+J106</f>
        <v>20</v>
      </c>
    </row>
    <row r="107" spans="1:11" ht="20.100000000000001" customHeight="1">
      <c r="A107" s="533">
        <v>2</v>
      </c>
      <c r="B107" s="633" t="s">
        <v>920</v>
      </c>
      <c r="C107" s="634" t="s">
        <v>921</v>
      </c>
      <c r="D107" s="535">
        <f t="shared" si="13"/>
        <v>2000</v>
      </c>
      <c r="E107" s="539">
        <v>1.2E-2</v>
      </c>
      <c r="F107" s="535">
        <f>D107*E107</f>
        <v>24</v>
      </c>
      <c r="G107" s="537">
        <v>1.4999999999999999E-2</v>
      </c>
      <c r="H107" s="538">
        <f>D107*G107</f>
        <v>30</v>
      </c>
      <c r="I107" s="539"/>
      <c r="J107" s="540"/>
      <c r="K107" s="541">
        <f>F107+H107+J107</f>
        <v>54</v>
      </c>
    </row>
    <row r="108" spans="1:11" ht="20.100000000000001" customHeight="1">
      <c r="A108" s="533">
        <v>3</v>
      </c>
      <c r="B108" s="633" t="s">
        <v>922</v>
      </c>
      <c r="C108" s="634" t="s">
        <v>921</v>
      </c>
      <c r="D108" s="535">
        <f t="shared" si="13"/>
        <v>2000</v>
      </c>
      <c r="E108" s="539">
        <v>0.02</v>
      </c>
      <c r="F108" s="535">
        <f>D108*E108</f>
        <v>40</v>
      </c>
      <c r="G108" s="537">
        <v>0.04</v>
      </c>
      <c r="H108" s="538">
        <f t="shared" ref="H108:H114" si="14">D108*G108</f>
        <v>80</v>
      </c>
      <c r="I108" s="539"/>
      <c r="J108" s="540"/>
      <c r="K108" s="541">
        <f t="shared" ref="K108:K122" si="15">F108+H108+J108</f>
        <v>120</v>
      </c>
    </row>
    <row r="109" spans="1:11" ht="20.100000000000001" customHeight="1">
      <c r="A109" s="533">
        <v>4</v>
      </c>
      <c r="B109" s="633" t="s">
        <v>923</v>
      </c>
      <c r="C109" s="634" t="s">
        <v>921</v>
      </c>
      <c r="D109" s="535">
        <f t="shared" si="13"/>
        <v>1450000</v>
      </c>
      <c r="E109" s="539"/>
      <c r="F109" s="535">
        <f t="shared" ref="F109:F118" si="16">D109*E109</f>
        <v>0</v>
      </c>
      <c r="G109" s="537">
        <v>5.0000000000000001E-3</v>
      </c>
      <c r="H109" s="538">
        <f t="shared" si="14"/>
        <v>7250</v>
      </c>
      <c r="I109" s="539"/>
      <c r="J109" s="540"/>
      <c r="K109" s="541">
        <f t="shared" si="15"/>
        <v>7250</v>
      </c>
    </row>
    <row r="110" spans="1:11" ht="20.100000000000001" customHeight="1">
      <c r="A110" s="533">
        <v>5</v>
      </c>
      <c r="B110" s="633" t="s">
        <v>924</v>
      </c>
      <c r="C110" s="634" t="s">
        <v>921</v>
      </c>
      <c r="D110" s="535">
        <f t="shared" si="13"/>
        <v>300000</v>
      </c>
      <c r="E110" s="539">
        <v>2E-3</v>
      </c>
      <c r="F110" s="535">
        <f t="shared" si="16"/>
        <v>600</v>
      </c>
      <c r="G110" s="537">
        <v>6.0000000000000001E-3</v>
      </c>
      <c r="H110" s="538">
        <f t="shared" si="14"/>
        <v>1800</v>
      </c>
      <c r="I110" s="539"/>
      <c r="J110" s="540"/>
      <c r="K110" s="541">
        <f t="shared" si="15"/>
        <v>2400</v>
      </c>
    </row>
    <row r="111" spans="1:11" ht="20.100000000000001" customHeight="1">
      <c r="A111" s="533">
        <v>6</v>
      </c>
      <c r="B111" s="633" t="s">
        <v>926</v>
      </c>
      <c r="C111" s="634" t="s">
        <v>921</v>
      </c>
      <c r="D111" s="535">
        <f t="shared" si="13"/>
        <v>3350000</v>
      </c>
      <c r="E111" s="539"/>
      <c r="F111" s="535">
        <f t="shared" si="16"/>
        <v>0</v>
      </c>
      <c r="G111" s="537">
        <v>3.0000000000000001E-3</v>
      </c>
      <c r="H111" s="538">
        <f t="shared" si="14"/>
        <v>10050</v>
      </c>
      <c r="I111" s="539"/>
      <c r="J111" s="540"/>
      <c r="K111" s="541">
        <f t="shared" si="15"/>
        <v>10050</v>
      </c>
    </row>
    <row r="112" spans="1:11" ht="20.100000000000001" customHeight="1">
      <c r="A112" s="533">
        <v>7</v>
      </c>
      <c r="B112" s="633" t="s">
        <v>927</v>
      </c>
      <c r="C112" s="634" t="s">
        <v>928</v>
      </c>
      <c r="D112" s="535">
        <f t="shared" si="13"/>
        <v>300</v>
      </c>
      <c r="E112" s="539"/>
      <c r="F112" s="535">
        <f t="shared" si="16"/>
        <v>0</v>
      </c>
      <c r="G112" s="537">
        <v>1</v>
      </c>
      <c r="H112" s="538">
        <f t="shared" si="14"/>
        <v>300</v>
      </c>
      <c r="I112" s="539"/>
      <c r="J112" s="540"/>
      <c r="K112" s="541">
        <f t="shared" si="15"/>
        <v>300</v>
      </c>
    </row>
    <row r="113" spans="1:11" ht="20.100000000000001" customHeight="1">
      <c r="A113" s="533">
        <v>8</v>
      </c>
      <c r="B113" s="633" t="s">
        <v>558</v>
      </c>
      <c r="C113" s="634" t="s">
        <v>929</v>
      </c>
      <c r="D113" s="535">
        <f t="shared" si="13"/>
        <v>7000</v>
      </c>
      <c r="E113" s="539"/>
      <c r="F113" s="535">
        <f t="shared" si="16"/>
        <v>0</v>
      </c>
      <c r="G113" s="537">
        <v>1</v>
      </c>
      <c r="H113" s="538">
        <f t="shared" si="14"/>
        <v>7000</v>
      </c>
      <c r="I113" s="539"/>
      <c r="J113" s="540"/>
      <c r="K113" s="541">
        <f t="shared" si="15"/>
        <v>7000</v>
      </c>
    </row>
    <row r="114" spans="1:11" ht="20.100000000000001" customHeight="1">
      <c r="A114" s="533">
        <v>9</v>
      </c>
      <c r="B114" s="633" t="s">
        <v>557</v>
      </c>
      <c r="C114" s="634" t="s">
        <v>928</v>
      </c>
      <c r="D114" s="535">
        <f t="shared" si="13"/>
        <v>300</v>
      </c>
      <c r="E114" s="539"/>
      <c r="F114" s="535">
        <f t="shared" si="16"/>
        <v>0</v>
      </c>
      <c r="G114" s="537">
        <v>1</v>
      </c>
      <c r="H114" s="538">
        <f t="shared" si="14"/>
        <v>300</v>
      </c>
      <c r="I114" s="539"/>
      <c r="J114" s="540"/>
      <c r="K114" s="541">
        <f t="shared" si="15"/>
        <v>300</v>
      </c>
    </row>
    <row r="115" spans="1:11" ht="20.100000000000001" customHeight="1">
      <c r="A115" s="533">
        <v>10</v>
      </c>
      <c r="B115" s="633" t="s">
        <v>930</v>
      </c>
      <c r="C115" s="634" t="s">
        <v>931</v>
      </c>
      <c r="D115" s="535">
        <f t="shared" si="13"/>
        <v>45000</v>
      </c>
      <c r="E115" s="539">
        <v>1.0999999999999999E-2</v>
      </c>
      <c r="F115" s="535">
        <f t="shared" si="16"/>
        <v>494.99999999999994</v>
      </c>
      <c r="G115" s="537">
        <v>2.7E-2</v>
      </c>
      <c r="H115" s="538">
        <f t="shared" ref="H115:H120" si="17">D115*G115</f>
        <v>1215</v>
      </c>
      <c r="I115" s="539"/>
      <c r="J115" s="540"/>
      <c r="K115" s="541">
        <f t="shared" si="15"/>
        <v>1710</v>
      </c>
    </row>
    <row r="116" spans="1:11" ht="20.100000000000001" customHeight="1">
      <c r="A116" s="533">
        <v>11</v>
      </c>
      <c r="B116" s="633" t="s">
        <v>932</v>
      </c>
      <c r="C116" s="634" t="s">
        <v>931</v>
      </c>
      <c r="D116" s="535">
        <f t="shared" si="13"/>
        <v>90000</v>
      </c>
      <c r="E116" s="539">
        <v>1E-3</v>
      </c>
      <c r="F116" s="535">
        <f t="shared" si="16"/>
        <v>90</v>
      </c>
      <c r="G116" s="537">
        <v>3.0000000000000001E-3</v>
      </c>
      <c r="H116" s="538">
        <f t="shared" si="17"/>
        <v>270</v>
      </c>
      <c r="I116" s="539"/>
      <c r="J116" s="540"/>
      <c r="K116" s="541">
        <f t="shared" si="15"/>
        <v>360</v>
      </c>
    </row>
    <row r="117" spans="1:11" ht="20.100000000000001" customHeight="1">
      <c r="A117" s="533">
        <v>12</v>
      </c>
      <c r="B117" s="633" t="s">
        <v>933</v>
      </c>
      <c r="C117" s="634" t="s">
        <v>934</v>
      </c>
      <c r="D117" s="535">
        <f t="shared" si="13"/>
        <v>25000</v>
      </c>
      <c r="E117" s="539">
        <v>1E-3</v>
      </c>
      <c r="F117" s="535">
        <f t="shared" si="16"/>
        <v>25</v>
      </c>
      <c r="G117" s="537">
        <v>2E-3</v>
      </c>
      <c r="H117" s="538">
        <f t="shared" si="17"/>
        <v>50</v>
      </c>
      <c r="I117" s="539"/>
      <c r="J117" s="540"/>
      <c r="K117" s="541">
        <f t="shared" si="15"/>
        <v>75</v>
      </c>
    </row>
    <row r="118" spans="1:11" ht="20.100000000000001" customHeight="1">
      <c r="A118" s="533">
        <v>13</v>
      </c>
      <c r="B118" s="635" t="s">
        <v>935</v>
      </c>
      <c r="C118" s="636" t="s">
        <v>143</v>
      </c>
      <c r="D118" s="535">
        <f t="shared" si="13"/>
        <v>2500</v>
      </c>
      <c r="E118" s="539">
        <v>1E-3</v>
      </c>
      <c r="F118" s="535">
        <f t="shared" si="16"/>
        <v>2.5</v>
      </c>
      <c r="G118" s="537">
        <v>2.5000000000000001E-2</v>
      </c>
      <c r="H118" s="538">
        <f t="shared" si="17"/>
        <v>62.5</v>
      </c>
      <c r="I118" s="539"/>
      <c r="J118" s="540"/>
      <c r="K118" s="541">
        <f t="shared" si="15"/>
        <v>65</v>
      </c>
    </row>
    <row r="119" spans="1:11" ht="20.100000000000001" customHeight="1">
      <c r="A119" s="533">
        <v>14</v>
      </c>
      <c r="B119" s="635" t="s">
        <v>936</v>
      </c>
      <c r="C119" s="636" t="s">
        <v>919</v>
      </c>
      <c r="D119" s="535">
        <f t="shared" si="13"/>
        <v>18000</v>
      </c>
      <c r="E119" s="539"/>
      <c r="F119" s="535"/>
      <c r="G119" s="537">
        <v>2E-3</v>
      </c>
      <c r="H119" s="538">
        <f t="shared" si="17"/>
        <v>36</v>
      </c>
      <c r="I119" s="539"/>
      <c r="J119" s="540"/>
      <c r="K119" s="541">
        <f t="shared" si="15"/>
        <v>36</v>
      </c>
    </row>
    <row r="120" spans="1:11" ht="20.100000000000001" customHeight="1">
      <c r="A120" s="533">
        <v>15</v>
      </c>
      <c r="B120" s="635" t="s">
        <v>937</v>
      </c>
      <c r="C120" s="636" t="s">
        <v>919</v>
      </c>
      <c r="D120" s="535">
        <f t="shared" si="13"/>
        <v>15000</v>
      </c>
      <c r="E120" s="539"/>
      <c r="F120" s="535"/>
      <c r="G120" s="537">
        <v>2E-3</v>
      </c>
      <c r="H120" s="538">
        <f t="shared" si="17"/>
        <v>30</v>
      </c>
      <c r="I120" s="539"/>
      <c r="J120" s="540"/>
      <c r="K120" s="541">
        <f t="shared" si="15"/>
        <v>30</v>
      </c>
    </row>
    <row r="121" spans="1:11" ht="20.100000000000001" customHeight="1">
      <c r="A121" s="533">
        <v>16</v>
      </c>
      <c r="B121" s="635" t="s">
        <v>560</v>
      </c>
      <c r="C121" s="637" t="s">
        <v>941</v>
      </c>
      <c r="D121" s="535">
        <f t="shared" si="13"/>
        <v>10000</v>
      </c>
      <c r="E121" s="638"/>
      <c r="F121" s="535"/>
      <c r="G121" s="639">
        <v>3.0000000000000001E-3</v>
      </c>
      <c r="H121" s="538">
        <f>D121*G121</f>
        <v>30</v>
      </c>
      <c r="I121" s="638"/>
      <c r="J121" s="540"/>
      <c r="K121" s="541">
        <f t="shared" si="15"/>
        <v>30</v>
      </c>
    </row>
    <row r="122" spans="1:11" ht="20.100000000000001" customHeight="1">
      <c r="A122" s="641">
        <v>17</v>
      </c>
      <c r="B122" s="635" t="s">
        <v>942</v>
      </c>
      <c r="C122" s="642" t="s">
        <v>928</v>
      </c>
      <c r="D122" s="535">
        <f t="shared" si="13"/>
        <v>1500</v>
      </c>
      <c r="E122" s="638"/>
      <c r="F122" s="643">
        <f>D122*E122</f>
        <v>0</v>
      </c>
      <c r="G122" s="639">
        <v>1</v>
      </c>
      <c r="H122" s="644">
        <f>D122*G122</f>
        <v>1500</v>
      </c>
      <c r="I122" s="638"/>
      <c r="J122" s="645"/>
      <c r="K122" s="646">
        <f t="shared" si="15"/>
        <v>1500</v>
      </c>
    </row>
    <row r="123" spans="1:11" ht="20.100000000000001" customHeight="1">
      <c r="A123" s="652"/>
      <c r="B123" s="653" t="s">
        <v>146</v>
      </c>
      <c r="C123" s="577"/>
      <c r="D123" s="577"/>
      <c r="E123" s="576"/>
      <c r="F123" s="577">
        <f>SUM(F106:F122)</f>
        <v>1286.5</v>
      </c>
      <c r="G123" s="654"/>
      <c r="H123" s="655">
        <f>SUM(H106:H122)</f>
        <v>30013.5</v>
      </c>
      <c r="I123" s="576"/>
      <c r="J123" s="546"/>
      <c r="K123" s="546">
        <f>SUM(K106:K122)</f>
        <v>31300</v>
      </c>
    </row>
    <row r="124" spans="1:11" ht="20.100000000000001" customHeight="1">
      <c r="A124" s="652"/>
      <c r="B124" s="653" t="s">
        <v>147</v>
      </c>
      <c r="C124" s="577"/>
      <c r="D124" s="577"/>
      <c r="E124" s="576"/>
      <c r="F124" s="577">
        <f>F123*8%</f>
        <v>102.92</v>
      </c>
      <c r="G124" s="656"/>
      <c r="H124" s="577">
        <f>H123*8%</f>
        <v>2401.08</v>
      </c>
      <c r="I124" s="656"/>
      <c r="J124" s="577"/>
      <c r="K124" s="577">
        <f>K123*8%</f>
        <v>2504</v>
      </c>
    </row>
    <row r="125" spans="1:11" ht="20.100000000000001" customHeight="1">
      <c r="A125" s="657"/>
      <c r="B125" s="543" t="s">
        <v>546</v>
      </c>
      <c r="C125" s="657"/>
      <c r="D125" s="657"/>
      <c r="E125" s="658"/>
      <c r="F125" s="544">
        <f>F123+F124</f>
        <v>1389.42</v>
      </c>
      <c r="G125" s="576"/>
      <c r="H125" s="544">
        <f>H123+H124</f>
        <v>32414.58</v>
      </c>
      <c r="I125" s="576"/>
      <c r="J125" s="544"/>
      <c r="K125" s="544">
        <f>K123+K124</f>
        <v>33804</v>
      </c>
    </row>
    <row r="126" spans="1:11" ht="8.25" customHeight="1">
      <c r="A126" s="628"/>
      <c r="B126" s="435"/>
      <c r="C126" s="625"/>
      <c r="D126" s="556"/>
      <c r="E126" s="626"/>
      <c r="F126" s="556"/>
      <c r="G126" s="626"/>
      <c r="H126" s="627"/>
      <c r="I126" s="629"/>
      <c r="J126" s="556"/>
      <c r="K126" s="449"/>
    </row>
    <row r="127" spans="1:11">
      <c r="A127" s="663"/>
      <c r="B127" s="554" t="s">
        <v>550</v>
      </c>
      <c r="C127" s="558"/>
      <c r="D127" s="556"/>
      <c r="E127" s="626"/>
      <c r="F127" s="556"/>
      <c r="G127" s="626"/>
      <c r="H127" s="627"/>
      <c r="I127" s="629"/>
      <c r="J127" s="556"/>
      <c r="K127" s="449"/>
    </row>
    <row r="128" spans="1:11" ht="20.25" customHeight="1">
      <c r="A128" s="561"/>
      <c r="B128" s="1217" t="s">
        <v>468</v>
      </c>
      <c r="C128" s="1217"/>
      <c r="D128" s="1217"/>
      <c r="E128" s="1217"/>
      <c r="F128" s="1217"/>
      <c r="G128" s="1217"/>
      <c r="H128" s="1217"/>
      <c r="I128" s="1217"/>
      <c r="J128" s="1217"/>
      <c r="K128" s="1217"/>
    </row>
    <row r="129" spans="1:11" ht="20.25" customHeight="1">
      <c r="A129" s="628"/>
      <c r="B129" s="560"/>
      <c r="C129" s="625"/>
      <c r="D129" s="556"/>
      <c r="E129" s="626"/>
      <c r="F129" s="556"/>
      <c r="G129" s="626"/>
      <c r="H129" s="627"/>
      <c r="I129" s="629"/>
      <c r="J129" s="556"/>
      <c r="K129" s="449"/>
    </row>
    <row r="130" spans="1:11" ht="8.25" customHeight="1">
      <c r="A130" s="628"/>
      <c r="B130" s="435"/>
      <c r="C130" s="625"/>
      <c r="D130" s="556"/>
      <c r="E130" s="626"/>
      <c r="F130" s="556"/>
      <c r="G130" s="626"/>
      <c r="H130" s="627"/>
      <c r="I130" s="629"/>
      <c r="J130" s="556"/>
      <c r="K130" s="449"/>
    </row>
    <row r="131" spans="1:11" ht="31.5" customHeight="1">
      <c r="A131" s="1177" t="s">
        <v>215</v>
      </c>
      <c r="B131" s="1177"/>
      <c r="C131" s="1177"/>
      <c r="D131" s="1177"/>
      <c r="E131" s="1177"/>
      <c r="F131" s="1177"/>
      <c r="G131" s="1177"/>
      <c r="H131" s="1177"/>
      <c r="I131" s="1177"/>
      <c r="J131" s="1177"/>
      <c r="K131" s="1177"/>
    </row>
    <row r="132" spans="1:11" ht="12" customHeight="1">
      <c r="A132" s="628"/>
      <c r="B132" s="435"/>
      <c r="C132" s="625"/>
      <c r="D132" s="556"/>
      <c r="E132" s="626"/>
      <c r="F132" s="556"/>
      <c r="G132" s="626"/>
      <c r="H132" s="627"/>
      <c r="I132" s="629"/>
      <c r="J132" s="556"/>
      <c r="K132" s="449"/>
    </row>
    <row r="133" spans="1:11" ht="19.5" customHeight="1">
      <c r="A133" s="1203" t="s">
        <v>724</v>
      </c>
      <c r="B133" s="1203" t="s">
        <v>534</v>
      </c>
      <c r="C133" s="1203" t="s">
        <v>535</v>
      </c>
      <c r="D133" s="1203" t="s">
        <v>556</v>
      </c>
      <c r="E133" s="1212" t="s">
        <v>539</v>
      </c>
      <c r="F133" s="1214"/>
      <c r="G133" s="1214"/>
      <c r="H133" s="1214"/>
      <c r="I133" s="1214"/>
      <c r="J133" s="1213"/>
      <c r="K133" s="1203" t="s">
        <v>226</v>
      </c>
    </row>
    <row r="134" spans="1:11" ht="39.75" customHeight="1">
      <c r="A134" s="1204"/>
      <c r="B134" s="1204"/>
      <c r="C134" s="1204"/>
      <c r="D134" s="1204"/>
      <c r="E134" s="1212" t="s">
        <v>164</v>
      </c>
      <c r="F134" s="1213"/>
      <c r="G134" s="1212" t="s">
        <v>561</v>
      </c>
      <c r="H134" s="1213"/>
      <c r="I134" s="1212" t="s">
        <v>542</v>
      </c>
      <c r="J134" s="1213"/>
      <c r="K134" s="1204"/>
    </row>
    <row r="135" spans="1:11" ht="19.5" customHeight="1">
      <c r="A135" s="1205"/>
      <c r="B135" s="1205"/>
      <c r="C135" s="1205"/>
      <c r="D135" s="1205"/>
      <c r="E135" s="630" t="s">
        <v>141</v>
      </c>
      <c r="F135" s="423" t="s">
        <v>268</v>
      </c>
      <c r="G135" s="630" t="s">
        <v>141</v>
      </c>
      <c r="H135" s="423" t="s">
        <v>268</v>
      </c>
      <c r="I135" s="630" t="s">
        <v>141</v>
      </c>
      <c r="J135" s="423" t="s">
        <v>268</v>
      </c>
      <c r="K135" s="1205"/>
    </row>
    <row r="136" spans="1:11" ht="19.899999999999999" customHeight="1">
      <c r="A136" s="578">
        <v>1</v>
      </c>
      <c r="B136" s="631" t="s">
        <v>918</v>
      </c>
      <c r="C136" s="632" t="s">
        <v>919</v>
      </c>
      <c r="D136" s="535">
        <f>'Bang gia'!K6</f>
        <v>5000</v>
      </c>
      <c r="E136" s="581">
        <v>2E-3</v>
      </c>
      <c r="F136" s="580">
        <f>D136*E136</f>
        <v>10</v>
      </c>
      <c r="G136" s="581"/>
      <c r="H136" s="582"/>
      <c r="I136" s="581">
        <v>3.0000000000000001E-3</v>
      </c>
      <c r="J136" s="583">
        <f t="shared" ref="J136:J151" si="18">D136*I136</f>
        <v>15</v>
      </c>
      <c r="K136" s="582">
        <f>F136+H136+J136</f>
        <v>25</v>
      </c>
    </row>
    <row r="137" spans="1:11" ht="19.899999999999999" customHeight="1">
      <c r="A137" s="533">
        <v>2</v>
      </c>
      <c r="B137" s="633" t="s">
        <v>920</v>
      </c>
      <c r="C137" s="634" t="s">
        <v>921</v>
      </c>
      <c r="D137" s="535">
        <f>'Bang gia'!K7</f>
        <v>2000</v>
      </c>
      <c r="E137" s="539">
        <v>0.01</v>
      </c>
      <c r="F137" s="535">
        <f>D137*E137</f>
        <v>20</v>
      </c>
      <c r="G137" s="537"/>
      <c r="H137" s="538"/>
      <c r="I137" s="539">
        <v>0.03</v>
      </c>
      <c r="J137" s="540">
        <f t="shared" si="18"/>
        <v>60</v>
      </c>
      <c r="K137" s="541">
        <f>F137+H137+J137</f>
        <v>80</v>
      </c>
    </row>
    <row r="138" spans="1:11" ht="19.899999999999999" customHeight="1">
      <c r="A138" s="533">
        <v>3</v>
      </c>
      <c r="B138" s="633" t="s">
        <v>922</v>
      </c>
      <c r="C138" s="634" t="s">
        <v>921</v>
      </c>
      <c r="D138" s="535">
        <f>'Bang gia'!K8</f>
        <v>2000</v>
      </c>
      <c r="E138" s="539"/>
      <c r="F138" s="535">
        <f t="shared" ref="F138:F151" si="19">D138*E138</f>
        <v>0</v>
      </c>
      <c r="G138" s="537"/>
      <c r="H138" s="538"/>
      <c r="I138" s="539">
        <v>0.04</v>
      </c>
      <c r="J138" s="540">
        <f t="shared" si="18"/>
        <v>80</v>
      </c>
      <c r="K138" s="541">
        <f t="shared" ref="K138:K151" si="20">F138+H138+J138</f>
        <v>80</v>
      </c>
    </row>
    <row r="139" spans="1:11" ht="19.899999999999999" customHeight="1">
      <c r="A139" s="533">
        <v>4</v>
      </c>
      <c r="B139" s="633" t="s">
        <v>923</v>
      </c>
      <c r="C139" s="634" t="s">
        <v>921</v>
      </c>
      <c r="D139" s="535">
        <f>'Bang gia'!K9</f>
        <v>1450000</v>
      </c>
      <c r="E139" s="539"/>
      <c r="F139" s="535">
        <f t="shared" si="19"/>
        <v>0</v>
      </c>
      <c r="G139" s="537"/>
      <c r="H139" s="538"/>
      <c r="I139" s="539">
        <v>3.0000000000000001E-3</v>
      </c>
      <c r="J139" s="540">
        <f t="shared" si="18"/>
        <v>4350</v>
      </c>
      <c r="K139" s="541">
        <f t="shared" si="20"/>
        <v>4350</v>
      </c>
    </row>
    <row r="140" spans="1:11" ht="19.899999999999999" customHeight="1">
      <c r="A140" s="533">
        <v>5</v>
      </c>
      <c r="B140" s="633" t="s">
        <v>924</v>
      </c>
      <c r="C140" s="634" t="s">
        <v>921</v>
      </c>
      <c r="D140" s="535">
        <f>'Bang gia'!K10</f>
        <v>300000</v>
      </c>
      <c r="E140" s="539"/>
      <c r="F140" s="535">
        <f t="shared" si="19"/>
        <v>0</v>
      </c>
      <c r="G140" s="537"/>
      <c r="H140" s="538"/>
      <c r="I140" s="539">
        <v>5.0000000000000001E-3</v>
      </c>
      <c r="J140" s="540">
        <f t="shared" si="18"/>
        <v>1500</v>
      </c>
      <c r="K140" s="541">
        <f t="shared" si="20"/>
        <v>1500</v>
      </c>
    </row>
    <row r="141" spans="1:11" ht="19.899999999999999" customHeight="1">
      <c r="A141" s="533">
        <v>6</v>
      </c>
      <c r="B141" s="633" t="s">
        <v>926</v>
      </c>
      <c r="C141" s="634" t="s">
        <v>921</v>
      </c>
      <c r="D141" s="535">
        <f>'Bang gia'!K11</f>
        <v>3350000</v>
      </c>
      <c r="E141" s="539"/>
      <c r="F141" s="535">
        <f t="shared" si="19"/>
        <v>0</v>
      </c>
      <c r="G141" s="537"/>
      <c r="H141" s="538"/>
      <c r="I141" s="539">
        <v>3.0000000000000001E-3</v>
      </c>
      <c r="J141" s="540">
        <f t="shared" si="18"/>
        <v>10050</v>
      </c>
      <c r="K141" s="541">
        <f t="shared" si="20"/>
        <v>10050</v>
      </c>
    </row>
    <row r="142" spans="1:11" ht="19.899999999999999" customHeight="1">
      <c r="A142" s="533">
        <v>7</v>
      </c>
      <c r="B142" s="633" t="s">
        <v>927</v>
      </c>
      <c r="C142" s="634" t="s">
        <v>928</v>
      </c>
      <c r="D142" s="535">
        <f>'Bang gia'!K12</f>
        <v>300</v>
      </c>
      <c r="E142" s="539"/>
      <c r="F142" s="535">
        <f t="shared" si="19"/>
        <v>0</v>
      </c>
      <c r="G142" s="537"/>
      <c r="H142" s="538"/>
      <c r="I142" s="539">
        <v>1</v>
      </c>
      <c r="J142" s="540">
        <f t="shared" si="18"/>
        <v>300</v>
      </c>
      <c r="K142" s="541">
        <f t="shared" si="20"/>
        <v>300</v>
      </c>
    </row>
    <row r="143" spans="1:11" ht="19.899999999999999" customHeight="1">
      <c r="A143" s="533">
        <v>8</v>
      </c>
      <c r="B143" s="633" t="s">
        <v>559</v>
      </c>
      <c r="C143" s="634" t="s">
        <v>929</v>
      </c>
      <c r="D143" s="535">
        <f>'Bang gia'!K13</f>
        <v>7000</v>
      </c>
      <c r="E143" s="539"/>
      <c r="F143" s="535">
        <f t="shared" si="19"/>
        <v>0</v>
      </c>
      <c r="G143" s="537"/>
      <c r="H143" s="538"/>
      <c r="I143" s="539">
        <v>1</v>
      </c>
      <c r="J143" s="540">
        <f t="shared" si="18"/>
        <v>7000</v>
      </c>
      <c r="K143" s="541">
        <f t="shared" si="20"/>
        <v>7000</v>
      </c>
    </row>
    <row r="144" spans="1:11" ht="19.899999999999999" customHeight="1">
      <c r="A144" s="533">
        <v>9</v>
      </c>
      <c r="B144" s="633" t="s">
        <v>557</v>
      </c>
      <c r="C144" s="634" t="s">
        <v>928</v>
      </c>
      <c r="D144" s="535">
        <f>'Bang gia'!K14</f>
        <v>300</v>
      </c>
      <c r="E144" s="539"/>
      <c r="F144" s="535">
        <f t="shared" si="19"/>
        <v>0</v>
      </c>
      <c r="G144" s="537"/>
      <c r="H144" s="538"/>
      <c r="I144" s="539">
        <v>1</v>
      </c>
      <c r="J144" s="540">
        <f t="shared" si="18"/>
        <v>300</v>
      </c>
      <c r="K144" s="541">
        <f t="shared" si="20"/>
        <v>300</v>
      </c>
    </row>
    <row r="145" spans="1:11" ht="19.899999999999999" customHeight="1">
      <c r="A145" s="533">
        <v>10</v>
      </c>
      <c r="B145" s="633" t="s">
        <v>930</v>
      </c>
      <c r="C145" s="634" t="s">
        <v>931</v>
      </c>
      <c r="D145" s="535">
        <f>'Bang gia'!K15</f>
        <v>45000</v>
      </c>
      <c r="E145" s="539">
        <v>1.2E-2</v>
      </c>
      <c r="F145" s="535">
        <f t="shared" si="19"/>
        <v>540</v>
      </c>
      <c r="G145" s="670"/>
      <c r="H145" s="538"/>
      <c r="I145" s="539">
        <v>0.04</v>
      </c>
      <c r="J145" s="540">
        <f t="shared" si="18"/>
        <v>1800</v>
      </c>
      <c r="K145" s="541">
        <f t="shared" si="20"/>
        <v>2340</v>
      </c>
    </row>
    <row r="146" spans="1:11" ht="19.899999999999999" customHeight="1">
      <c r="A146" s="533">
        <v>11</v>
      </c>
      <c r="B146" s="633" t="s">
        <v>932</v>
      </c>
      <c r="C146" s="634" t="s">
        <v>931</v>
      </c>
      <c r="D146" s="535">
        <f>'Bang gia'!K16</f>
        <v>90000</v>
      </c>
      <c r="E146" s="539"/>
      <c r="F146" s="535">
        <f t="shared" si="19"/>
        <v>0</v>
      </c>
      <c r="G146" s="670"/>
      <c r="H146" s="538"/>
      <c r="I146" s="539">
        <v>4.0000000000000001E-3</v>
      </c>
      <c r="J146" s="540">
        <f t="shared" si="18"/>
        <v>360</v>
      </c>
      <c r="K146" s="541">
        <f t="shared" si="20"/>
        <v>360</v>
      </c>
    </row>
    <row r="147" spans="1:11" ht="19.899999999999999" customHeight="1">
      <c r="A147" s="533">
        <v>12</v>
      </c>
      <c r="B147" s="633" t="s">
        <v>933</v>
      </c>
      <c r="C147" s="634" t="s">
        <v>934</v>
      </c>
      <c r="D147" s="535">
        <f>'Bang gia'!K17</f>
        <v>25000</v>
      </c>
      <c r="E147" s="539"/>
      <c r="F147" s="535">
        <f t="shared" si="19"/>
        <v>0</v>
      </c>
      <c r="G147" s="670"/>
      <c r="H147" s="538"/>
      <c r="I147" s="539">
        <v>3.0000000000000001E-3</v>
      </c>
      <c r="J147" s="540">
        <f t="shared" si="18"/>
        <v>75</v>
      </c>
      <c r="K147" s="541">
        <f t="shared" si="20"/>
        <v>75</v>
      </c>
    </row>
    <row r="148" spans="1:11" ht="19.899999999999999" customHeight="1">
      <c r="A148" s="533">
        <v>13</v>
      </c>
      <c r="B148" s="635" t="s">
        <v>935</v>
      </c>
      <c r="C148" s="636" t="s">
        <v>143</v>
      </c>
      <c r="D148" s="535">
        <f>'Bang gia'!K18</f>
        <v>2500</v>
      </c>
      <c r="E148" s="539">
        <v>0.01</v>
      </c>
      <c r="F148" s="535">
        <f t="shared" si="19"/>
        <v>25</v>
      </c>
      <c r="G148" s="537"/>
      <c r="H148" s="538"/>
      <c r="I148" s="539">
        <v>1.4999999999999999E-2</v>
      </c>
      <c r="J148" s="540">
        <f t="shared" si="18"/>
        <v>37.5</v>
      </c>
      <c r="K148" s="541">
        <f t="shared" si="20"/>
        <v>62.5</v>
      </c>
    </row>
    <row r="149" spans="1:11" ht="19.899999999999999" customHeight="1">
      <c r="A149" s="533">
        <v>14</v>
      </c>
      <c r="B149" s="635" t="s">
        <v>936</v>
      </c>
      <c r="C149" s="636" t="s">
        <v>919</v>
      </c>
      <c r="D149" s="535">
        <f>'Bang gia'!K19</f>
        <v>18000</v>
      </c>
      <c r="E149" s="539"/>
      <c r="F149" s="535">
        <f t="shared" si="19"/>
        <v>0</v>
      </c>
      <c r="G149" s="537"/>
      <c r="H149" s="538"/>
      <c r="I149" s="539">
        <v>2E-3</v>
      </c>
      <c r="J149" s="540">
        <f t="shared" si="18"/>
        <v>36</v>
      </c>
      <c r="K149" s="541">
        <f t="shared" si="20"/>
        <v>36</v>
      </c>
    </row>
    <row r="150" spans="1:11" ht="19.899999999999999" customHeight="1">
      <c r="A150" s="533">
        <v>15</v>
      </c>
      <c r="B150" s="635" t="s">
        <v>937</v>
      </c>
      <c r="C150" s="636" t="s">
        <v>919</v>
      </c>
      <c r="D150" s="535">
        <f>'Bang gia'!K20</f>
        <v>15000</v>
      </c>
      <c r="E150" s="539"/>
      <c r="F150" s="535">
        <f t="shared" si="19"/>
        <v>0</v>
      </c>
      <c r="G150" s="537"/>
      <c r="H150" s="538"/>
      <c r="I150" s="539">
        <v>2E-3</v>
      </c>
      <c r="J150" s="540">
        <f t="shared" si="18"/>
        <v>30</v>
      </c>
      <c r="K150" s="541">
        <f t="shared" si="20"/>
        <v>30</v>
      </c>
    </row>
    <row r="151" spans="1:11" ht="19.899999999999999" customHeight="1">
      <c r="A151" s="641">
        <v>16</v>
      </c>
      <c r="B151" s="635" t="s">
        <v>942</v>
      </c>
      <c r="C151" s="642" t="s">
        <v>928</v>
      </c>
      <c r="D151" s="643">
        <f>'Bang gia'!K23</f>
        <v>1500</v>
      </c>
      <c r="E151" s="638"/>
      <c r="F151" s="535">
        <f t="shared" si="19"/>
        <v>0</v>
      </c>
      <c r="G151" s="639"/>
      <c r="H151" s="644"/>
      <c r="I151" s="638">
        <v>1</v>
      </c>
      <c r="J151" s="645">
        <f t="shared" si="18"/>
        <v>1500</v>
      </c>
      <c r="K151" s="646">
        <f t="shared" si="20"/>
        <v>1500</v>
      </c>
    </row>
    <row r="152" spans="1:11" ht="19.899999999999999" customHeight="1">
      <c r="A152" s="652"/>
      <c r="B152" s="653" t="s">
        <v>146</v>
      </c>
      <c r="C152" s="577"/>
      <c r="D152" s="577"/>
      <c r="E152" s="576"/>
      <c r="F152" s="546">
        <f>SUM(F136:F151)</f>
        <v>595</v>
      </c>
      <c r="G152" s="654"/>
      <c r="H152" s="655"/>
      <c r="I152" s="576"/>
      <c r="J152" s="546">
        <f>SUM(J136:J151)</f>
        <v>27493.5</v>
      </c>
      <c r="K152" s="546">
        <f>F152+H152+J152</f>
        <v>28088.5</v>
      </c>
    </row>
    <row r="153" spans="1:11" ht="19.899999999999999" customHeight="1">
      <c r="A153" s="652"/>
      <c r="B153" s="653" t="s">
        <v>147</v>
      </c>
      <c r="C153" s="577"/>
      <c r="D153" s="577"/>
      <c r="E153" s="576"/>
      <c r="F153" s="655">
        <f>F152*8%</f>
        <v>47.6</v>
      </c>
      <c r="G153" s="654"/>
      <c r="H153" s="655"/>
      <c r="I153" s="654"/>
      <c r="J153" s="655">
        <f>J152*8%</f>
        <v>2199.48</v>
      </c>
      <c r="K153" s="655">
        <f>K152*8%</f>
        <v>2247.08</v>
      </c>
    </row>
    <row r="154" spans="1:11" ht="19.899999999999999" customHeight="1">
      <c r="A154" s="657"/>
      <c r="B154" s="543" t="s">
        <v>546</v>
      </c>
      <c r="C154" s="657"/>
      <c r="D154" s="657"/>
      <c r="E154" s="658"/>
      <c r="F154" s="546">
        <f>F152+F153</f>
        <v>642.6</v>
      </c>
      <c r="G154" s="576"/>
      <c r="H154" s="546"/>
      <c r="I154" s="576"/>
      <c r="J154" s="546">
        <f>J152+J153</f>
        <v>29692.98</v>
      </c>
      <c r="K154" s="546">
        <f>K152+K153</f>
        <v>30335.58</v>
      </c>
    </row>
    <row r="155" spans="1:11" ht="11.25" customHeight="1">
      <c r="A155" s="628"/>
      <c r="B155" s="435"/>
      <c r="C155" s="625"/>
      <c r="D155" s="556"/>
      <c r="E155" s="626"/>
      <c r="F155" s="556"/>
      <c r="G155" s="626"/>
      <c r="H155" s="627"/>
      <c r="I155" s="629"/>
      <c r="J155" s="556"/>
      <c r="K155" s="449"/>
    </row>
    <row r="156" spans="1:11">
      <c r="A156" s="663"/>
      <c r="B156" s="554" t="s">
        <v>550</v>
      </c>
      <c r="C156" s="558"/>
      <c r="D156" s="556"/>
      <c r="E156" s="626"/>
      <c r="F156" s="556"/>
      <c r="G156" s="626"/>
      <c r="H156" s="627"/>
      <c r="I156" s="629"/>
      <c r="J156" s="556"/>
      <c r="K156" s="449"/>
    </row>
    <row r="157" spans="1:11">
      <c r="A157" s="561"/>
      <c r="B157" s="1225" t="s">
        <v>168</v>
      </c>
      <c r="C157" s="1225"/>
      <c r="D157" s="1225"/>
      <c r="E157" s="1225"/>
      <c r="F157" s="1225"/>
      <c r="G157" s="1225"/>
      <c r="H157" s="1225"/>
      <c r="I157" s="1225"/>
      <c r="J157" s="1225"/>
      <c r="K157" s="1225"/>
    </row>
    <row r="158" spans="1:11">
      <c r="A158" s="628"/>
      <c r="B158" s="560"/>
      <c r="C158" s="625"/>
      <c r="D158" s="556"/>
      <c r="E158" s="626"/>
      <c r="F158" s="556"/>
      <c r="G158" s="626"/>
      <c r="H158" s="627"/>
      <c r="I158" s="629"/>
      <c r="J158" s="556"/>
      <c r="K158" s="449"/>
    </row>
    <row r="159" spans="1:11" ht="19.5" customHeight="1">
      <c r="A159" s="628"/>
      <c r="B159" s="560"/>
      <c r="C159" s="625"/>
      <c r="D159" s="556"/>
      <c r="E159" s="626"/>
      <c r="F159" s="556"/>
      <c r="G159" s="626"/>
      <c r="H159" s="627"/>
      <c r="I159" s="629"/>
      <c r="J159" s="556"/>
      <c r="K159" s="449"/>
    </row>
    <row r="160" spans="1:11">
      <c r="A160" s="625"/>
      <c r="B160" s="435"/>
      <c r="C160" s="625"/>
      <c r="D160" s="556"/>
      <c r="E160" s="626"/>
      <c r="F160" s="556"/>
      <c r="G160" s="626"/>
      <c r="H160" s="627"/>
      <c r="I160" s="626"/>
      <c r="J160" s="556"/>
      <c r="K160" s="435"/>
    </row>
    <row r="161" spans="1:11" ht="27.6" customHeight="1">
      <c r="A161" s="1177" t="s">
        <v>216</v>
      </c>
      <c r="B161" s="1177"/>
      <c r="C161" s="1177"/>
      <c r="D161" s="1177"/>
      <c r="E161" s="1177"/>
      <c r="F161" s="1177"/>
      <c r="G161" s="1177"/>
      <c r="H161" s="1177"/>
      <c r="I161" s="1177"/>
      <c r="J161" s="1177"/>
      <c r="K161" s="1177"/>
    </row>
    <row r="162" spans="1:11" ht="9" customHeight="1">
      <c r="A162" s="667"/>
      <c r="B162" s="668"/>
      <c r="C162" s="669"/>
      <c r="D162" s="556"/>
      <c r="E162" s="626"/>
      <c r="F162" s="556"/>
      <c r="G162" s="626"/>
      <c r="H162" s="627"/>
      <c r="I162" s="629"/>
      <c r="J162" s="556"/>
      <c r="K162" s="449"/>
    </row>
    <row r="163" spans="1:11" ht="21.75" customHeight="1">
      <c r="A163" s="1203" t="s">
        <v>724</v>
      </c>
      <c r="B163" s="1203" t="s">
        <v>534</v>
      </c>
      <c r="C163" s="1203" t="s">
        <v>535</v>
      </c>
      <c r="D163" s="1203" t="s">
        <v>556</v>
      </c>
      <c r="E163" s="1212" t="s">
        <v>539</v>
      </c>
      <c r="F163" s="1214"/>
      <c r="G163" s="1214"/>
      <c r="H163" s="1214"/>
      <c r="I163" s="1214"/>
      <c r="J163" s="1213"/>
      <c r="K163" s="1203" t="s">
        <v>225</v>
      </c>
    </row>
    <row r="164" spans="1:11" ht="42" customHeight="1">
      <c r="A164" s="1204"/>
      <c r="B164" s="1204"/>
      <c r="C164" s="1204"/>
      <c r="D164" s="1204"/>
      <c r="E164" s="1212" t="s">
        <v>164</v>
      </c>
      <c r="F164" s="1213"/>
      <c r="G164" s="1212" t="s">
        <v>561</v>
      </c>
      <c r="H164" s="1213"/>
      <c r="I164" s="1212" t="s">
        <v>542</v>
      </c>
      <c r="J164" s="1213"/>
      <c r="K164" s="1204"/>
    </row>
    <row r="165" spans="1:11" ht="22.5" customHeight="1">
      <c r="A165" s="1205"/>
      <c r="B165" s="1205"/>
      <c r="C165" s="1205"/>
      <c r="D165" s="1205"/>
      <c r="E165" s="630" t="s">
        <v>141</v>
      </c>
      <c r="F165" s="423" t="s">
        <v>543</v>
      </c>
      <c r="G165" s="630" t="s">
        <v>141</v>
      </c>
      <c r="H165" s="423" t="s">
        <v>543</v>
      </c>
      <c r="I165" s="630" t="s">
        <v>141</v>
      </c>
      <c r="J165" s="423" t="s">
        <v>543</v>
      </c>
      <c r="K165" s="1205"/>
    </row>
    <row r="166" spans="1:11" ht="17.45" customHeight="1">
      <c r="A166" s="578">
        <v>1</v>
      </c>
      <c r="B166" s="631" t="s">
        <v>918</v>
      </c>
      <c r="C166" s="632" t="s">
        <v>919</v>
      </c>
      <c r="D166" s="535">
        <f>'Bang gia'!K6</f>
        <v>5000</v>
      </c>
      <c r="E166" s="581">
        <v>2E-3</v>
      </c>
      <c r="F166" s="580">
        <f>D166*E166</f>
        <v>10</v>
      </c>
      <c r="G166" s="581">
        <v>1.7000000000000001E-2</v>
      </c>
      <c r="H166" s="582">
        <f>D166*G166</f>
        <v>85</v>
      </c>
      <c r="I166" s="581">
        <v>2E-3</v>
      </c>
      <c r="J166" s="583">
        <f t="shared" ref="J166:J185" si="21">D166*I166</f>
        <v>10</v>
      </c>
      <c r="K166" s="582">
        <f>F166+H166+J166</f>
        <v>105</v>
      </c>
    </row>
    <row r="167" spans="1:11" ht="17.45" customHeight="1">
      <c r="A167" s="533">
        <v>2</v>
      </c>
      <c r="B167" s="633" t="s">
        <v>920</v>
      </c>
      <c r="C167" s="634" t="s">
        <v>921</v>
      </c>
      <c r="D167" s="535">
        <f>'Bang gia'!K7</f>
        <v>2000</v>
      </c>
      <c r="E167" s="539">
        <v>1E-3</v>
      </c>
      <c r="F167" s="535">
        <f>D167*E167</f>
        <v>2</v>
      </c>
      <c r="G167" s="537">
        <v>1.7000000000000001E-2</v>
      </c>
      <c r="H167" s="538">
        <f>D167*G167</f>
        <v>34</v>
      </c>
      <c r="I167" s="539">
        <v>1E-3</v>
      </c>
      <c r="J167" s="540">
        <f t="shared" si="21"/>
        <v>2</v>
      </c>
      <c r="K167" s="541">
        <f>F167+H167+J167</f>
        <v>38</v>
      </c>
    </row>
    <row r="168" spans="1:11" ht="17.45" customHeight="1">
      <c r="A168" s="533">
        <v>3</v>
      </c>
      <c r="B168" s="633" t="s">
        <v>922</v>
      </c>
      <c r="C168" s="634" t="s">
        <v>921</v>
      </c>
      <c r="D168" s="535">
        <f>'Bang gia'!K8</f>
        <v>2000</v>
      </c>
      <c r="E168" s="539">
        <v>1E-3</v>
      </c>
      <c r="F168" s="535">
        <f t="shared" ref="F168:F186" si="22">D168*E168</f>
        <v>2</v>
      </c>
      <c r="G168" s="537">
        <v>1.0999999999999999E-2</v>
      </c>
      <c r="H168" s="538">
        <f t="shared" ref="H168:H186" si="23">D168*G168</f>
        <v>22</v>
      </c>
      <c r="I168" s="539">
        <v>2E-3</v>
      </c>
      <c r="J168" s="540">
        <f t="shared" si="21"/>
        <v>4</v>
      </c>
      <c r="K168" s="541">
        <f t="shared" ref="K168:K186" si="24">F168+H168+J168</f>
        <v>28</v>
      </c>
    </row>
    <row r="169" spans="1:11" ht="17.45" customHeight="1">
      <c r="A169" s="533">
        <v>4</v>
      </c>
      <c r="B169" s="633" t="s">
        <v>923</v>
      </c>
      <c r="C169" s="634" t="s">
        <v>921</v>
      </c>
      <c r="D169" s="535">
        <f>'Bang gia'!K9</f>
        <v>1450000</v>
      </c>
      <c r="E169" s="539">
        <v>1E-3</v>
      </c>
      <c r="F169" s="535">
        <f t="shared" si="22"/>
        <v>1450</v>
      </c>
      <c r="G169" s="537">
        <v>2E-3</v>
      </c>
      <c r="H169" s="538">
        <f t="shared" si="23"/>
        <v>2900</v>
      </c>
      <c r="I169" s="539">
        <v>1E-3</v>
      </c>
      <c r="J169" s="540">
        <f t="shared" si="21"/>
        <v>1450</v>
      </c>
      <c r="K169" s="541">
        <f t="shared" si="24"/>
        <v>5800</v>
      </c>
    </row>
    <row r="170" spans="1:11" ht="17.45" customHeight="1">
      <c r="A170" s="533">
        <v>5</v>
      </c>
      <c r="B170" s="633" t="s">
        <v>924</v>
      </c>
      <c r="C170" s="634" t="s">
        <v>921</v>
      </c>
      <c r="D170" s="535">
        <f>'Bang gia'!K10</f>
        <v>300000</v>
      </c>
      <c r="E170" s="539">
        <v>1E-3</v>
      </c>
      <c r="F170" s="535">
        <f t="shared" si="22"/>
        <v>300</v>
      </c>
      <c r="G170" s="537">
        <v>2E-3</v>
      </c>
      <c r="H170" s="538">
        <f t="shared" si="23"/>
        <v>600</v>
      </c>
      <c r="I170" s="539">
        <v>3.0000000000000001E-3</v>
      </c>
      <c r="J170" s="540">
        <f t="shared" si="21"/>
        <v>900</v>
      </c>
      <c r="K170" s="541">
        <f t="shared" si="24"/>
        <v>1800</v>
      </c>
    </row>
    <row r="171" spans="1:11" ht="17.45" customHeight="1">
      <c r="A171" s="533">
        <v>6</v>
      </c>
      <c r="B171" s="633" t="s">
        <v>926</v>
      </c>
      <c r="C171" s="634" t="s">
        <v>921</v>
      </c>
      <c r="D171" s="535">
        <f>'Bang gia'!K11</f>
        <v>3350000</v>
      </c>
      <c r="E171" s="539"/>
      <c r="F171" s="535">
        <f t="shared" si="22"/>
        <v>0</v>
      </c>
      <c r="G171" s="537">
        <v>3.0000000000000001E-3</v>
      </c>
      <c r="H171" s="538">
        <f t="shared" si="23"/>
        <v>10050</v>
      </c>
      <c r="I171" s="539">
        <v>1E-3</v>
      </c>
      <c r="J171" s="540">
        <f t="shared" si="21"/>
        <v>3350</v>
      </c>
      <c r="K171" s="541">
        <f t="shared" si="24"/>
        <v>13400</v>
      </c>
    </row>
    <row r="172" spans="1:11" ht="17.45" customHeight="1">
      <c r="A172" s="533">
        <v>7</v>
      </c>
      <c r="B172" s="633" t="s">
        <v>927</v>
      </c>
      <c r="C172" s="634" t="s">
        <v>928</v>
      </c>
      <c r="D172" s="535">
        <f>'Bang gia'!K12</f>
        <v>300</v>
      </c>
      <c r="E172" s="539"/>
      <c r="F172" s="535">
        <f t="shared" si="22"/>
        <v>0</v>
      </c>
      <c r="G172" s="537">
        <v>1</v>
      </c>
      <c r="H172" s="538">
        <f t="shared" si="23"/>
        <v>300</v>
      </c>
      <c r="I172" s="539"/>
      <c r="J172" s="535">
        <f t="shared" si="21"/>
        <v>0</v>
      </c>
      <c r="K172" s="541">
        <f t="shared" si="24"/>
        <v>300</v>
      </c>
    </row>
    <row r="173" spans="1:11" ht="17.45" customHeight="1">
      <c r="A173" s="533">
        <v>8</v>
      </c>
      <c r="B173" s="633" t="s">
        <v>559</v>
      </c>
      <c r="C173" s="634" t="s">
        <v>929</v>
      </c>
      <c r="D173" s="535">
        <f>'Bang gia'!K13</f>
        <v>7000</v>
      </c>
      <c r="E173" s="539"/>
      <c r="F173" s="535">
        <f t="shared" si="22"/>
        <v>0</v>
      </c>
      <c r="G173" s="537">
        <v>1</v>
      </c>
      <c r="H173" s="538">
        <f t="shared" si="23"/>
        <v>7000</v>
      </c>
      <c r="I173" s="539"/>
      <c r="J173" s="535">
        <f t="shared" si="21"/>
        <v>0</v>
      </c>
      <c r="K173" s="541">
        <f t="shared" si="24"/>
        <v>7000</v>
      </c>
    </row>
    <row r="174" spans="1:11" ht="17.45" customHeight="1">
      <c r="A174" s="533">
        <v>9</v>
      </c>
      <c r="B174" s="633" t="s">
        <v>562</v>
      </c>
      <c r="C174" s="634" t="s">
        <v>928</v>
      </c>
      <c r="D174" s="535">
        <f>'Bang gia'!K14</f>
        <v>300</v>
      </c>
      <c r="E174" s="539">
        <v>1</v>
      </c>
      <c r="F174" s="535">
        <f t="shared" si="22"/>
        <v>300</v>
      </c>
      <c r="G174" s="537"/>
      <c r="H174" s="538">
        <f t="shared" si="23"/>
        <v>0</v>
      </c>
      <c r="I174" s="539"/>
      <c r="J174" s="535">
        <f t="shared" si="21"/>
        <v>0</v>
      </c>
      <c r="K174" s="541">
        <f t="shared" si="24"/>
        <v>300</v>
      </c>
    </row>
    <row r="175" spans="1:11" ht="17.45" customHeight="1">
      <c r="A175" s="533">
        <v>10</v>
      </c>
      <c r="B175" s="633" t="s">
        <v>930</v>
      </c>
      <c r="C175" s="634" t="s">
        <v>931</v>
      </c>
      <c r="D175" s="535">
        <f>'Bang gia'!K15</f>
        <v>45000</v>
      </c>
      <c r="E175" s="539">
        <v>2E-3</v>
      </c>
      <c r="F175" s="535">
        <f t="shared" si="22"/>
        <v>90</v>
      </c>
      <c r="G175" s="537">
        <v>8.9999999999999993E-3</v>
      </c>
      <c r="H175" s="538">
        <f t="shared" si="23"/>
        <v>404.99999999999994</v>
      </c>
      <c r="I175" s="539">
        <v>2E-3</v>
      </c>
      <c r="J175" s="540">
        <f t="shared" si="21"/>
        <v>90</v>
      </c>
      <c r="K175" s="541">
        <f t="shared" si="24"/>
        <v>585</v>
      </c>
    </row>
    <row r="176" spans="1:11" ht="17.45" customHeight="1">
      <c r="A176" s="533">
        <v>11</v>
      </c>
      <c r="B176" s="633" t="s">
        <v>932</v>
      </c>
      <c r="C176" s="634" t="s">
        <v>931</v>
      </c>
      <c r="D176" s="535">
        <f>'Bang gia'!K16</f>
        <v>90000</v>
      </c>
      <c r="E176" s="539"/>
      <c r="F176" s="535">
        <f t="shared" si="22"/>
        <v>0</v>
      </c>
      <c r="G176" s="537">
        <v>1E-3</v>
      </c>
      <c r="H176" s="538">
        <f t="shared" si="23"/>
        <v>90</v>
      </c>
      <c r="I176" s="539">
        <v>0.01</v>
      </c>
      <c r="J176" s="540">
        <f t="shared" si="21"/>
        <v>900</v>
      </c>
      <c r="K176" s="541">
        <f t="shared" si="24"/>
        <v>990</v>
      </c>
    </row>
    <row r="177" spans="1:11" ht="17.45" customHeight="1">
      <c r="A177" s="533">
        <v>12</v>
      </c>
      <c r="B177" s="633" t="s">
        <v>933</v>
      </c>
      <c r="C177" s="634" t="s">
        <v>934</v>
      </c>
      <c r="D177" s="535">
        <f>'Bang gia'!K17</f>
        <v>25000</v>
      </c>
      <c r="E177" s="539">
        <v>4.0000000000000001E-3</v>
      </c>
      <c r="F177" s="535">
        <f t="shared" si="22"/>
        <v>100</v>
      </c>
      <c r="G177" s="537">
        <v>8.9999999999999993E-3</v>
      </c>
      <c r="H177" s="538">
        <f t="shared" si="23"/>
        <v>224.99999999999997</v>
      </c>
      <c r="I177" s="539">
        <v>2E-3</v>
      </c>
      <c r="J177" s="540">
        <f t="shared" si="21"/>
        <v>50</v>
      </c>
      <c r="K177" s="541">
        <f t="shared" si="24"/>
        <v>375</v>
      </c>
    </row>
    <row r="178" spans="1:11" ht="17.45" customHeight="1">
      <c r="A178" s="533">
        <v>13</v>
      </c>
      <c r="B178" s="635" t="s">
        <v>935</v>
      </c>
      <c r="C178" s="636" t="s">
        <v>143</v>
      </c>
      <c r="D178" s="535">
        <f>'Bang gia'!K18</f>
        <v>2500</v>
      </c>
      <c r="E178" s="539">
        <v>1.9E-2</v>
      </c>
      <c r="F178" s="535">
        <f t="shared" si="22"/>
        <v>47.5</v>
      </c>
      <c r="G178" s="537">
        <v>1.0999999999999999E-2</v>
      </c>
      <c r="H178" s="538">
        <f t="shared" si="23"/>
        <v>27.5</v>
      </c>
      <c r="I178" s="539">
        <v>4.0000000000000001E-3</v>
      </c>
      <c r="J178" s="540">
        <f t="shared" si="21"/>
        <v>10</v>
      </c>
      <c r="K178" s="541">
        <f t="shared" si="24"/>
        <v>85</v>
      </c>
    </row>
    <row r="179" spans="1:11" ht="17.45" customHeight="1">
      <c r="A179" s="533">
        <v>14</v>
      </c>
      <c r="B179" s="635" t="s">
        <v>936</v>
      </c>
      <c r="C179" s="636" t="s">
        <v>919</v>
      </c>
      <c r="D179" s="535">
        <f>'Bang gia'!K19</f>
        <v>18000</v>
      </c>
      <c r="E179" s="539">
        <v>2E-3</v>
      </c>
      <c r="F179" s="535">
        <f t="shared" si="22"/>
        <v>36</v>
      </c>
      <c r="G179" s="537">
        <v>6.0000000000000001E-3</v>
      </c>
      <c r="H179" s="538">
        <f t="shared" si="23"/>
        <v>108</v>
      </c>
      <c r="I179" s="539">
        <v>1E-3</v>
      </c>
      <c r="J179" s="540">
        <f t="shared" si="21"/>
        <v>18</v>
      </c>
      <c r="K179" s="541">
        <f t="shared" si="24"/>
        <v>162</v>
      </c>
    </row>
    <row r="180" spans="1:11" ht="17.45" customHeight="1">
      <c r="A180" s="533">
        <v>15</v>
      </c>
      <c r="B180" s="635" t="s">
        <v>937</v>
      </c>
      <c r="C180" s="636" t="s">
        <v>919</v>
      </c>
      <c r="D180" s="535">
        <f>'Bang gia'!K20</f>
        <v>15000</v>
      </c>
      <c r="E180" s="539">
        <v>2E-3</v>
      </c>
      <c r="F180" s="535">
        <f t="shared" si="22"/>
        <v>30</v>
      </c>
      <c r="G180" s="537">
        <v>6.0000000000000001E-3</v>
      </c>
      <c r="H180" s="538">
        <f t="shared" si="23"/>
        <v>90</v>
      </c>
      <c r="I180" s="539">
        <v>1E-3</v>
      </c>
      <c r="J180" s="540">
        <f t="shared" si="21"/>
        <v>15</v>
      </c>
      <c r="K180" s="541">
        <f t="shared" si="24"/>
        <v>135</v>
      </c>
    </row>
    <row r="181" spans="1:11" ht="17.45" customHeight="1">
      <c r="A181" s="641">
        <v>16</v>
      </c>
      <c r="B181" s="635" t="s">
        <v>563</v>
      </c>
      <c r="C181" s="671" t="s">
        <v>564</v>
      </c>
      <c r="D181" s="643">
        <f>'Bang gia'!K21</f>
        <v>1000</v>
      </c>
      <c r="E181" s="638"/>
      <c r="F181" s="535">
        <f t="shared" si="22"/>
        <v>0</v>
      </c>
      <c r="G181" s="639"/>
      <c r="H181" s="535">
        <f t="shared" si="23"/>
        <v>0</v>
      </c>
      <c r="I181" s="638">
        <v>2.4E-2</v>
      </c>
      <c r="J181" s="645">
        <f t="shared" si="21"/>
        <v>24</v>
      </c>
      <c r="K181" s="646">
        <f t="shared" si="24"/>
        <v>24</v>
      </c>
    </row>
    <row r="182" spans="1:11" ht="17.45" customHeight="1">
      <c r="A182" s="641">
        <v>17</v>
      </c>
      <c r="B182" s="635" t="s">
        <v>1054</v>
      </c>
      <c r="C182" s="671" t="s">
        <v>569</v>
      </c>
      <c r="D182" s="643">
        <f>'Bang gia'!K27</f>
        <v>10000</v>
      </c>
      <c r="E182" s="638"/>
      <c r="F182" s="535">
        <f t="shared" si="22"/>
        <v>0</v>
      </c>
      <c r="G182" s="639">
        <v>2E-3</v>
      </c>
      <c r="H182" s="538">
        <f t="shared" si="23"/>
        <v>20</v>
      </c>
      <c r="I182" s="638">
        <v>4.0000000000000001E-3</v>
      </c>
      <c r="J182" s="535">
        <f t="shared" si="21"/>
        <v>40</v>
      </c>
      <c r="K182" s="646">
        <f t="shared" si="24"/>
        <v>60</v>
      </c>
    </row>
    <row r="183" spans="1:11" ht="17.45" customHeight="1">
      <c r="A183" s="641">
        <v>18</v>
      </c>
      <c r="B183" s="635" t="s">
        <v>565</v>
      </c>
      <c r="C183" s="671" t="s">
        <v>202</v>
      </c>
      <c r="D183" s="643">
        <f>'Bang gia'!K28</f>
        <v>3000</v>
      </c>
      <c r="E183" s="638">
        <v>1</v>
      </c>
      <c r="F183" s="535">
        <f t="shared" si="22"/>
        <v>3000</v>
      </c>
      <c r="G183" s="639"/>
      <c r="H183" s="535">
        <f t="shared" si="23"/>
        <v>0</v>
      </c>
      <c r="I183" s="638"/>
      <c r="J183" s="535">
        <f t="shared" si="21"/>
        <v>0</v>
      </c>
      <c r="K183" s="646">
        <f t="shared" si="24"/>
        <v>3000</v>
      </c>
    </row>
    <row r="184" spans="1:11" ht="17.45" customHeight="1">
      <c r="A184" s="641">
        <v>19</v>
      </c>
      <c r="B184" s="635" t="s">
        <v>566</v>
      </c>
      <c r="C184" s="671" t="s">
        <v>1060</v>
      </c>
      <c r="D184" s="643">
        <f>'Bang gia'!K24</f>
        <v>2400000</v>
      </c>
      <c r="E184" s="638"/>
      <c r="F184" s="535">
        <f t="shared" si="22"/>
        <v>0</v>
      </c>
      <c r="G184" s="639"/>
      <c r="H184" s="535">
        <f t="shared" si="23"/>
        <v>0</v>
      </c>
      <c r="I184" s="638">
        <v>1E-3</v>
      </c>
      <c r="J184" s="535">
        <f t="shared" si="21"/>
        <v>2400</v>
      </c>
      <c r="K184" s="646">
        <f t="shared" si="24"/>
        <v>2400</v>
      </c>
    </row>
    <row r="185" spans="1:11" ht="17.45" customHeight="1">
      <c r="A185" s="641">
        <v>20</v>
      </c>
      <c r="B185" s="635" t="s">
        <v>567</v>
      </c>
      <c r="C185" s="671" t="s">
        <v>57</v>
      </c>
      <c r="D185" s="643">
        <f>'Bang gia'!K25</f>
        <v>4500</v>
      </c>
      <c r="E185" s="638">
        <v>2.3E-2</v>
      </c>
      <c r="F185" s="535">
        <f t="shared" si="22"/>
        <v>103.5</v>
      </c>
      <c r="G185" s="639">
        <v>1E-3</v>
      </c>
      <c r="H185" s="535">
        <f t="shared" si="23"/>
        <v>4.5</v>
      </c>
      <c r="I185" s="638">
        <v>6.8000000000000005E-2</v>
      </c>
      <c r="J185" s="535">
        <f t="shared" si="21"/>
        <v>306</v>
      </c>
      <c r="K185" s="646">
        <f t="shared" si="24"/>
        <v>414</v>
      </c>
    </row>
    <row r="186" spans="1:11" ht="17.45" customHeight="1">
      <c r="A186" s="641">
        <v>21</v>
      </c>
      <c r="B186" s="635" t="s">
        <v>568</v>
      </c>
      <c r="C186" s="642" t="s">
        <v>1060</v>
      </c>
      <c r="D186" s="643">
        <f>'Bang gia'!K29</f>
        <v>1250000</v>
      </c>
      <c r="E186" s="638">
        <v>1E-3</v>
      </c>
      <c r="F186" s="535">
        <f t="shared" si="22"/>
        <v>1250</v>
      </c>
      <c r="G186" s="640"/>
      <c r="H186" s="535">
        <f t="shared" si="23"/>
        <v>0</v>
      </c>
      <c r="I186" s="638"/>
      <c r="J186" s="535"/>
      <c r="K186" s="646">
        <f t="shared" si="24"/>
        <v>1250</v>
      </c>
    </row>
    <row r="187" spans="1:11" ht="17.45" customHeight="1">
      <c r="A187" s="652"/>
      <c r="B187" s="653" t="s">
        <v>146</v>
      </c>
      <c r="C187" s="577"/>
      <c r="D187" s="577"/>
      <c r="E187" s="576"/>
      <c r="F187" s="577">
        <f>SUM(F166:F186)</f>
        <v>6721</v>
      </c>
      <c r="G187" s="654"/>
      <c r="H187" s="655">
        <f>SUM(H166:H186)</f>
        <v>21961</v>
      </c>
      <c r="I187" s="576"/>
      <c r="J187" s="546">
        <f>SUM(J166:J186)</f>
        <v>9569</v>
      </c>
      <c r="K187" s="546">
        <f>SUM(K166:K186)</f>
        <v>38251</v>
      </c>
    </row>
    <row r="188" spans="1:11" ht="17.45" customHeight="1">
      <c r="A188" s="652"/>
      <c r="B188" s="653" t="s">
        <v>147</v>
      </c>
      <c r="C188" s="577"/>
      <c r="D188" s="577"/>
      <c r="E188" s="576"/>
      <c r="F188" s="577">
        <f>F187*8%</f>
        <v>537.68000000000006</v>
      </c>
      <c r="G188" s="656"/>
      <c r="H188" s="655">
        <f>H187*8%</f>
        <v>1756.88</v>
      </c>
      <c r="I188" s="654"/>
      <c r="J188" s="655">
        <f>J187*8%</f>
        <v>765.52</v>
      </c>
      <c r="K188" s="655">
        <f>K187*8%</f>
        <v>3060.08</v>
      </c>
    </row>
    <row r="189" spans="1:11" ht="17.45" customHeight="1">
      <c r="A189" s="657"/>
      <c r="B189" s="543" t="s">
        <v>546</v>
      </c>
      <c r="C189" s="657"/>
      <c r="D189" s="657"/>
      <c r="E189" s="658"/>
      <c r="F189" s="544">
        <f>F187+F188</f>
        <v>7258.68</v>
      </c>
      <c r="G189" s="576"/>
      <c r="H189" s="655">
        <f>H187+H188</f>
        <v>23717.88</v>
      </c>
      <c r="I189" s="654"/>
      <c r="J189" s="655">
        <f>J187+J188</f>
        <v>10334.52</v>
      </c>
      <c r="K189" s="655">
        <f>K187+K188</f>
        <v>41311.08</v>
      </c>
    </row>
    <row r="190" spans="1:11" ht="17.45" customHeight="1">
      <c r="A190" s="663"/>
      <c r="B190" s="554" t="s">
        <v>550</v>
      </c>
      <c r="C190" s="558"/>
      <c r="D190" s="556"/>
      <c r="E190" s="626"/>
      <c r="F190" s="556"/>
      <c r="G190" s="626"/>
      <c r="H190" s="627"/>
      <c r="I190" s="629"/>
      <c r="J190" s="556"/>
      <c r="K190" s="449"/>
    </row>
    <row r="191" spans="1:11" ht="17.45" customHeight="1">
      <c r="A191" s="561"/>
      <c r="B191" s="1225" t="s">
        <v>169</v>
      </c>
      <c r="C191" s="1225"/>
      <c r="D191" s="1225"/>
      <c r="E191" s="1225"/>
      <c r="F191" s="1225"/>
      <c r="G191" s="1225"/>
      <c r="H191" s="1225"/>
      <c r="I191" s="1225"/>
      <c r="J191" s="1225"/>
      <c r="K191" s="1225"/>
    </row>
    <row r="192" spans="1:11" ht="17.45" customHeight="1">
      <c r="A192" s="561"/>
      <c r="B192" s="560" t="s">
        <v>170</v>
      </c>
      <c r="C192" s="560"/>
      <c r="D192" s="560"/>
      <c r="E192" s="560"/>
      <c r="F192" s="560"/>
      <c r="G192" s="560"/>
      <c r="H192" s="560"/>
      <c r="I192" s="560"/>
      <c r="J192" s="560"/>
      <c r="K192" s="560"/>
    </row>
    <row r="193" spans="1:11" ht="26.45" customHeight="1">
      <c r="A193" s="561"/>
      <c r="B193" s="1217" t="s">
        <v>629</v>
      </c>
      <c r="C193" s="1217"/>
      <c r="D193" s="1217"/>
      <c r="E193" s="1217"/>
      <c r="F193" s="1217"/>
      <c r="G193" s="1217"/>
      <c r="H193" s="1217"/>
      <c r="I193" s="1217"/>
      <c r="J193" s="1217"/>
      <c r="K193" s="1217"/>
    </row>
    <row r="194" spans="1:11">
      <c r="A194" s="628"/>
      <c r="B194" s="560"/>
      <c r="C194" s="625"/>
      <c r="D194" s="556"/>
      <c r="E194" s="626"/>
      <c r="F194" s="556"/>
      <c r="G194" s="626"/>
      <c r="H194" s="627"/>
      <c r="I194" s="629"/>
      <c r="J194" s="556"/>
      <c r="K194" s="449"/>
    </row>
    <row r="195" spans="1:11" ht="27" customHeight="1">
      <c r="A195" s="1221" t="s">
        <v>217</v>
      </c>
      <c r="B195" s="1221"/>
      <c r="C195" s="1221"/>
      <c r="D195" s="1221"/>
      <c r="E195" s="1221"/>
      <c r="F195" s="1221"/>
      <c r="G195" s="1221"/>
      <c r="H195" s="1221"/>
      <c r="I195" s="1221"/>
      <c r="J195" s="1221"/>
      <c r="K195" s="1221"/>
    </row>
    <row r="196" spans="1:11" ht="12" customHeight="1">
      <c r="A196" s="628"/>
      <c r="B196" s="435"/>
      <c r="C196" s="625"/>
      <c r="D196" s="556"/>
      <c r="E196" s="626"/>
      <c r="F196" s="556"/>
      <c r="G196" s="626"/>
      <c r="H196" s="627"/>
      <c r="I196" s="629"/>
      <c r="J196" s="556"/>
      <c r="K196" s="449"/>
    </row>
    <row r="197" spans="1:11" ht="19.5" customHeight="1">
      <c r="A197" s="1203" t="s">
        <v>724</v>
      </c>
      <c r="B197" s="1203" t="s">
        <v>534</v>
      </c>
      <c r="C197" s="1203" t="s">
        <v>535</v>
      </c>
      <c r="D197" s="1203" t="s">
        <v>556</v>
      </c>
      <c r="E197" s="1212" t="s">
        <v>539</v>
      </c>
      <c r="F197" s="1214"/>
      <c r="G197" s="1214"/>
      <c r="H197" s="1214"/>
      <c r="I197" s="1214"/>
      <c r="J197" s="1213"/>
      <c r="K197" s="1203" t="s">
        <v>467</v>
      </c>
    </row>
    <row r="198" spans="1:11" ht="35.450000000000003" customHeight="1">
      <c r="A198" s="1204"/>
      <c r="B198" s="1204"/>
      <c r="C198" s="1204"/>
      <c r="D198" s="1204"/>
      <c r="E198" s="1212" t="s">
        <v>540</v>
      </c>
      <c r="F198" s="1213"/>
      <c r="G198" s="1212" t="s">
        <v>140</v>
      </c>
      <c r="H198" s="1213"/>
      <c r="I198" s="1212" t="s">
        <v>542</v>
      </c>
      <c r="J198" s="1213"/>
      <c r="K198" s="1204"/>
    </row>
    <row r="199" spans="1:11" ht="19.5" customHeight="1">
      <c r="A199" s="1205"/>
      <c r="B199" s="1205"/>
      <c r="C199" s="1205"/>
      <c r="D199" s="1205"/>
      <c r="E199" s="672" t="s">
        <v>141</v>
      </c>
      <c r="F199" s="524" t="s">
        <v>496</v>
      </c>
      <c r="G199" s="672" t="s">
        <v>141</v>
      </c>
      <c r="H199" s="524" t="s">
        <v>496</v>
      </c>
      <c r="I199" s="672" t="s">
        <v>141</v>
      </c>
      <c r="J199" s="524" t="s">
        <v>496</v>
      </c>
      <c r="K199" s="1205"/>
    </row>
    <row r="200" spans="1:11" ht="18" customHeight="1">
      <c r="A200" s="578">
        <v>1</v>
      </c>
      <c r="B200" s="631" t="s">
        <v>918</v>
      </c>
      <c r="C200" s="632" t="s">
        <v>919</v>
      </c>
      <c r="D200" s="535">
        <f>'Bang gia'!K6</f>
        <v>5000</v>
      </c>
      <c r="E200" s="581"/>
      <c r="F200" s="580"/>
      <c r="G200" s="581">
        <v>0.02</v>
      </c>
      <c r="H200" s="582">
        <f>D200*G200</f>
        <v>100</v>
      </c>
      <c r="I200" s="581">
        <v>2E-3</v>
      </c>
      <c r="J200" s="583">
        <f>I200*D200</f>
        <v>10</v>
      </c>
      <c r="K200" s="582">
        <f>F200+H200+J200</f>
        <v>110</v>
      </c>
    </row>
    <row r="201" spans="1:11" ht="18" customHeight="1">
      <c r="A201" s="533">
        <v>2</v>
      </c>
      <c r="B201" s="633" t="s">
        <v>920</v>
      </c>
      <c r="C201" s="634" t="s">
        <v>921</v>
      </c>
      <c r="D201" s="535">
        <f>'Bang gia'!K7</f>
        <v>2000</v>
      </c>
      <c r="E201" s="539"/>
      <c r="F201" s="535"/>
      <c r="G201" s="537">
        <v>8.0000000000000002E-3</v>
      </c>
      <c r="H201" s="538">
        <f>D201*G201</f>
        <v>16</v>
      </c>
      <c r="I201" s="539">
        <v>1E-3</v>
      </c>
      <c r="J201" s="540">
        <f>I201*D201</f>
        <v>2</v>
      </c>
      <c r="K201" s="541">
        <f>F201+H201+J201</f>
        <v>18</v>
      </c>
    </row>
    <row r="202" spans="1:11" ht="18" customHeight="1">
      <c r="A202" s="533">
        <v>3</v>
      </c>
      <c r="B202" s="633" t="s">
        <v>922</v>
      </c>
      <c r="C202" s="634" t="s">
        <v>921</v>
      </c>
      <c r="D202" s="535">
        <f>'Bang gia'!K8</f>
        <v>2000</v>
      </c>
      <c r="E202" s="539"/>
      <c r="F202" s="535"/>
      <c r="G202" s="537">
        <v>1.2999999999999999E-2</v>
      </c>
      <c r="H202" s="538">
        <f t="shared" ref="H202:H220" si="25">D202*G202</f>
        <v>26</v>
      </c>
      <c r="I202" s="539">
        <v>2E-3</v>
      </c>
      <c r="J202" s="540">
        <f t="shared" ref="J202:J219" si="26">I202*D202</f>
        <v>4</v>
      </c>
      <c r="K202" s="541">
        <f t="shared" ref="K202:K220" si="27">F202+H202+J202</f>
        <v>30</v>
      </c>
    </row>
    <row r="203" spans="1:11" ht="18" customHeight="1">
      <c r="A203" s="533">
        <v>4</v>
      </c>
      <c r="B203" s="633" t="s">
        <v>923</v>
      </c>
      <c r="C203" s="634" t="s">
        <v>921</v>
      </c>
      <c r="D203" s="535">
        <f>'Bang gia'!K9</f>
        <v>1450000</v>
      </c>
      <c r="E203" s="539"/>
      <c r="F203" s="535"/>
      <c r="G203" s="537">
        <v>2E-3</v>
      </c>
      <c r="H203" s="538">
        <f t="shared" si="25"/>
        <v>2900</v>
      </c>
      <c r="I203" s="539">
        <v>1E-3</v>
      </c>
      <c r="J203" s="540">
        <f t="shared" si="26"/>
        <v>1450</v>
      </c>
      <c r="K203" s="541">
        <f t="shared" si="27"/>
        <v>4350</v>
      </c>
    </row>
    <row r="204" spans="1:11" ht="18" customHeight="1">
      <c r="A204" s="533">
        <v>5</v>
      </c>
      <c r="B204" s="633" t="s">
        <v>924</v>
      </c>
      <c r="C204" s="634" t="s">
        <v>921</v>
      </c>
      <c r="D204" s="535">
        <f>'Bang gia'!K10</f>
        <v>300000</v>
      </c>
      <c r="E204" s="539"/>
      <c r="F204" s="535"/>
      <c r="G204" s="537">
        <v>2E-3</v>
      </c>
      <c r="H204" s="538">
        <f t="shared" si="25"/>
        <v>600</v>
      </c>
      <c r="I204" s="539">
        <v>4.0000000000000001E-3</v>
      </c>
      <c r="J204" s="540">
        <f t="shared" si="26"/>
        <v>1200</v>
      </c>
      <c r="K204" s="541">
        <f t="shared" si="27"/>
        <v>1800</v>
      </c>
    </row>
    <row r="205" spans="1:11" ht="18" customHeight="1">
      <c r="A205" s="533">
        <v>6</v>
      </c>
      <c r="B205" s="633" t="s">
        <v>926</v>
      </c>
      <c r="C205" s="634" t="s">
        <v>921</v>
      </c>
      <c r="D205" s="535">
        <f>'Bang gia'!K11</f>
        <v>3350000</v>
      </c>
      <c r="E205" s="539"/>
      <c r="F205" s="535"/>
      <c r="G205" s="537">
        <v>2E-3</v>
      </c>
      <c r="H205" s="538">
        <f t="shared" si="25"/>
        <v>6700</v>
      </c>
      <c r="I205" s="539">
        <v>1E-3</v>
      </c>
      <c r="J205" s="540">
        <f t="shared" si="26"/>
        <v>3350</v>
      </c>
      <c r="K205" s="541">
        <f t="shared" si="27"/>
        <v>10050</v>
      </c>
    </row>
    <row r="206" spans="1:11" ht="18" customHeight="1">
      <c r="A206" s="533">
        <v>7</v>
      </c>
      <c r="B206" s="633" t="s">
        <v>927</v>
      </c>
      <c r="C206" s="634" t="s">
        <v>928</v>
      </c>
      <c r="D206" s="535">
        <f>'Bang gia'!K12</f>
        <v>300</v>
      </c>
      <c r="E206" s="539"/>
      <c r="F206" s="535"/>
      <c r="G206" s="537">
        <v>1</v>
      </c>
      <c r="H206" s="538">
        <f t="shared" si="25"/>
        <v>300</v>
      </c>
      <c r="I206" s="539"/>
      <c r="J206" s="535">
        <f t="shared" si="26"/>
        <v>0</v>
      </c>
      <c r="K206" s="541">
        <f t="shared" si="27"/>
        <v>300</v>
      </c>
    </row>
    <row r="207" spans="1:11" ht="18" customHeight="1">
      <c r="A207" s="533">
        <v>8</v>
      </c>
      <c r="B207" s="633" t="s">
        <v>559</v>
      </c>
      <c r="C207" s="634" t="s">
        <v>929</v>
      </c>
      <c r="D207" s="535">
        <f>'Bang gia'!K13</f>
        <v>7000</v>
      </c>
      <c r="E207" s="539"/>
      <c r="F207" s="535"/>
      <c r="G207" s="537">
        <v>1</v>
      </c>
      <c r="H207" s="538">
        <f t="shared" si="25"/>
        <v>7000</v>
      </c>
      <c r="I207" s="539"/>
      <c r="J207" s="535">
        <f t="shared" si="26"/>
        <v>0</v>
      </c>
      <c r="K207" s="541">
        <f t="shared" si="27"/>
        <v>7000</v>
      </c>
    </row>
    <row r="208" spans="1:11" ht="18" customHeight="1">
      <c r="A208" s="533">
        <v>9</v>
      </c>
      <c r="B208" s="633" t="s">
        <v>562</v>
      </c>
      <c r="C208" s="634" t="s">
        <v>928</v>
      </c>
      <c r="D208" s="535">
        <f>'Bang gia'!K14</f>
        <v>300</v>
      </c>
      <c r="E208" s="539"/>
      <c r="F208" s="535"/>
      <c r="G208" s="537">
        <v>1</v>
      </c>
      <c r="H208" s="538">
        <f t="shared" si="25"/>
        <v>300</v>
      </c>
      <c r="I208" s="539"/>
      <c r="J208" s="535">
        <f t="shared" si="26"/>
        <v>0</v>
      </c>
      <c r="K208" s="541">
        <f t="shared" si="27"/>
        <v>300</v>
      </c>
    </row>
    <row r="209" spans="1:15" ht="18" customHeight="1">
      <c r="A209" s="533">
        <v>10</v>
      </c>
      <c r="B209" s="633" t="s">
        <v>930</v>
      </c>
      <c r="C209" s="634" t="s">
        <v>931</v>
      </c>
      <c r="D209" s="535">
        <f>'Bang gia'!K15</f>
        <v>45000</v>
      </c>
      <c r="E209" s="539"/>
      <c r="F209" s="535"/>
      <c r="G209" s="537">
        <v>8.0000000000000002E-3</v>
      </c>
      <c r="H209" s="538">
        <f t="shared" si="25"/>
        <v>360</v>
      </c>
      <c r="I209" s="539">
        <v>2E-3</v>
      </c>
      <c r="J209" s="540">
        <f t="shared" si="26"/>
        <v>90</v>
      </c>
      <c r="K209" s="541">
        <f t="shared" si="27"/>
        <v>450</v>
      </c>
    </row>
    <row r="210" spans="1:15" ht="18" customHeight="1">
      <c r="A210" s="533">
        <v>11</v>
      </c>
      <c r="B210" s="633" t="s">
        <v>932</v>
      </c>
      <c r="C210" s="634" t="s">
        <v>931</v>
      </c>
      <c r="D210" s="535">
        <f>'Bang gia'!K16</f>
        <v>90000</v>
      </c>
      <c r="E210" s="539"/>
      <c r="F210" s="535"/>
      <c r="G210" s="537">
        <v>1E-3</v>
      </c>
      <c r="H210" s="538">
        <f t="shared" si="25"/>
        <v>90</v>
      </c>
      <c r="I210" s="539">
        <v>1.4E-2</v>
      </c>
      <c r="J210" s="540">
        <f t="shared" si="26"/>
        <v>1260</v>
      </c>
      <c r="K210" s="541">
        <f t="shared" si="27"/>
        <v>1350</v>
      </c>
    </row>
    <row r="211" spans="1:15" ht="18" customHeight="1">
      <c r="A211" s="533">
        <v>12</v>
      </c>
      <c r="B211" s="633" t="s">
        <v>933</v>
      </c>
      <c r="C211" s="634" t="s">
        <v>934</v>
      </c>
      <c r="D211" s="535">
        <f>'Bang gia'!K17</f>
        <v>25000</v>
      </c>
      <c r="E211" s="539"/>
      <c r="F211" s="535"/>
      <c r="G211" s="537">
        <v>0.01</v>
      </c>
      <c r="H211" s="538">
        <f t="shared" si="25"/>
        <v>250</v>
      </c>
      <c r="I211" s="539">
        <v>2E-3</v>
      </c>
      <c r="J211" s="540">
        <f t="shared" si="26"/>
        <v>50</v>
      </c>
      <c r="K211" s="541">
        <f t="shared" si="27"/>
        <v>300</v>
      </c>
    </row>
    <row r="212" spans="1:15" ht="18" customHeight="1">
      <c r="A212" s="533">
        <v>13</v>
      </c>
      <c r="B212" s="635" t="s">
        <v>935</v>
      </c>
      <c r="C212" s="636" t="s">
        <v>143</v>
      </c>
      <c r="D212" s="535">
        <f>'Bang gia'!K18</f>
        <v>2500</v>
      </c>
      <c r="E212" s="539"/>
      <c r="F212" s="535"/>
      <c r="G212" s="537">
        <v>0.02</v>
      </c>
      <c r="H212" s="538">
        <f t="shared" si="25"/>
        <v>50</v>
      </c>
      <c r="I212" s="539">
        <v>4.0000000000000001E-3</v>
      </c>
      <c r="J212" s="540">
        <f t="shared" si="26"/>
        <v>10</v>
      </c>
      <c r="K212" s="541">
        <f t="shared" si="27"/>
        <v>60</v>
      </c>
    </row>
    <row r="213" spans="1:15" ht="18" customHeight="1">
      <c r="A213" s="533">
        <v>14</v>
      </c>
      <c r="B213" s="635" t="s">
        <v>936</v>
      </c>
      <c r="C213" s="636" t="s">
        <v>919</v>
      </c>
      <c r="D213" s="535">
        <f>'Bang gia'!K19</f>
        <v>18000</v>
      </c>
      <c r="E213" s="539"/>
      <c r="F213" s="535"/>
      <c r="G213" s="537">
        <v>8.0000000000000002E-3</v>
      </c>
      <c r="H213" s="538">
        <f t="shared" si="25"/>
        <v>144</v>
      </c>
      <c r="I213" s="539">
        <v>1E-3</v>
      </c>
      <c r="J213" s="540">
        <f t="shared" si="26"/>
        <v>18</v>
      </c>
      <c r="K213" s="541">
        <f t="shared" si="27"/>
        <v>162</v>
      </c>
    </row>
    <row r="214" spans="1:15" ht="18" customHeight="1">
      <c r="A214" s="533">
        <v>15</v>
      </c>
      <c r="B214" s="635" t="s">
        <v>937</v>
      </c>
      <c r="C214" s="636" t="s">
        <v>919</v>
      </c>
      <c r="D214" s="535">
        <f>'Bang gia'!K20</f>
        <v>15000</v>
      </c>
      <c r="E214" s="539"/>
      <c r="F214" s="535"/>
      <c r="G214" s="537">
        <v>8.0000000000000002E-3</v>
      </c>
      <c r="H214" s="538">
        <f t="shared" si="25"/>
        <v>120</v>
      </c>
      <c r="I214" s="539">
        <v>1E-3</v>
      </c>
      <c r="J214" s="540">
        <f t="shared" si="26"/>
        <v>15</v>
      </c>
      <c r="K214" s="541">
        <f t="shared" si="27"/>
        <v>135</v>
      </c>
    </row>
    <row r="215" spans="1:15" ht="18" customHeight="1">
      <c r="A215" s="533">
        <v>16</v>
      </c>
      <c r="B215" s="635" t="s">
        <v>563</v>
      </c>
      <c r="C215" s="671" t="s">
        <v>564</v>
      </c>
      <c r="D215" s="643">
        <f>'Bang gia'!K21</f>
        <v>1000</v>
      </c>
      <c r="E215" s="638"/>
      <c r="F215" s="535"/>
      <c r="G215" s="639"/>
      <c r="H215" s="538"/>
      <c r="I215" s="638">
        <v>3.4000000000000002E-2</v>
      </c>
      <c r="J215" s="540">
        <f t="shared" si="26"/>
        <v>34</v>
      </c>
      <c r="K215" s="541">
        <f t="shared" si="27"/>
        <v>34</v>
      </c>
    </row>
    <row r="216" spans="1:15" ht="18" customHeight="1">
      <c r="A216" s="641">
        <v>17</v>
      </c>
      <c r="B216" s="635" t="s">
        <v>1054</v>
      </c>
      <c r="C216" s="671" t="s">
        <v>569</v>
      </c>
      <c r="D216" s="643">
        <f>'Bang gia'!K27</f>
        <v>10000</v>
      </c>
      <c r="E216" s="638"/>
      <c r="F216" s="643"/>
      <c r="G216" s="639">
        <v>2E-3</v>
      </c>
      <c r="H216" s="538">
        <f t="shared" si="25"/>
        <v>20</v>
      </c>
      <c r="I216" s="638">
        <v>4.0000000000000001E-3</v>
      </c>
      <c r="J216" s="540">
        <f t="shared" si="26"/>
        <v>40</v>
      </c>
      <c r="K216" s="541">
        <f t="shared" si="27"/>
        <v>60</v>
      </c>
    </row>
    <row r="217" spans="1:15" ht="18" customHeight="1">
      <c r="A217" s="641">
        <v>18</v>
      </c>
      <c r="B217" s="635" t="s">
        <v>565</v>
      </c>
      <c r="C217" s="671" t="s">
        <v>202</v>
      </c>
      <c r="D217" s="643">
        <f>'Bang gia'!K28</f>
        <v>3000</v>
      </c>
      <c r="E217" s="638"/>
      <c r="F217" s="643"/>
      <c r="G217" s="639">
        <v>1</v>
      </c>
      <c r="H217" s="538">
        <f t="shared" si="25"/>
        <v>3000</v>
      </c>
      <c r="I217" s="638"/>
      <c r="J217" s="535">
        <f t="shared" si="26"/>
        <v>0</v>
      </c>
      <c r="K217" s="541">
        <f t="shared" si="27"/>
        <v>3000</v>
      </c>
    </row>
    <row r="218" spans="1:15" ht="18" customHeight="1">
      <c r="A218" s="641">
        <v>19</v>
      </c>
      <c r="B218" s="635" t="s">
        <v>566</v>
      </c>
      <c r="C218" s="671" t="s">
        <v>1060</v>
      </c>
      <c r="D218" s="643">
        <f>'Bang gia'!K24</f>
        <v>2400000</v>
      </c>
      <c r="E218" s="638"/>
      <c r="F218" s="643"/>
      <c r="G218" s="639"/>
      <c r="H218" s="538"/>
      <c r="I218" s="638">
        <v>1E-3</v>
      </c>
      <c r="J218" s="540">
        <f t="shared" si="26"/>
        <v>2400</v>
      </c>
      <c r="K218" s="541">
        <f t="shared" si="27"/>
        <v>2400</v>
      </c>
    </row>
    <row r="219" spans="1:15" ht="18" customHeight="1">
      <c r="A219" s="641">
        <v>20</v>
      </c>
      <c r="B219" s="635" t="s">
        <v>567</v>
      </c>
      <c r="C219" s="671" t="s">
        <v>57</v>
      </c>
      <c r="D219" s="643">
        <f>'Bang gia'!K25</f>
        <v>4500</v>
      </c>
      <c r="E219" s="638"/>
      <c r="F219" s="643"/>
      <c r="G219" s="639">
        <v>2.4E-2</v>
      </c>
      <c r="H219" s="538">
        <f t="shared" si="25"/>
        <v>108</v>
      </c>
      <c r="I219" s="638">
        <v>7.1999999999999995E-2</v>
      </c>
      <c r="J219" s="540">
        <f t="shared" si="26"/>
        <v>324</v>
      </c>
      <c r="K219" s="541">
        <f t="shared" si="27"/>
        <v>432</v>
      </c>
    </row>
    <row r="220" spans="1:15" ht="18" customHeight="1">
      <c r="A220" s="641">
        <v>21</v>
      </c>
      <c r="B220" s="635" t="s">
        <v>568</v>
      </c>
      <c r="C220" s="642" t="s">
        <v>1060</v>
      </c>
      <c r="D220" s="643">
        <f>'Bang gia'!K29</f>
        <v>1250000</v>
      </c>
      <c r="E220" s="638"/>
      <c r="F220" s="643"/>
      <c r="G220" s="639">
        <v>1E-3</v>
      </c>
      <c r="H220" s="538">
        <f t="shared" si="25"/>
        <v>1250</v>
      </c>
      <c r="I220" s="638"/>
      <c r="J220" s="645"/>
      <c r="K220" s="541">
        <f t="shared" si="27"/>
        <v>1250</v>
      </c>
    </row>
    <row r="221" spans="1:15" ht="18" customHeight="1">
      <c r="A221" s="652"/>
      <c r="B221" s="653" t="s">
        <v>146</v>
      </c>
      <c r="C221" s="577"/>
      <c r="D221" s="577"/>
      <c r="E221" s="576"/>
      <c r="F221" s="577"/>
      <c r="G221" s="654"/>
      <c r="H221" s="655">
        <f>SUM(H200:H220)</f>
        <v>23334</v>
      </c>
      <c r="I221" s="576"/>
      <c r="J221" s="546">
        <f>H221*0.1</f>
        <v>2333.4</v>
      </c>
      <c r="K221" s="546">
        <f>F221+H221+J221</f>
        <v>25667.4</v>
      </c>
    </row>
    <row r="222" spans="1:15" ht="18" customHeight="1">
      <c r="A222" s="652"/>
      <c r="B222" s="653" t="s">
        <v>147</v>
      </c>
      <c r="C222" s="577"/>
      <c r="D222" s="577"/>
      <c r="E222" s="576"/>
      <c r="F222" s="577"/>
      <c r="G222" s="656"/>
      <c r="H222" s="655">
        <f>H221*8%</f>
        <v>1866.72</v>
      </c>
      <c r="I222" s="654"/>
      <c r="J222" s="655">
        <f>J221*8%</f>
        <v>186.672</v>
      </c>
      <c r="K222" s="655">
        <f>K221*8%</f>
        <v>2053.3920000000003</v>
      </c>
    </row>
    <row r="223" spans="1:15" ht="18" customHeight="1">
      <c r="A223" s="657"/>
      <c r="B223" s="543" t="s">
        <v>546</v>
      </c>
      <c r="C223" s="657"/>
      <c r="D223" s="657"/>
      <c r="E223" s="658"/>
      <c r="F223" s="544"/>
      <c r="G223" s="576"/>
      <c r="H223" s="655">
        <f>H221+H222</f>
        <v>25200.720000000001</v>
      </c>
      <c r="I223" s="654"/>
      <c r="J223" s="655">
        <f>J221+J222</f>
        <v>2520.0720000000001</v>
      </c>
      <c r="K223" s="655">
        <f>K221+K222</f>
        <v>27720.792000000001</v>
      </c>
      <c r="M223" s="527">
        <f>H223/5000</f>
        <v>5.0401440000000006</v>
      </c>
      <c r="O223" s="527">
        <f>J223/5000</f>
        <v>0.50401439999999997</v>
      </c>
    </row>
    <row r="224" spans="1:15" ht="7.5" customHeight="1">
      <c r="A224" s="628"/>
      <c r="B224" s="435"/>
      <c r="C224" s="625"/>
      <c r="D224" s="556"/>
      <c r="E224" s="626"/>
      <c r="F224" s="556"/>
      <c r="G224" s="626"/>
      <c r="H224" s="627"/>
      <c r="I224" s="629"/>
      <c r="J224" s="556"/>
      <c r="K224" s="449"/>
    </row>
    <row r="225" spans="1:11">
      <c r="A225" s="663"/>
      <c r="B225" s="554" t="s">
        <v>550</v>
      </c>
      <c r="C225" s="558"/>
      <c r="D225" s="556"/>
      <c r="E225" s="626"/>
      <c r="F225" s="556"/>
      <c r="G225" s="626"/>
      <c r="H225" s="627"/>
      <c r="I225" s="629"/>
      <c r="J225" s="556"/>
      <c r="K225" s="449"/>
    </row>
    <row r="226" spans="1:11" ht="25.9" customHeight="1">
      <c r="A226" s="561"/>
      <c r="B226" s="1217" t="s">
        <v>630</v>
      </c>
      <c r="C226" s="1217"/>
      <c r="D226" s="1217"/>
      <c r="E226" s="1217"/>
      <c r="F226" s="1217"/>
      <c r="G226" s="1217"/>
      <c r="H226" s="1217"/>
      <c r="I226" s="1217"/>
      <c r="J226" s="1217"/>
      <c r="K226" s="1217"/>
    </row>
    <row r="227" spans="1:11">
      <c r="A227" s="628"/>
      <c r="B227" s="560" t="s">
        <v>639</v>
      </c>
      <c r="C227" s="625"/>
      <c r="D227" s="556"/>
      <c r="E227" s="626"/>
      <c r="F227" s="556"/>
      <c r="G227" s="626"/>
      <c r="H227" s="627"/>
      <c r="I227" s="629"/>
      <c r="J227" s="556"/>
      <c r="K227" s="449"/>
    </row>
    <row r="228" spans="1:11">
      <c r="A228" s="628"/>
      <c r="B228" s="560"/>
      <c r="C228" s="625"/>
      <c r="D228" s="556"/>
      <c r="E228" s="626"/>
      <c r="F228" s="556"/>
      <c r="G228" s="626"/>
      <c r="H228" s="627"/>
      <c r="I228" s="629"/>
      <c r="J228" s="556"/>
      <c r="K228" s="449"/>
    </row>
    <row r="229" spans="1:11" ht="33.6" customHeight="1">
      <c r="A229" s="1221" t="s">
        <v>218</v>
      </c>
      <c r="B229" s="1221"/>
      <c r="C229" s="1221"/>
      <c r="D229" s="1221"/>
      <c r="E229" s="1221"/>
      <c r="F229" s="1221"/>
      <c r="G229" s="1221"/>
      <c r="H229" s="1221"/>
      <c r="I229" s="1221"/>
      <c r="J229" s="1221"/>
      <c r="K229" s="1221"/>
    </row>
    <row r="230" spans="1:11" ht="6.75" customHeight="1">
      <c r="A230" s="628"/>
      <c r="B230" s="435"/>
      <c r="C230" s="625"/>
      <c r="D230" s="556"/>
      <c r="E230" s="626"/>
      <c r="F230" s="556"/>
      <c r="G230" s="626"/>
      <c r="H230" s="627"/>
      <c r="I230" s="629"/>
      <c r="J230" s="556"/>
      <c r="K230" s="449"/>
    </row>
    <row r="231" spans="1:11" ht="24" customHeight="1">
      <c r="A231" s="1203" t="s">
        <v>724</v>
      </c>
      <c r="B231" s="1203" t="s">
        <v>534</v>
      </c>
      <c r="C231" s="1203" t="s">
        <v>535</v>
      </c>
      <c r="D231" s="1203" t="s">
        <v>556</v>
      </c>
      <c r="E231" s="1212" t="s">
        <v>539</v>
      </c>
      <c r="F231" s="1214"/>
      <c r="G231" s="1214"/>
      <c r="H231" s="1214"/>
      <c r="I231" s="1214"/>
      <c r="J231" s="1213"/>
      <c r="K231" s="1203" t="s">
        <v>226</v>
      </c>
    </row>
    <row r="232" spans="1:11" ht="42" customHeight="1">
      <c r="A232" s="1204"/>
      <c r="B232" s="1204"/>
      <c r="C232" s="1204"/>
      <c r="D232" s="1204"/>
      <c r="E232" s="1212" t="s">
        <v>540</v>
      </c>
      <c r="F232" s="1213"/>
      <c r="G232" s="1212" t="s">
        <v>140</v>
      </c>
      <c r="H232" s="1213"/>
      <c r="I232" s="1212" t="s">
        <v>570</v>
      </c>
      <c r="J232" s="1213"/>
      <c r="K232" s="1204"/>
    </row>
    <row r="233" spans="1:11" ht="23.25" customHeight="1">
      <c r="A233" s="1205"/>
      <c r="B233" s="1205"/>
      <c r="C233" s="1205"/>
      <c r="D233" s="1205"/>
      <c r="E233" s="630" t="s">
        <v>141</v>
      </c>
      <c r="F233" s="423" t="s">
        <v>268</v>
      </c>
      <c r="G233" s="630" t="s">
        <v>141</v>
      </c>
      <c r="H233" s="423" t="s">
        <v>268</v>
      </c>
      <c r="I233" s="630" t="s">
        <v>141</v>
      </c>
      <c r="J233" s="423" t="s">
        <v>268</v>
      </c>
      <c r="K233" s="1205"/>
    </row>
    <row r="234" spans="1:11" ht="18.95" customHeight="1">
      <c r="A234" s="578">
        <v>1</v>
      </c>
      <c r="B234" s="631" t="s">
        <v>918</v>
      </c>
      <c r="C234" s="632" t="s">
        <v>919</v>
      </c>
      <c r="D234" s="535">
        <f>'Bang gia'!K6</f>
        <v>5000</v>
      </c>
      <c r="E234" s="581">
        <v>8.0000000000000002E-3</v>
      </c>
      <c r="F234" s="580">
        <f>D234*E234</f>
        <v>40</v>
      </c>
      <c r="G234" s="673">
        <v>0.03</v>
      </c>
      <c r="H234" s="582">
        <f>D234*G234</f>
        <v>150</v>
      </c>
      <c r="I234" s="581"/>
      <c r="J234" s="583"/>
      <c r="K234" s="582">
        <f>F234+H234+J234</f>
        <v>190</v>
      </c>
    </row>
    <row r="235" spans="1:11" ht="18.95" customHeight="1">
      <c r="A235" s="533">
        <v>2</v>
      </c>
      <c r="B235" s="633" t="s">
        <v>920</v>
      </c>
      <c r="C235" s="634" t="s">
        <v>921</v>
      </c>
      <c r="D235" s="535">
        <f>'Bang gia'!K7</f>
        <v>2000</v>
      </c>
      <c r="E235" s="539"/>
      <c r="F235" s="535"/>
      <c r="G235" s="670">
        <v>3.0000000000000001E-3</v>
      </c>
      <c r="H235" s="538">
        <f>G235*D235</f>
        <v>6</v>
      </c>
      <c r="I235" s="539"/>
      <c r="J235" s="540"/>
      <c r="K235" s="541">
        <f>F235+H235+J235</f>
        <v>6</v>
      </c>
    </row>
    <row r="236" spans="1:11" ht="18.95" customHeight="1">
      <c r="A236" s="533">
        <v>3</v>
      </c>
      <c r="B236" s="633" t="s">
        <v>922</v>
      </c>
      <c r="C236" s="634" t="s">
        <v>921</v>
      </c>
      <c r="D236" s="535">
        <f>'Bang gia'!K8</f>
        <v>2000</v>
      </c>
      <c r="E236" s="539"/>
      <c r="F236" s="535"/>
      <c r="G236" s="670">
        <v>6.0000000000000001E-3</v>
      </c>
      <c r="H236" s="538">
        <f t="shared" ref="H236:H250" si="28">G236*D236</f>
        <v>12</v>
      </c>
      <c r="I236" s="539"/>
      <c r="J236" s="540"/>
      <c r="K236" s="541">
        <f t="shared" ref="K236:K249" si="29">F236+H236+J236</f>
        <v>12</v>
      </c>
    </row>
    <row r="237" spans="1:11" ht="18.95" customHeight="1">
      <c r="A237" s="533">
        <v>4</v>
      </c>
      <c r="B237" s="633" t="s">
        <v>923</v>
      </c>
      <c r="C237" s="634" t="s">
        <v>921</v>
      </c>
      <c r="D237" s="535">
        <f>'Bang gia'!K9</f>
        <v>1450000</v>
      </c>
      <c r="E237" s="539"/>
      <c r="F237" s="535"/>
      <c r="G237" s="670">
        <v>2E-3</v>
      </c>
      <c r="H237" s="538">
        <f t="shared" si="28"/>
        <v>2900</v>
      </c>
      <c r="I237" s="539"/>
      <c r="J237" s="540"/>
      <c r="K237" s="541">
        <f t="shared" si="29"/>
        <v>2900</v>
      </c>
    </row>
    <row r="238" spans="1:11" ht="18.95" customHeight="1">
      <c r="A238" s="533">
        <v>5</v>
      </c>
      <c r="B238" s="633" t="s">
        <v>924</v>
      </c>
      <c r="C238" s="634" t="s">
        <v>921</v>
      </c>
      <c r="D238" s="535">
        <f>'Bang gia'!K10</f>
        <v>300000</v>
      </c>
      <c r="E238" s="539"/>
      <c r="F238" s="535"/>
      <c r="G238" s="670">
        <v>2E-3</v>
      </c>
      <c r="H238" s="538">
        <f t="shared" si="28"/>
        <v>600</v>
      </c>
      <c r="I238" s="566"/>
      <c r="J238" s="540"/>
      <c r="K238" s="541">
        <f t="shared" si="29"/>
        <v>600</v>
      </c>
    </row>
    <row r="239" spans="1:11" ht="18.95" customHeight="1">
      <c r="A239" s="533">
        <v>6</v>
      </c>
      <c r="B239" s="633" t="s">
        <v>926</v>
      </c>
      <c r="C239" s="634" t="s">
        <v>921</v>
      </c>
      <c r="D239" s="535">
        <f>'Bang gia'!K11</f>
        <v>3350000</v>
      </c>
      <c r="E239" s="539"/>
      <c r="F239" s="535"/>
      <c r="G239" s="670">
        <v>0</v>
      </c>
      <c r="H239" s="538">
        <f t="shared" si="28"/>
        <v>0</v>
      </c>
      <c r="I239" s="566"/>
      <c r="J239" s="540"/>
      <c r="K239" s="541">
        <f t="shared" si="29"/>
        <v>0</v>
      </c>
    </row>
    <row r="240" spans="1:11" ht="18.95" customHeight="1">
      <c r="A240" s="533">
        <v>7</v>
      </c>
      <c r="B240" s="633" t="s">
        <v>927</v>
      </c>
      <c r="C240" s="634" t="s">
        <v>928</v>
      </c>
      <c r="D240" s="535">
        <f>'Bang gia'!K12</f>
        <v>300</v>
      </c>
      <c r="E240" s="539"/>
      <c r="F240" s="535"/>
      <c r="G240" s="670">
        <v>1</v>
      </c>
      <c r="H240" s="538">
        <f t="shared" si="28"/>
        <v>300</v>
      </c>
      <c r="I240" s="539"/>
      <c r="J240" s="540"/>
      <c r="K240" s="541">
        <f t="shared" si="29"/>
        <v>300</v>
      </c>
    </row>
    <row r="241" spans="1:11" ht="18.95" customHeight="1">
      <c r="A241" s="533">
        <v>8</v>
      </c>
      <c r="B241" s="633" t="s">
        <v>559</v>
      </c>
      <c r="C241" s="634" t="s">
        <v>929</v>
      </c>
      <c r="D241" s="535">
        <f>'Bang gia'!K13</f>
        <v>7000</v>
      </c>
      <c r="E241" s="539"/>
      <c r="F241" s="535"/>
      <c r="G241" s="670">
        <v>1</v>
      </c>
      <c r="H241" s="538">
        <f t="shared" si="28"/>
        <v>7000</v>
      </c>
      <c r="I241" s="539"/>
      <c r="J241" s="540"/>
      <c r="K241" s="541">
        <f t="shared" si="29"/>
        <v>7000</v>
      </c>
    </row>
    <row r="242" spans="1:11" ht="18.95" customHeight="1">
      <c r="A242" s="533">
        <v>9</v>
      </c>
      <c r="B242" s="633" t="s">
        <v>562</v>
      </c>
      <c r="C242" s="634" t="s">
        <v>928</v>
      </c>
      <c r="D242" s="535">
        <f>'Bang gia'!K14</f>
        <v>300</v>
      </c>
      <c r="E242" s="539"/>
      <c r="F242" s="535"/>
      <c r="G242" s="670">
        <v>1</v>
      </c>
      <c r="H242" s="538">
        <f t="shared" si="28"/>
        <v>300</v>
      </c>
      <c r="I242" s="539"/>
      <c r="J242" s="540"/>
      <c r="K242" s="541">
        <f t="shared" si="29"/>
        <v>300</v>
      </c>
    </row>
    <row r="243" spans="1:11" ht="18.95" customHeight="1">
      <c r="A243" s="533">
        <v>10</v>
      </c>
      <c r="B243" s="633" t="s">
        <v>930</v>
      </c>
      <c r="C243" s="634" t="s">
        <v>931</v>
      </c>
      <c r="D243" s="535">
        <f>'Bang gia'!K15</f>
        <v>45000</v>
      </c>
      <c r="E243" s="539">
        <v>8.9999999999999993E-3</v>
      </c>
      <c r="F243" s="535">
        <f>D243*E243</f>
        <v>404.99999999999994</v>
      </c>
      <c r="G243" s="670">
        <v>6.2E-2</v>
      </c>
      <c r="H243" s="538">
        <f t="shared" si="28"/>
        <v>2790</v>
      </c>
      <c r="I243" s="539"/>
      <c r="J243" s="540"/>
      <c r="K243" s="541">
        <f t="shared" si="29"/>
        <v>3195</v>
      </c>
    </row>
    <row r="244" spans="1:11" ht="18.95" customHeight="1">
      <c r="A244" s="533">
        <v>11</v>
      </c>
      <c r="B244" s="633" t="s">
        <v>932</v>
      </c>
      <c r="C244" s="634" t="s">
        <v>931</v>
      </c>
      <c r="D244" s="535">
        <f>'Bang gia'!K16</f>
        <v>90000</v>
      </c>
      <c r="E244" s="539"/>
      <c r="F244" s="535"/>
      <c r="G244" s="670">
        <v>4.0000000000000001E-3</v>
      </c>
      <c r="H244" s="538">
        <f t="shared" si="28"/>
        <v>360</v>
      </c>
      <c r="I244" s="566"/>
      <c r="J244" s="540"/>
      <c r="K244" s="541">
        <f t="shared" si="29"/>
        <v>360</v>
      </c>
    </row>
    <row r="245" spans="1:11" ht="18.95" customHeight="1">
      <c r="A245" s="533">
        <v>12</v>
      </c>
      <c r="B245" s="633" t="s">
        <v>933</v>
      </c>
      <c r="C245" s="634" t="s">
        <v>934</v>
      </c>
      <c r="D245" s="535">
        <f>'Bang gia'!K17</f>
        <v>25000</v>
      </c>
      <c r="E245" s="539"/>
      <c r="F245" s="535"/>
      <c r="G245" s="670">
        <v>4.0000000000000001E-3</v>
      </c>
      <c r="H245" s="538">
        <f t="shared" si="28"/>
        <v>100</v>
      </c>
      <c r="I245" s="566"/>
      <c r="J245" s="540"/>
      <c r="K245" s="541">
        <f t="shared" si="29"/>
        <v>100</v>
      </c>
    </row>
    <row r="246" spans="1:11" ht="18.95" customHeight="1">
      <c r="A246" s="533">
        <v>13</v>
      </c>
      <c r="B246" s="635" t="s">
        <v>935</v>
      </c>
      <c r="C246" s="636" t="s">
        <v>143</v>
      </c>
      <c r="D246" s="535">
        <f>'Bang gia'!K18</f>
        <v>2500</v>
      </c>
      <c r="E246" s="539">
        <v>1.4999999999999999E-2</v>
      </c>
      <c r="F246" s="535">
        <f>D246*E246</f>
        <v>37.5</v>
      </c>
      <c r="G246" s="670">
        <v>0.06</v>
      </c>
      <c r="H246" s="538">
        <f t="shared" si="28"/>
        <v>150</v>
      </c>
      <c r="I246" s="539"/>
      <c r="J246" s="540"/>
      <c r="K246" s="541">
        <f t="shared" si="29"/>
        <v>187.5</v>
      </c>
    </row>
    <row r="247" spans="1:11" ht="18.95" customHeight="1">
      <c r="A247" s="533">
        <v>14</v>
      </c>
      <c r="B247" s="635" t="s">
        <v>936</v>
      </c>
      <c r="C247" s="636" t="s">
        <v>919</v>
      </c>
      <c r="D247" s="535">
        <f>'Bang gia'!K19</f>
        <v>18000</v>
      </c>
      <c r="E247" s="539">
        <v>8.0000000000000002E-3</v>
      </c>
      <c r="F247" s="535">
        <f>D247*E247</f>
        <v>144</v>
      </c>
      <c r="G247" s="670">
        <v>0.02</v>
      </c>
      <c r="H247" s="538">
        <f t="shared" si="28"/>
        <v>360</v>
      </c>
      <c r="I247" s="539"/>
      <c r="J247" s="540"/>
      <c r="K247" s="541">
        <f t="shared" si="29"/>
        <v>504</v>
      </c>
    </row>
    <row r="248" spans="1:11" ht="18.95" customHeight="1">
      <c r="A248" s="533">
        <v>15</v>
      </c>
      <c r="B248" s="635" t="s">
        <v>937</v>
      </c>
      <c r="C248" s="636" t="s">
        <v>919</v>
      </c>
      <c r="D248" s="535">
        <f>'Bang gia'!K20</f>
        <v>15000</v>
      </c>
      <c r="E248" s="539"/>
      <c r="F248" s="535"/>
      <c r="G248" s="670">
        <v>5.0000000000000001E-3</v>
      </c>
      <c r="H248" s="538">
        <f t="shared" si="28"/>
        <v>75</v>
      </c>
      <c r="I248" s="539"/>
      <c r="J248" s="540"/>
      <c r="K248" s="541">
        <f t="shared" si="29"/>
        <v>75</v>
      </c>
    </row>
    <row r="249" spans="1:11" ht="18.95" customHeight="1">
      <c r="A249" s="533">
        <v>16</v>
      </c>
      <c r="B249" s="635" t="s">
        <v>560</v>
      </c>
      <c r="C249" s="637" t="s">
        <v>941</v>
      </c>
      <c r="D249" s="535">
        <f>'Bang gia'!K27</f>
        <v>10000</v>
      </c>
      <c r="E249" s="638"/>
      <c r="F249" s="535"/>
      <c r="G249" s="674">
        <v>5.0000000000000001E-3</v>
      </c>
      <c r="H249" s="538">
        <f t="shared" si="28"/>
        <v>50</v>
      </c>
      <c r="I249" s="638"/>
      <c r="J249" s="540"/>
      <c r="K249" s="541">
        <f t="shared" si="29"/>
        <v>50</v>
      </c>
    </row>
    <row r="250" spans="1:11" ht="18.95" customHeight="1">
      <c r="A250" s="641">
        <v>17</v>
      </c>
      <c r="B250" s="635" t="s">
        <v>942</v>
      </c>
      <c r="C250" s="642" t="s">
        <v>928</v>
      </c>
      <c r="D250" s="643">
        <f>'Bang gia'!K23</f>
        <v>1500</v>
      </c>
      <c r="E250" s="638"/>
      <c r="F250" s="643"/>
      <c r="G250" s="674">
        <v>1</v>
      </c>
      <c r="H250" s="538">
        <f t="shared" si="28"/>
        <v>1500</v>
      </c>
      <c r="I250" s="638"/>
      <c r="J250" s="645"/>
      <c r="K250" s="646">
        <f>J250+H250+F250</f>
        <v>1500</v>
      </c>
    </row>
    <row r="251" spans="1:11" ht="18.95" customHeight="1">
      <c r="A251" s="652"/>
      <c r="B251" s="653" t="s">
        <v>146</v>
      </c>
      <c r="C251" s="577"/>
      <c r="D251" s="577"/>
      <c r="E251" s="576"/>
      <c r="F251" s="577">
        <f>SUM(F234:F250)</f>
        <v>626.5</v>
      </c>
      <c r="G251" s="654"/>
      <c r="H251" s="655">
        <f>SUM(H234:H250)</f>
        <v>16653</v>
      </c>
      <c r="I251" s="576"/>
      <c r="J251" s="546"/>
      <c r="K251" s="546">
        <f>SUM(K234:K250)</f>
        <v>17279.5</v>
      </c>
    </row>
    <row r="252" spans="1:11" ht="18.95" customHeight="1">
      <c r="A252" s="652"/>
      <c r="B252" s="653" t="s">
        <v>147</v>
      </c>
      <c r="C252" s="577"/>
      <c r="D252" s="577"/>
      <c r="E252" s="576"/>
      <c r="F252" s="577">
        <f>F251*8%</f>
        <v>50.120000000000005</v>
      </c>
      <c r="G252" s="656"/>
      <c r="H252" s="655">
        <f>H251*8%</f>
        <v>1332.24</v>
      </c>
      <c r="I252" s="654"/>
      <c r="J252" s="655"/>
      <c r="K252" s="655">
        <f>K251*8%</f>
        <v>1382.3600000000001</v>
      </c>
    </row>
    <row r="253" spans="1:11" ht="18.95" customHeight="1">
      <c r="A253" s="657"/>
      <c r="B253" s="543" t="s">
        <v>546</v>
      </c>
      <c r="C253" s="657"/>
      <c r="D253" s="657"/>
      <c r="E253" s="658"/>
      <c r="F253" s="544">
        <f>F251+F252</f>
        <v>676.62</v>
      </c>
      <c r="G253" s="544"/>
      <c r="H253" s="544">
        <f>H251+H252</f>
        <v>17985.240000000002</v>
      </c>
      <c r="I253" s="654"/>
      <c r="J253" s="655"/>
      <c r="K253" s="655">
        <f>F253+H253+J253</f>
        <v>18661.86</v>
      </c>
    </row>
    <row r="254" spans="1:11">
      <c r="A254" s="628"/>
      <c r="B254" s="435"/>
      <c r="C254" s="625"/>
      <c r="D254" s="556"/>
      <c r="E254" s="626"/>
      <c r="F254" s="556"/>
      <c r="G254" s="626"/>
      <c r="H254" s="627"/>
      <c r="I254" s="629"/>
      <c r="J254" s="556"/>
      <c r="K254" s="449"/>
    </row>
    <row r="255" spans="1:11">
      <c r="A255" s="663"/>
      <c r="B255" s="554" t="s">
        <v>550</v>
      </c>
      <c r="C255" s="558"/>
      <c r="D255" s="556"/>
      <c r="E255" s="626"/>
      <c r="F255" s="556"/>
      <c r="G255" s="626"/>
      <c r="H255" s="627"/>
      <c r="I255" s="629"/>
      <c r="J255" s="556"/>
      <c r="K255" s="449"/>
    </row>
    <row r="256" spans="1:11">
      <c r="A256" s="561"/>
      <c r="B256" s="560" t="s">
        <v>168</v>
      </c>
      <c r="C256" s="625"/>
      <c r="D256" s="556"/>
      <c r="E256" s="626"/>
      <c r="F256" s="556"/>
      <c r="G256" s="626"/>
      <c r="H256" s="627"/>
      <c r="I256" s="629"/>
      <c r="J256" s="556"/>
      <c r="K256" s="449"/>
    </row>
    <row r="257" spans="1:11" ht="21" customHeight="1">
      <c r="A257" s="628"/>
      <c r="B257" s="560"/>
      <c r="C257" s="625"/>
      <c r="D257" s="556"/>
      <c r="E257" s="626"/>
      <c r="F257" s="556"/>
      <c r="G257" s="626"/>
      <c r="H257" s="627"/>
      <c r="I257" s="629"/>
      <c r="J257" s="556"/>
      <c r="K257" s="449"/>
    </row>
    <row r="258" spans="1:11">
      <c r="A258" s="409"/>
      <c r="B258" s="409"/>
      <c r="C258" s="409"/>
    </row>
    <row r="259" spans="1:11" ht="28.15" customHeight="1">
      <c r="A259" s="1221" t="s">
        <v>219</v>
      </c>
      <c r="B259" s="1221"/>
      <c r="C259" s="1221"/>
      <c r="D259" s="1221"/>
      <c r="E259" s="1221"/>
      <c r="F259" s="1221"/>
      <c r="G259" s="1221"/>
      <c r="H259" s="1221"/>
      <c r="I259" s="1221"/>
      <c r="J259" s="1221"/>
      <c r="K259" s="1221"/>
    </row>
    <row r="260" spans="1:11" ht="8.25" customHeight="1">
      <c r="A260" s="628"/>
      <c r="B260" s="435"/>
      <c r="C260" s="625"/>
      <c r="D260" s="556"/>
      <c r="E260" s="626"/>
      <c r="F260" s="556"/>
      <c r="G260" s="626"/>
      <c r="H260" s="627"/>
      <c r="I260" s="629"/>
      <c r="J260" s="556"/>
      <c r="K260" s="449"/>
    </row>
    <row r="261" spans="1:11" ht="18.75" customHeight="1">
      <c r="A261" s="1203" t="s">
        <v>724</v>
      </c>
      <c r="B261" s="1203" t="s">
        <v>534</v>
      </c>
      <c r="C261" s="1203" t="s">
        <v>535</v>
      </c>
      <c r="D261" s="1203" t="s">
        <v>556</v>
      </c>
      <c r="E261" s="1212" t="s">
        <v>539</v>
      </c>
      <c r="F261" s="1214"/>
      <c r="G261" s="1214"/>
      <c r="H261" s="1214"/>
      <c r="I261" s="1214"/>
      <c r="J261" s="1213"/>
      <c r="K261" s="1203" t="s">
        <v>226</v>
      </c>
    </row>
    <row r="262" spans="1:11" ht="41.25" customHeight="1">
      <c r="A262" s="1204"/>
      <c r="B262" s="1204"/>
      <c r="C262" s="1204"/>
      <c r="D262" s="1204"/>
      <c r="E262" s="1212" t="s">
        <v>164</v>
      </c>
      <c r="F262" s="1213"/>
      <c r="G262" s="1212" t="s">
        <v>561</v>
      </c>
      <c r="H262" s="1213"/>
      <c r="I262" s="1212" t="s">
        <v>542</v>
      </c>
      <c r="J262" s="1213"/>
      <c r="K262" s="1204"/>
    </row>
    <row r="263" spans="1:11" ht="19.5" customHeight="1">
      <c r="A263" s="1205"/>
      <c r="B263" s="1205"/>
      <c r="C263" s="1205"/>
      <c r="D263" s="1205"/>
      <c r="E263" s="630" t="s">
        <v>141</v>
      </c>
      <c r="F263" s="423" t="s">
        <v>268</v>
      </c>
      <c r="G263" s="630" t="s">
        <v>141</v>
      </c>
      <c r="H263" s="423" t="s">
        <v>268</v>
      </c>
      <c r="I263" s="630" t="s">
        <v>141</v>
      </c>
      <c r="J263" s="423" t="s">
        <v>268</v>
      </c>
      <c r="K263" s="1205"/>
    </row>
    <row r="264" spans="1:11" ht="21" customHeight="1">
      <c r="A264" s="578">
        <v>1</v>
      </c>
      <c r="B264" s="631" t="s">
        <v>918</v>
      </c>
      <c r="C264" s="632" t="s">
        <v>919</v>
      </c>
      <c r="D264" s="535">
        <f>'Bang gia'!K6</f>
        <v>5000</v>
      </c>
      <c r="E264" s="581">
        <v>0.01</v>
      </c>
      <c r="F264" s="580">
        <f>E264*D264</f>
        <v>50</v>
      </c>
      <c r="G264" s="581"/>
      <c r="H264" s="582"/>
      <c r="I264" s="673">
        <v>0.04</v>
      </c>
      <c r="J264" s="583">
        <f>D264*I264</f>
        <v>200</v>
      </c>
      <c r="K264" s="582">
        <f>F264+H264+J264</f>
        <v>250</v>
      </c>
    </row>
    <row r="265" spans="1:11" ht="21" customHeight="1">
      <c r="A265" s="533">
        <v>2</v>
      </c>
      <c r="B265" s="633" t="s">
        <v>920</v>
      </c>
      <c r="C265" s="634" t="s">
        <v>921</v>
      </c>
      <c r="D265" s="535">
        <f>'Bang gia'!K7</f>
        <v>2000</v>
      </c>
      <c r="E265" s="539"/>
      <c r="F265" s="535">
        <f>D265*E265</f>
        <v>0</v>
      </c>
      <c r="G265" s="537"/>
      <c r="H265" s="538"/>
      <c r="I265" s="566">
        <v>4.0000000000000001E-3</v>
      </c>
      <c r="J265" s="540">
        <f>D265*I265</f>
        <v>8</v>
      </c>
      <c r="K265" s="541">
        <f>F265+H265+J265</f>
        <v>8</v>
      </c>
    </row>
    <row r="266" spans="1:11" ht="21" customHeight="1">
      <c r="A266" s="533">
        <v>3</v>
      </c>
      <c r="B266" s="633" t="s">
        <v>922</v>
      </c>
      <c r="C266" s="634" t="s">
        <v>921</v>
      </c>
      <c r="D266" s="535">
        <f>'Bang gia'!K8</f>
        <v>2000</v>
      </c>
      <c r="E266" s="539"/>
      <c r="F266" s="535"/>
      <c r="G266" s="537"/>
      <c r="H266" s="538"/>
      <c r="I266" s="566">
        <v>8.0000000000000002E-3</v>
      </c>
      <c r="J266" s="540">
        <f t="shared" ref="J266:J279" si="30">D266*I266</f>
        <v>16</v>
      </c>
      <c r="K266" s="541">
        <f t="shared" ref="K266:K280" si="31">F266+H266+J266</f>
        <v>16</v>
      </c>
    </row>
    <row r="267" spans="1:11" ht="21" customHeight="1">
      <c r="A267" s="533">
        <v>4</v>
      </c>
      <c r="B267" s="633" t="s">
        <v>923</v>
      </c>
      <c r="C267" s="634" t="s">
        <v>921</v>
      </c>
      <c r="D267" s="535">
        <f>'Bang gia'!K9</f>
        <v>1450000</v>
      </c>
      <c r="E267" s="539"/>
      <c r="F267" s="535"/>
      <c r="G267" s="537"/>
      <c r="H267" s="538"/>
      <c r="I267" s="566">
        <v>2E-3</v>
      </c>
      <c r="J267" s="540">
        <f t="shared" si="30"/>
        <v>2900</v>
      </c>
      <c r="K267" s="541">
        <f t="shared" si="31"/>
        <v>2900</v>
      </c>
    </row>
    <row r="268" spans="1:11" ht="21" customHeight="1">
      <c r="A268" s="533">
        <v>5</v>
      </c>
      <c r="B268" s="633" t="s">
        <v>924</v>
      </c>
      <c r="C268" s="634" t="s">
        <v>921</v>
      </c>
      <c r="D268" s="535">
        <f>'Bang gia'!K10</f>
        <v>300000</v>
      </c>
      <c r="E268" s="539"/>
      <c r="F268" s="535"/>
      <c r="G268" s="537"/>
      <c r="H268" s="538"/>
      <c r="I268" s="566">
        <v>3.0000000000000001E-3</v>
      </c>
      <c r="J268" s="540">
        <f t="shared" si="30"/>
        <v>900</v>
      </c>
      <c r="K268" s="541">
        <f t="shared" si="31"/>
        <v>900</v>
      </c>
    </row>
    <row r="269" spans="1:11" ht="21" customHeight="1">
      <c r="A269" s="533">
        <v>6</v>
      </c>
      <c r="B269" s="633" t="s">
        <v>926</v>
      </c>
      <c r="C269" s="634" t="s">
        <v>921</v>
      </c>
      <c r="D269" s="535">
        <f>'Bang gia'!K11</f>
        <v>3350000</v>
      </c>
      <c r="E269" s="539"/>
      <c r="F269" s="535"/>
      <c r="G269" s="537"/>
      <c r="H269" s="538"/>
      <c r="I269" s="566">
        <v>1E-3</v>
      </c>
      <c r="J269" s="540">
        <f t="shared" si="30"/>
        <v>3350</v>
      </c>
      <c r="K269" s="541">
        <f t="shared" si="31"/>
        <v>3350</v>
      </c>
    </row>
    <row r="270" spans="1:11" ht="21" customHeight="1">
      <c r="A270" s="533">
        <v>7</v>
      </c>
      <c r="B270" s="633" t="s">
        <v>927</v>
      </c>
      <c r="C270" s="634" t="s">
        <v>928</v>
      </c>
      <c r="D270" s="535">
        <f>'Bang gia'!K12</f>
        <v>300</v>
      </c>
      <c r="E270" s="539"/>
      <c r="F270" s="535"/>
      <c r="G270" s="537"/>
      <c r="H270" s="538"/>
      <c r="I270" s="566">
        <v>1</v>
      </c>
      <c r="J270" s="540">
        <f t="shared" si="30"/>
        <v>300</v>
      </c>
      <c r="K270" s="541">
        <f t="shared" si="31"/>
        <v>300</v>
      </c>
    </row>
    <row r="271" spans="1:11" ht="21" customHeight="1">
      <c r="A271" s="533">
        <v>8</v>
      </c>
      <c r="B271" s="633" t="s">
        <v>559</v>
      </c>
      <c r="C271" s="634" t="s">
        <v>929</v>
      </c>
      <c r="D271" s="535">
        <f>'Bang gia'!K13</f>
        <v>7000</v>
      </c>
      <c r="E271" s="539"/>
      <c r="F271" s="535"/>
      <c r="G271" s="537"/>
      <c r="H271" s="538"/>
      <c r="I271" s="566">
        <v>1</v>
      </c>
      <c r="J271" s="540">
        <f t="shared" si="30"/>
        <v>7000</v>
      </c>
      <c r="K271" s="541">
        <f t="shared" si="31"/>
        <v>7000</v>
      </c>
    </row>
    <row r="272" spans="1:11" ht="21" customHeight="1">
      <c r="A272" s="533">
        <v>9</v>
      </c>
      <c r="B272" s="633" t="s">
        <v>562</v>
      </c>
      <c r="C272" s="634" t="s">
        <v>928</v>
      </c>
      <c r="D272" s="535">
        <f>'Bang gia'!K26</f>
        <v>300</v>
      </c>
      <c r="E272" s="539"/>
      <c r="F272" s="535">
        <f>D272*E272</f>
        <v>0</v>
      </c>
      <c r="G272" s="537"/>
      <c r="H272" s="538"/>
      <c r="I272" s="566">
        <v>1</v>
      </c>
      <c r="J272" s="540">
        <f t="shared" si="30"/>
        <v>300</v>
      </c>
      <c r="K272" s="541">
        <f t="shared" si="31"/>
        <v>300</v>
      </c>
    </row>
    <row r="273" spans="1:11" ht="21" customHeight="1">
      <c r="A273" s="533">
        <v>10</v>
      </c>
      <c r="B273" s="633" t="s">
        <v>930</v>
      </c>
      <c r="C273" s="634" t="s">
        <v>931</v>
      </c>
      <c r="D273" s="535">
        <f>'Bang gia'!K15</f>
        <v>45000</v>
      </c>
      <c r="E273" s="539">
        <v>1.2E-2</v>
      </c>
      <c r="F273" s="535">
        <f>D273*E273</f>
        <v>540</v>
      </c>
      <c r="G273" s="537"/>
      <c r="H273" s="538"/>
      <c r="I273" s="566">
        <v>8.2000000000000003E-2</v>
      </c>
      <c r="J273" s="540">
        <f t="shared" si="30"/>
        <v>3690</v>
      </c>
      <c r="K273" s="541">
        <f t="shared" si="31"/>
        <v>4230</v>
      </c>
    </row>
    <row r="274" spans="1:11" ht="21" customHeight="1">
      <c r="A274" s="533">
        <v>11</v>
      </c>
      <c r="B274" s="633" t="s">
        <v>932</v>
      </c>
      <c r="C274" s="634" t="s">
        <v>931</v>
      </c>
      <c r="D274" s="535">
        <f>'Bang gia'!K16</f>
        <v>90000</v>
      </c>
      <c r="E274" s="539"/>
      <c r="F274" s="535"/>
      <c r="G274" s="537"/>
      <c r="H274" s="538"/>
      <c r="I274" s="566">
        <v>5.0000000000000001E-3</v>
      </c>
      <c r="J274" s="540">
        <f t="shared" si="30"/>
        <v>450</v>
      </c>
      <c r="K274" s="541">
        <f t="shared" si="31"/>
        <v>450</v>
      </c>
    </row>
    <row r="275" spans="1:11" ht="21" customHeight="1">
      <c r="A275" s="533">
        <v>12</v>
      </c>
      <c r="B275" s="633" t="s">
        <v>933</v>
      </c>
      <c r="C275" s="634" t="s">
        <v>934</v>
      </c>
      <c r="D275" s="535">
        <f>'Bang gia'!K17</f>
        <v>25000</v>
      </c>
      <c r="E275" s="539"/>
      <c r="F275" s="535"/>
      <c r="G275" s="537"/>
      <c r="H275" s="538"/>
      <c r="I275" s="566">
        <v>5.0000000000000001E-3</v>
      </c>
      <c r="J275" s="540">
        <f t="shared" si="30"/>
        <v>125</v>
      </c>
      <c r="K275" s="541">
        <f t="shared" si="31"/>
        <v>125</v>
      </c>
    </row>
    <row r="276" spans="1:11" ht="21" customHeight="1">
      <c r="A276" s="533">
        <v>13</v>
      </c>
      <c r="B276" s="635" t="s">
        <v>935</v>
      </c>
      <c r="C276" s="636" t="s">
        <v>143</v>
      </c>
      <c r="D276" s="535">
        <f>'Bang gia'!K18</f>
        <v>2500</v>
      </c>
      <c r="E276" s="539">
        <v>0.02</v>
      </c>
      <c r="F276" s="535">
        <f>D276*E276</f>
        <v>50</v>
      </c>
      <c r="G276" s="537"/>
      <c r="H276" s="538"/>
      <c r="I276" s="566">
        <v>0.08</v>
      </c>
      <c r="J276" s="540">
        <f t="shared" si="30"/>
        <v>200</v>
      </c>
      <c r="K276" s="541">
        <f t="shared" si="31"/>
        <v>250</v>
      </c>
    </row>
    <row r="277" spans="1:11" ht="21" customHeight="1">
      <c r="A277" s="533">
        <v>14</v>
      </c>
      <c r="B277" s="635" t="s">
        <v>936</v>
      </c>
      <c r="C277" s="636" t="s">
        <v>919</v>
      </c>
      <c r="D277" s="535">
        <f>'Bang gia'!K19</f>
        <v>18000</v>
      </c>
      <c r="E277" s="539">
        <v>0.01</v>
      </c>
      <c r="F277" s="535">
        <f>D277*E277</f>
        <v>180</v>
      </c>
      <c r="G277" s="537"/>
      <c r="H277" s="538"/>
      <c r="I277" s="566">
        <v>2.5999999999999999E-2</v>
      </c>
      <c r="J277" s="540">
        <f t="shared" si="30"/>
        <v>468</v>
      </c>
      <c r="K277" s="541">
        <f t="shared" si="31"/>
        <v>648</v>
      </c>
    </row>
    <row r="278" spans="1:11" ht="21" customHeight="1">
      <c r="A278" s="533">
        <v>15</v>
      </c>
      <c r="B278" s="635" t="s">
        <v>937</v>
      </c>
      <c r="C278" s="636" t="s">
        <v>919</v>
      </c>
      <c r="D278" s="535">
        <f>'Bang gia'!K20</f>
        <v>15000</v>
      </c>
      <c r="E278" s="539"/>
      <c r="F278" s="535">
        <f>D278*E278</f>
        <v>0</v>
      </c>
      <c r="G278" s="537"/>
      <c r="H278" s="538"/>
      <c r="I278" s="566">
        <v>6.0000000000000001E-3</v>
      </c>
      <c r="J278" s="540">
        <f t="shared" si="30"/>
        <v>90</v>
      </c>
      <c r="K278" s="541">
        <f t="shared" si="31"/>
        <v>90</v>
      </c>
    </row>
    <row r="279" spans="1:11" ht="21" customHeight="1">
      <c r="A279" s="533">
        <v>16</v>
      </c>
      <c r="B279" s="635" t="s">
        <v>560</v>
      </c>
      <c r="C279" s="637" t="s">
        <v>941</v>
      </c>
      <c r="D279" s="535">
        <f>'Bang gia'!K27</f>
        <v>10000</v>
      </c>
      <c r="E279" s="638"/>
      <c r="F279" s="535"/>
      <c r="G279" s="639"/>
      <c r="H279" s="538"/>
      <c r="I279" s="675">
        <v>6.0000000000000001E-3</v>
      </c>
      <c r="J279" s="540">
        <f t="shared" si="30"/>
        <v>60</v>
      </c>
      <c r="K279" s="541">
        <f t="shared" si="31"/>
        <v>60</v>
      </c>
    </row>
    <row r="280" spans="1:11" ht="21" customHeight="1">
      <c r="A280" s="641">
        <v>17</v>
      </c>
      <c r="B280" s="635" t="s">
        <v>942</v>
      </c>
      <c r="C280" s="642" t="s">
        <v>928</v>
      </c>
      <c r="D280" s="643">
        <f>'Bang gia'!K23</f>
        <v>1500</v>
      </c>
      <c r="E280" s="638"/>
      <c r="F280" s="643"/>
      <c r="G280" s="639"/>
      <c r="H280" s="644"/>
      <c r="I280" s="675">
        <v>1</v>
      </c>
      <c r="J280" s="645">
        <f>D280*I280</f>
        <v>1500</v>
      </c>
      <c r="K280" s="646">
        <f t="shared" si="31"/>
        <v>1500</v>
      </c>
    </row>
    <row r="281" spans="1:11" ht="21" customHeight="1">
      <c r="A281" s="652"/>
      <c r="B281" s="653" t="s">
        <v>146</v>
      </c>
      <c r="C281" s="577"/>
      <c r="D281" s="577"/>
      <c r="E281" s="576"/>
      <c r="F281" s="577">
        <f>SUM(F264:F280)</f>
        <v>820</v>
      </c>
      <c r="G281" s="654"/>
      <c r="H281" s="655"/>
      <c r="I281" s="576"/>
      <c r="J281" s="546">
        <f>SUM(J264:J280)</f>
        <v>21557</v>
      </c>
      <c r="K281" s="546">
        <f>SUM(K264:K280)</f>
        <v>22377</v>
      </c>
    </row>
    <row r="282" spans="1:11" ht="21" customHeight="1">
      <c r="A282" s="652"/>
      <c r="B282" s="653" t="s">
        <v>147</v>
      </c>
      <c r="C282" s="577"/>
      <c r="D282" s="577"/>
      <c r="E282" s="576"/>
      <c r="F282" s="577">
        <f>F281*8%</f>
        <v>65.599999999999994</v>
      </c>
      <c r="G282" s="656"/>
      <c r="H282" s="655"/>
      <c r="I282" s="654"/>
      <c r="J282" s="655">
        <f>J281*8%</f>
        <v>1724.56</v>
      </c>
      <c r="K282" s="655">
        <f>K281*8%</f>
        <v>1790.16</v>
      </c>
    </row>
    <row r="283" spans="1:11" ht="21" customHeight="1">
      <c r="A283" s="657"/>
      <c r="B283" s="543" t="s">
        <v>546</v>
      </c>
      <c r="C283" s="657"/>
      <c r="D283" s="657"/>
      <c r="E283" s="658"/>
      <c r="F283" s="577">
        <f>F281+F282</f>
        <v>885.6</v>
      </c>
      <c r="G283" s="656"/>
      <c r="H283" s="655"/>
      <c r="I283" s="654"/>
      <c r="J283" s="655">
        <f>J281+J282</f>
        <v>23281.56</v>
      </c>
      <c r="K283" s="655">
        <f>K281+K282</f>
        <v>24167.16</v>
      </c>
    </row>
    <row r="284" spans="1:11" ht="7.5" customHeight="1">
      <c r="A284" s="409"/>
      <c r="B284" s="409"/>
      <c r="C284" s="409"/>
    </row>
    <row r="285" spans="1:11">
      <c r="A285" s="663"/>
      <c r="B285" s="554" t="s">
        <v>550</v>
      </c>
      <c r="C285" s="409"/>
    </row>
    <row r="286" spans="1:11">
      <c r="A286" s="561"/>
      <c r="B286" s="560" t="s">
        <v>640</v>
      </c>
      <c r="C286" s="409"/>
    </row>
    <row r="287" spans="1:11">
      <c r="A287" s="628"/>
      <c r="B287" s="560"/>
      <c r="C287" s="409"/>
    </row>
    <row r="288" spans="1:11" ht="30" customHeight="1">
      <c r="A288" s="1221" t="s">
        <v>220</v>
      </c>
      <c r="B288" s="1221"/>
      <c r="C288" s="1221"/>
      <c r="D288" s="1221"/>
      <c r="E288" s="1221"/>
      <c r="F288" s="1221"/>
      <c r="G288" s="1221"/>
      <c r="H288" s="1221"/>
      <c r="I288" s="1221"/>
      <c r="J288" s="1221"/>
      <c r="K288" s="1221"/>
    </row>
    <row r="289" spans="1:11" ht="9" customHeight="1">
      <c r="A289" s="628"/>
      <c r="B289" s="435"/>
      <c r="C289" s="625"/>
      <c r="D289" s="556"/>
      <c r="E289" s="626"/>
      <c r="F289" s="556"/>
      <c r="G289" s="626"/>
      <c r="H289" s="627"/>
      <c r="I289" s="629"/>
      <c r="J289" s="556"/>
      <c r="K289" s="449"/>
    </row>
    <row r="290" spans="1:11" ht="24.6" customHeight="1">
      <c r="A290" s="1203" t="s">
        <v>724</v>
      </c>
      <c r="B290" s="1203" t="s">
        <v>534</v>
      </c>
      <c r="C290" s="1203" t="s">
        <v>535</v>
      </c>
      <c r="D290" s="1203" t="s">
        <v>556</v>
      </c>
      <c r="E290" s="1212" t="s">
        <v>539</v>
      </c>
      <c r="F290" s="1214"/>
      <c r="G290" s="1214"/>
      <c r="H290" s="1214"/>
      <c r="I290" s="1214"/>
      <c r="J290" s="1213"/>
      <c r="K290" s="1203" t="s">
        <v>226</v>
      </c>
    </row>
    <row r="291" spans="1:11" ht="42" customHeight="1">
      <c r="A291" s="1204"/>
      <c r="B291" s="1204"/>
      <c r="C291" s="1204"/>
      <c r="D291" s="1204"/>
      <c r="E291" s="1212" t="s">
        <v>164</v>
      </c>
      <c r="F291" s="1213"/>
      <c r="G291" s="1212" t="s">
        <v>561</v>
      </c>
      <c r="H291" s="1213"/>
      <c r="I291" s="1212" t="s">
        <v>542</v>
      </c>
      <c r="J291" s="1213"/>
      <c r="K291" s="1204"/>
    </row>
    <row r="292" spans="1:11" ht="19.5" customHeight="1">
      <c r="A292" s="1205"/>
      <c r="B292" s="1205"/>
      <c r="C292" s="1205"/>
      <c r="D292" s="1205"/>
      <c r="E292" s="630" t="s">
        <v>141</v>
      </c>
      <c r="F292" s="423" t="s">
        <v>268</v>
      </c>
      <c r="G292" s="630" t="s">
        <v>141</v>
      </c>
      <c r="H292" s="423" t="s">
        <v>268</v>
      </c>
      <c r="I292" s="630" t="s">
        <v>141</v>
      </c>
      <c r="J292" s="423" t="s">
        <v>268</v>
      </c>
      <c r="K292" s="1205"/>
    </row>
    <row r="293" spans="1:11" ht="20.45" customHeight="1">
      <c r="A293" s="578">
        <v>1</v>
      </c>
      <c r="B293" s="631" t="s">
        <v>918</v>
      </c>
      <c r="C293" s="632" t="s">
        <v>919</v>
      </c>
      <c r="D293" s="535">
        <f>'Bang gia'!K6</f>
        <v>5000</v>
      </c>
      <c r="E293" s="581">
        <v>2E-3</v>
      </c>
      <c r="F293" s="580">
        <f>E293*D293</f>
        <v>10</v>
      </c>
      <c r="G293" s="581">
        <v>8.0000000000000002E-3</v>
      </c>
      <c r="H293" s="582">
        <f>D293*G293</f>
        <v>40</v>
      </c>
      <c r="I293" s="581"/>
      <c r="J293" s="583"/>
      <c r="K293" s="582">
        <f>F293+H293+J293</f>
        <v>50</v>
      </c>
    </row>
    <row r="294" spans="1:11" ht="20.45" customHeight="1">
      <c r="A294" s="533">
        <v>2</v>
      </c>
      <c r="B294" s="633" t="s">
        <v>920</v>
      </c>
      <c r="C294" s="634" t="s">
        <v>921</v>
      </c>
      <c r="D294" s="535">
        <f>'Bang gia'!K7</f>
        <v>2000</v>
      </c>
      <c r="E294" s="539">
        <v>0.02</v>
      </c>
      <c r="F294" s="535">
        <f>D294*E294</f>
        <v>40</v>
      </c>
      <c r="G294" s="537">
        <v>1.7999999999999999E-2</v>
      </c>
      <c r="H294" s="538">
        <f>D294*G294</f>
        <v>36</v>
      </c>
      <c r="I294" s="539"/>
      <c r="J294" s="540"/>
      <c r="K294" s="541">
        <f>F294+H294+J294</f>
        <v>76</v>
      </c>
    </row>
    <row r="295" spans="1:11" ht="20.45" customHeight="1">
      <c r="A295" s="533">
        <v>3</v>
      </c>
      <c r="B295" s="633" t="s">
        <v>922</v>
      </c>
      <c r="C295" s="634" t="s">
        <v>921</v>
      </c>
      <c r="D295" s="535">
        <f>'Bang gia'!K8</f>
        <v>2000</v>
      </c>
      <c r="E295" s="539"/>
      <c r="F295" s="535"/>
      <c r="G295" s="537">
        <v>6.0000000000000001E-3</v>
      </c>
      <c r="H295" s="538">
        <f t="shared" ref="H295:H300" si="32">D295*G295</f>
        <v>12</v>
      </c>
      <c r="I295" s="539"/>
      <c r="J295" s="540"/>
      <c r="K295" s="541">
        <f t="shared" ref="K295:K309" si="33">F295+H295+J295</f>
        <v>12</v>
      </c>
    </row>
    <row r="296" spans="1:11" ht="20.45" customHeight="1">
      <c r="A296" s="533">
        <v>4</v>
      </c>
      <c r="B296" s="633" t="s">
        <v>923</v>
      </c>
      <c r="C296" s="634" t="s">
        <v>921</v>
      </c>
      <c r="D296" s="535">
        <f>'Bang gia'!K9</f>
        <v>1450000</v>
      </c>
      <c r="E296" s="539"/>
      <c r="F296" s="535"/>
      <c r="G296" s="537">
        <v>2E-3</v>
      </c>
      <c r="H296" s="538">
        <f t="shared" si="32"/>
        <v>2900</v>
      </c>
      <c r="I296" s="539"/>
      <c r="J296" s="540"/>
      <c r="K296" s="541">
        <f t="shared" si="33"/>
        <v>2900</v>
      </c>
    </row>
    <row r="297" spans="1:11" ht="20.45" customHeight="1">
      <c r="A297" s="533">
        <v>5</v>
      </c>
      <c r="B297" s="633" t="s">
        <v>924</v>
      </c>
      <c r="C297" s="634" t="s">
        <v>921</v>
      </c>
      <c r="D297" s="535">
        <f>'Bang gia'!K10</f>
        <v>300000</v>
      </c>
      <c r="E297" s="539"/>
      <c r="F297" s="535"/>
      <c r="G297" s="537">
        <v>3.0000000000000001E-3</v>
      </c>
      <c r="H297" s="538">
        <f t="shared" si="32"/>
        <v>900</v>
      </c>
      <c r="I297" s="539"/>
      <c r="J297" s="540"/>
      <c r="K297" s="541">
        <f t="shared" si="33"/>
        <v>900</v>
      </c>
    </row>
    <row r="298" spans="1:11" ht="20.45" customHeight="1">
      <c r="A298" s="533">
        <v>6</v>
      </c>
      <c r="B298" s="633" t="s">
        <v>926</v>
      </c>
      <c r="C298" s="634" t="s">
        <v>921</v>
      </c>
      <c r="D298" s="535">
        <f>'Bang gia'!K11</f>
        <v>3350000</v>
      </c>
      <c r="E298" s="539"/>
      <c r="F298" s="535"/>
      <c r="G298" s="537">
        <v>2E-3</v>
      </c>
      <c r="H298" s="538">
        <f t="shared" si="32"/>
        <v>6700</v>
      </c>
      <c r="I298" s="539"/>
      <c r="J298" s="540"/>
      <c r="K298" s="541">
        <f t="shared" si="33"/>
        <v>6700</v>
      </c>
    </row>
    <row r="299" spans="1:11" ht="20.45" customHeight="1">
      <c r="A299" s="533">
        <v>7</v>
      </c>
      <c r="B299" s="633" t="s">
        <v>927</v>
      </c>
      <c r="C299" s="634" t="s">
        <v>928</v>
      </c>
      <c r="D299" s="535">
        <f>'Bang gia'!K12</f>
        <v>300</v>
      </c>
      <c r="E299" s="539"/>
      <c r="F299" s="535"/>
      <c r="G299" s="537">
        <v>1</v>
      </c>
      <c r="H299" s="538">
        <f t="shared" si="32"/>
        <v>300</v>
      </c>
      <c r="I299" s="539"/>
      <c r="J299" s="540"/>
      <c r="K299" s="541">
        <f t="shared" si="33"/>
        <v>300</v>
      </c>
    </row>
    <row r="300" spans="1:11" ht="20.45" customHeight="1">
      <c r="A300" s="533">
        <v>8</v>
      </c>
      <c r="B300" s="633" t="s">
        <v>559</v>
      </c>
      <c r="C300" s="634" t="s">
        <v>929</v>
      </c>
      <c r="D300" s="535">
        <f>'Bang gia'!K13</f>
        <v>7000</v>
      </c>
      <c r="E300" s="539"/>
      <c r="F300" s="535"/>
      <c r="G300" s="537">
        <v>1</v>
      </c>
      <c r="H300" s="538">
        <f t="shared" si="32"/>
        <v>7000</v>
      </c>
      <c r="I300" s="539"/>
      <c r="J300" s="540"/>
      <c r="K300" s="541">
        <f t="shared" si="33"/>
        <v>7000</v>
      </c>
    </row>
    <row r="301" spans="1:11" ht="20.45" customHeight="1">
      <c r="A301" s="533">
        <v>9</v>
      </c>
      <c r="B301" s="633" t="s">
        <v>571</v>
      </c>
      <c r="C301" s="634" t="s">
        <v>928</v>
      </c>
      <c r="D301" s="535">
        <f>'Bang gia'!K26</f>
        <v>300</v>
      </c>
      <c r="E301" s="539">
        <v>1</v>
      </c>
      <c r="F301" s="535">
        <f>D301*E301</f>
        <v>300</v>
      </c>
      <c r="G301" s="537"/>
      <c r="H301" s="538"/>
      <c r="I301" s="539"/>
      <c r="J301" s="540"/>
      <c r="K301" s="541">
        <f t="shared" si="33"/>
        <v>300</v>
      </c>
    </row>
    <row r="302" spans="1:11" ht="20.45" customHeight="1">
      <c r="A302" s="533">
        <v>10</v>
      </c>
      <c r="B302" s="633" t="s">
        <v>930</v>
      </c>
      <c r="C302" s="634" t="s">
        <v>931</v>
      </c>
      <c r="D302" s="535">
        <f>'Bang gia'!K15</f>
        <v>45000</v>
      </c>
      <c r="E302" s="539">
        <v>0.05</v>
      </c>
      <c r="F302" s="535">
        <f>D302*E302</f>
        <v>2250</v>
      </c>
      <c r="G302" s="537">
        <v>4.2000000000000003E-2</v>
      </c>
      <c r="H302" s="538">
        <f t="shared" ref="H302:H307" si="34">D302*G302</f>
        <v>1890.0000000000002</v>
      </c>
      <c r="I302" s="539"/>
      <c r="J302" s="540"/>
      <c r="K302" s="541">
        <f t="shared" si="33"/>
        <v>4140</v>
      </c>
    </row>
    <row r="303" spans="1:11" ht="20.45" customHeight="1">
      <c r="A303" s="533">
        <v>11</v>
      </c>
      <c r="B303" s="633" t="s">
        <v>932</v>
      </c>
      <c r="C303" s="634" t="s">
        <v>931</v>
      </c>
      <c r="D303" s="535">
        <f>'Bang gia'!K16</f>
        <v>90000</v>
      </c>
      <c r="E303" s="539">
        <v>2E-3</v>
      </c>
      <c r="F303" s="535">
        <f>D303*E303</f>
        <v>180</v>
      </c>
      <c r="G303" s="537">
        <v>5.0000000000000001E-3</v>
      </c>
      <c r="H303" s="538">
        <f t="shared" si="34"/>
        <v>450</v>
      </c>
      <c r="I303" s="539"/>
      <c r="J303" s="540"/>
      <c r="K303" s="541">
        <f t="shared" si="33"/>
        <v>630</v>
      </c>
    </row>
    <row r="304" spans="1:11" ht="20.45" customHeight="1">
      <c r="A304" s="533">
        <v>12</v>
      </c>
      <c r="B304" s="633" t="s">
        <v>933</v>
      </c>
      <c r="C304" s="634" t="s">
        <v>934</v>
      </c>
      <c r="D304" s="535">
        <f>'Bang gia'!K17</f>
        <v>25000</v>
      </c>
      <c r="E304" s="539"/>
      <c r="F304" s="535"/>
      <c r="G304" s="537">
        <v>5.0000000000000001E-3</v>
      </c>
      <c r="H304" s="538">
        <f t="shared" si="34"/>
        <v>125</v>
      </c>
      <c r="I304" s="539"/>
      <c r="J304" s="540"/>
      <c r="K304" s="541">
        <f t="shared" si="33"/>
        <v>125</v>
      </c>
    </row>
    <row r="305" spans="1:11" ht="20.45" customHeight="1">
      <c r="A305" s="533">
        <v>13</v>
      </c>
      <c r="B305" s="635" t="s">
        <v>935</v>
      </c>
      <c r="C305" s="636" t="s">
        <v>143</v>
      </c>
      <c r="D305" s="535">
        <f>'Bang gia'!K18</f>
        <v>2500</v>
      </c>
      <c r="E305" s="539">
        <v>0.01</v>
      </c>
      <c r="F305" s="535">
        <f>D305*E305</f>
        <v>25</v>
      </c>
      <c r="G305" s="537">
        <v>1.9E-2</v>
      </c>
      <c r="H305" s="538">
        <f t="shared" si="34"/>
        <v>47.5</v>
      </c>
      <c r="I305" s="539"/>
      <c r="J305" s="540"/>
      <c r="K305" s="541">
        <f t="shared" si="33"/>
        <v>72.5</v>
      </c>
    </row>
    <row r="306" spans="1:11" ht="20.45" customHeight="1">
      <c r="A306" s="533">
        <v>14</v>
      </c>
      <c r="B306" s="635" t="s">
        <v>936</v>
      </c>
      <c r="C306" s="636" t="s">
        <v>919</v>
      </c>
      <c r="D306" s="535">
        <f>'Bang gia'!K19</f>
        <v>18000</v>
      </c>
      <c r="E306" s="539">
        <v>2E-3</v>
      </c>
      <c r="F306" s="535">
        <f>D306*E306</f>
        <v>36</v>
      </c>
      <c r="G306" s="537">
        <v>8.0000000000000002E-3</v>
      </c>
      <c r="H306" s="538">
        <f t="shared" si="34"/>
        <v>144</v>
      </c>
      <c r="I306" s="539"/>
      <c r="J306" s="540"/>
      <c r="K306" s="541">
        <f t="shared" si="33"/>
        <v>180</v>
      </c>
    </row>
    <row r="307" spans="1:11" ht="20.45" customHeight="1">
      <c r="A307" s="533">
        <v>15</v>
      </c>
      <c r="B307" s="635" t="s">
        <v>937</v>
      </c>
      <c r="C307" s="636" t="s">
        <v>919</v>
      </c>
      <c r="D307" s="535">
        <f>'Bang gia'!K20</f>
        <v>15000</v>
      </c>
      <c r="E307" s="539">
        <v>2E-3</v>
      </c>
      <c r="F307" s="535">
        <f>D307*E307</f>
        <v>30</v>
      </c>
      <c r="G307" s="537">
        <v>5.0000000000000001E-3</v>
      </c>
      <c r="H307" s="538">
        <f t="shared" si="34"/>
        <v>75</v>
      </c>
      <c r="I307" s="539"/>
      <c r="J307" s="540"/>
      <c r="K307" s="541">
        <f t="shared" si="33"/>
        <v>105</v>
      </c>
    </row>
    <row r="308" spans="1:11" ht="20.45" customHeight="1">
      <c r="A308" s="533">
        <v>16</v>
      </c>
      <c r="B308" s="635" t="s">
        <v>560</v>
      </c>
      <c r="C308" s="637" t="s">
        <v>569</v>
      </c>
      <c r="D308" s="535">
        <f>'Bang gia'!K27</f>
        <v>10000</v>
      </c>
      <c r="E308" s="675"/>
      <c r="F308" s="535"/>
      <c r="G308" s="639">
        <v>3.0000000000000001E-3</v>
      </c>
      <c r="H308" s="538">
        <f>D308*G308</f>
        <v>30</v>
      </c>
      <c r="I308" s="638"/>
      <c r="J308" s="540"/>
      <c r="K308" s="541">
        <f t="shared" si="33"/>
        <v>30</v>
      </c>
    </row>
    <row r="309" spans="1:11" ht="20.45" customHeight="1">
      <c r="A309" s="641">
        <v>17</v>
      </c>
      <c r="B309" s="635" t="s">
        <v>942</v>
      </c>
      <c r="C309" s="642" t="s">
        <v>928</v>
      </c>
      <c r="D309" s="643">
        <f>'Bang gia'!K23</f>
        <v>1500</v>
      </c>
      <c r="E309" s="675"/>
      <c r="F309" s="643"/>
      <c r="G309" s="639">
        <v>1</v>
      </c>
      <c r="H309" s="644">
        <f>D309*G309</f>
        <v>1500</v>
      </c>
      <c r="I309" s="638"/>
      <c r="J309" s="645"/>
      <c r="K309" s="646">
        <f t="shared" si="33"/>
        <v>1500</v>
      </c>
    </row>
    <row r="310" spans="1:11" ht="20.45" customHeight="1">
      <c r="A310" s="652"/>
      <c r="B310" s="653" t="s">
        <v>146</v>
      </c>
      <c r="C310" s="577"/>
      <c r="D310" s="577"/>
      <c r="E310" s="576"/>
      <c r="F310" s="577">
        <f>SUM(F293:F309)</f>
        <v>2871</v>
      </c>
      <c r="G310" s="654"/>
      <c r="H310" s="655">
        <f>SUM(H293:H309)</f>
        <v>22149.5</v>
      </c>
      <c r="I310" s="576"/>
      <c r="J310" s="546"/>
      <c r="K310" s="546">
        <f>SUM(K293:K309)</f>
        <v>25020.5</v>
      </c>
    </row>
    <row r="311" spans="1:11" ht="20.45" customHeight="1">
      <c r="A311" s="652"/>
      <c r="B311" s="653" t="s">
        <v>147</v>
      </c>
      <c r="C311" s="577"/>
      <c r="D311" s="577"/>
      <c r="E311" s="576"/>
      <c r="F311" s="577">
        <f>F310*8%</f>
        <v>229.68</v>
      </c>
      <c r="G311" s="656"/>
      <c r="H311" s="655">
        <f>H310*8%</f>
        <v>1771.96</v>
      </c>
      <c r="I311" s="654"/>
      <c r="J311" s="655"/>
      <c r="K311" s="655">
        <f>K310*8%</f>
        <v>2001.64</v>
      </c>
    </row>
    <row r="312" spans="1:11" ht="20.45" customHeight="1">
      <c r="A312" s="657"/>
      <c r="B312" s="543" t="s">
        <v>546</v>
      </c>
      <c r="C312" s="657"/>
      <c r="D312" s="657"/>
      <c r="E312" s="658"/>
      <c r="F312" s="577">
        <f>F310+F311</f>
        <v>3100.68</v>
      </c>
      <c r="G312" s="576"/>
      <c r="H312" s="655">
        <f>H310+H311</f>
        <v>23921.46</v>
      </c>
      <c r="I312" s="654"/>
      <c r="J312" s="655"/>
      <c r="K312" s="655">
        <f>K310+K311</f>
        <v>27022.14</v>
      </c>
    </row>
    <row r="313" spans="1:11" ht="10.5" customHeight="1">
      <c r="A313" s="409"/>
      <c r="B313" s="409"/>
      <c r="C313" s="409"/>
    </row>
    <row r="314" spans="1:11">
      <c r="A314" s="663"/>
      <c r="B314" s="554" t="s">
        <v>550</v>
      </c>
      <c r="C314" s="409"/>
    </row>
    <row r="315" spans="1:11" ht="27.6" customHeight="1">
      <c r="A315" s="561"/>
      <c r="B315" s="1217" t="s">
        <v>640</v>
      </c>
      <c r="C315" s="1217"/>
      <c r="D315" s="1217"/>
      <c r="E315" s="1217"/>
      <c r="F315" s="1217"/>
      <c r="G315" s="1217"/>
      <c r="H315" s="1217"/>
      <c r="I315" s="1217"/>
      <c r="J315" s="1217"/>
      <c r="K315" s="1217"/>
    </row>
    <row r="316" spans="1:11" ht="38.450000000000003" customHeight="1">
      <c r="A316" s="561"/>
      <c r="B316" s="1223" t="s">
        <v>597</v>
      </c>
      <c r="C316" s="1223"/>
      <c r="D316" s="1223"/>
      <c r="E316" s="1223"/>
      <c r="F316" s="1223"/>
      <c r="G316" s="1223"/>
      <c r="H316" s="1223"/>
      <c r="I316" s="1223"/>
      <c r="J316" s="1223"/>
      <c r="K316" s="1223"/>
    </row>
    <row r="317" spans="1:11">
      <c r="A317" s="628"/>
      <c r="B317" s="560"/>
      <c r="C317" s="409"/>
    </row>
    <row r="318" spans="1:11" ht="28.9" customHeight="1">
      <c r="A318" s="1221" t="s">
        <v>221</v>
      </c>
      <c r="B318" s="1221"/>
      <c r="C318" s="1221"/>
      <c r="D318" s="1221"/>
      <c r="E318" s="1221"/>
      <c r="F318" s="1221"/>
      <c r="G318" s="1221"/>
      <c r="H318" s="1221"/>
      <c r="I318" s="1221"/>
      <c r="J318" s="1221"/>
      <c r="K318" s="1221"/>
    </row>
    <row r="319" spans="1:11">
      <c r="A319" s="628"/>
      <c r="B319" s="435"/>
      <c r="C319" s="625"/>
      <c r="D319" s="556"/>
      <c r="E319" s="626"/>
      <c r="F319" s="556"/>
      <c r="G319" s="626"/>
      <c r="H319" s="627"/>
      <c r="I319" s="629"/>
      <c r="J319" s="556"/>
      <c r="K319" s="449"/>
    </row>
    <row r="320" spans="1:11" ht="18" customHeight="1">
      <c r="A320" s="1203" t="s">
        <v>724</v>
      </c>
      <c r="B320" s="1203" t="s">
        <v>534</v>
      </c>
      <c r="C320" s="1203" t="s">
        <v>535</v>
      </c>
      <c r="D320" s="1203" t="s">
        <v>556</v>
      </c>
      <c r="E320" s="1212" t="s">
        <v>539</v>
      </c>
      <c r="F320" s="1214"/>
      <c r="G320" s="1214"/>
      <c r="H320" s="1214"/>
      <c r="I320" s="1214"/>
      <c r="J320" s="1213"/>
      <c r="K320" s="1203" t="s">
        <v>226</v>
      </c>
    </row>
    <row r="321" spans="1:11" ht="42.75" customHeight="1">
      <c r="A321" s="1204"/>
      <c r="B321" s="1204"/>
      <c r="C321" s="1204"/>
      <c r="D321" s="1204"/>
      <c r="E321" s="1212" t="s">
        <v>164</v>
      </c>
      <c r="F321" s="1213"/>
      <c r="G321" s="1212" t="s">
        <v>561</v>
      </c>
      <c r="H321" s="1213"/>
      <c r="I321" s="1212" t="s">
        <v>542</v>
      </c>
      <c r="J321" s="1213"/>
      <c r="K321" s="1204"/>
    </row>
    <row r="322" spans="1:11" ht="19.5" customHeight="1">
      <c r="A322" s="1205"/>
      <c r="B322" s="1205"/>
      <c r="C322" s="1205"/>
      <c r="D322" s="1205"/>
      <c r="E322" s="630" t="s">
        <v>141</v>
      </c>
      <c r="F322" s="423" t="s">
        <v>268</v>
      </c>
      <c r="G322" s="630" t="s">
        <v>141</v>
      </c>
      <c r="H322" s="423" t="s">
        <v>268</v>
      </c>
      <c r="I322" s="630" t="s">
        <v>141</v>
      </c>
      <c r="J322" s="423" t="s">
        <v>268</v>
      </c>
      <c r="K322" s="1205"/>
    </row>
    <row r="323" spans="1:11" ht="20.45" customHeight="1">
      <c r="A323" s="578">
        <v>1</v>
      </c>
      <c r="B323" s="631" t="s">
        <v>918</v>
      </c>
      <c r="C323" s="632" t="s">
        <v>919</v>
      </c>
      <c r="D323" s="535">
        <f>'Bang gia'!K6</f>
        <v>5000</v>
      </c>
      <c r="E323" s="539">
        <v>2E-3</v>
      </c>
      <c r="F323" s="580">
        <f>E323*D323</f>
        <v>10</v>
      </c>
      <c r="G323" s="539">
        <v>7.0000000000000001E-3</v>
      </c>
      <c r="H323" s="582">
        <f>D323*G323</f>
        <v>35</v>
      </c>
      <c r="I323" s="581"/>
      <c r="J323" s="583"/>
      <c r="K323" s="582">
        <f>F323+H323+J323</f>
        <v>45</v>
      </c>
    </row>
    <row r="324" spans="1:11" ht="20.45" customHeight="1">
      <c r="A324" s="533">
        <v>2</v>
      </c>
      <c r="B324" s="633" t="s">
        <v>920</v>
      </c>
      <c r="C324" s="634" t="s">
        <v>921</v>
      </c>
      <c r="D324" s="535">
        <f>'Bang gia'!K7</f>
        <v>2000</v>
      </c>
      <c r="E324" s="539">
        <v>8.0000000000000002E-3</v>
      </c>
      <c r="F324" s="535">
        <f>D324*E324</f>
        <v>16</v>
      </c>
      <c r="G324" s="539">
        <v>3.3000000000000002E-2</v>
      </c>
      <c r="H324" s="538">
        <f>D324*G324</f>
        <v>66</v>
      </c>
      <c r="I324" s="539"/>
      <c r="J324" s="540"/>
      <c r="K324" s="541">
        <f>F324+H324+J324</f>
        <v>82</v>
      </c>
    </row>
    <row r="325" spans="1:11" ht="20.45" customHeight="1">
      <c r="A325" s="533">
        <v>3</v>
      </c>
      <c r="B325" s="633" t="s">
        <v>922</v>
      </c>
      <c r="C325" s="634" t="s">
        <v>921</v>
      </c>
      <c r="D325" s="535">
        <f>'Bang gia'!K8</f>
        <v>2000</v>
      </c>
      <c r="E325" s="539"/>
      <c r="F325" s="535">
        <f t="shared" ref="F325:F334" si="35">D325*E325</f>
        <v>0</v>
      </c>
      <c r="G325" s="539">
        <v>6.0000000000000001E-3</v>
      </c>
      <c r="H325" s="538">
        <f t="shared" ref="H325:H331" si="36">D325*G325</f>
        <v>12</v>
      </c>
      <c r="I325" s="539"/>
      <c r="J325" s="540"/>
      <c r="K325" s="541">
        <f t="shared" ref="K325:K339" si="37">F325+H325+J325</f>
        <v>12</v>
      </c>
    </row>
    <row r="326" spans="1:11" ht="20.45" customHeight="1">
      <c r="A326" s="533">
        <v>4</v>
      </c>
      <c r="B326" s="633" t="s">
        <v>923</v>
      </c>
      <c r="C326" s="634" t="s">
        <v>921</v>
      </c>
      <c r="D326" s="535">
        <f>'Bang gia'!K9</f>
        <v>1450000</v>
      </c>
      <c r="E326" s="539"/>
      <c r="F326" s="535">
        <f t="shared" si="35"/>
        <v>0</v>
      </c>
      <c r="G326" s="539">
        <v>2E-3</v>
      </c>
      <c r="H326" s="538">
        <f t="shared" si="36"/>
        <v>2900</v>
      </c>
      <c r="I326" s="539"/>
      <c r="J326" s="540"/>
      <c r="K326" s="541">
        <f t="shared" si="37"/>
        <v>2900</v>
      </c>
    </row>
    <row r="327" spans="1:11" ht="20.45" customHeight="1">
      <c r="A327" s="533">
        <v>5</v>
      </c>
      <c r="B327" s="633" t="s">
        <v>924</v>
      </c>
      <c r="C327" s="634" t="s">
        <v>921</v>
      </c>
      <c r="D327" s="535">
        <f>'Bang gia'!K10</f>
        <v>300000</v>
      </c>
      <c r="E327" s="539"/>
      <c r="F327" s="535"/>
      <c r="G327" s="539">
        <v>3.0000000000000001E-3</v>
      </c>
      <c r="H327" s="538">
        <f t="shared" si="36"/>
        <v>900</v>
      </c>
      <c r="I327" s="539"/>
      <c r="J327" s="540"/>
      <c r="K327" s="541">
        <f t="shared" si="37"/>
        <v>900</v>
      </c>
    </row>
    <row r="328" spans="1:11" ht="20.45" customHeight="1">
      <c r="A328" s="533">
        <v>6</v>
      </c>
      <c r="B328" s="633" t="s">
        <v>926</v>
      </c>
      <c r="C328" s="634" t="s">
        <v>921</v>
      </c>
      <c r="D328" s="535">
        <f>'Bang gia'!K11</f>
        <v>3350000</v>
      </c>
      <c r="E328" s="539"/>
      <c r="F328" s="535"/>
      <c r="G328" s="539">
        <v>2E-3</v>
      </c>
      <c r="H328" s="538">
        <f t="shared" si="36"/>
        <v>6700</v>
      </c>
      <c r="I328" s="539"/>
      <c r="J328" s="540"/>
      <c r="K328" s="541">
        <f t="shared" si="37"/>
        <v>6700</v>
      </c>
    </row>
    <row r="329" spans="1:11" ht="20.45" customHeight="1">
      <c r="A329" s="533">
        <v>7</v>
      </c>
      <c r="B329" s="633" t="s">
        <v>927</v>
      </c>
      <c r="C329" s="634" t="s">
        <v>928</v>
      </c>
      <c r="D329" s="535">
        <f>'Bang gia'!K12</f>
        <v>300</v>
      </c>
      <c r="E329" s="539"/>
      <c r="F329" s="535"/>
      <c r="G329" s="539">
        <v>1</v>
      </c>
      <c r="H329" s="538">
        <f t="shared" si="36"/>
        <v>300</v>
      </c>
      <c r="I329" s="539"/>
      <c r="J329" s="540"/>
      <c r="K329" s="541">
        <f t="shared" si="37"/>
        <v>300</v>
      </c>
    </row>
    <row r="330" spans="1:11" ht="20.45" customHeight="1">
      <c r="A330" s="533">
        <v>8</v>
      </c>
      <c r="B330" s="633" t="s">
        <v>559</v>
      </c>
      <c r="C330" s="634" t="s">
        <v>929</v>
      </c>
      <c r="D330" s="535">
        <f>'Bang gia'!K13</f>
        <v>7000</v>
      </c>
      <c r="E330" s="539"/>
      <c r="F330" s="535"/>
      <c r="G330" s="539">
        <v>1</v>
      </c>
      <c r="H330" s="538">
        <f t="shared" si="36"/>
        <v>7000</v>
      </c>
      <c r="I330" s="539"/>
      <c r="J330" s="540"/>
      <c r="K330" s="541">
        <f t="shared" si="37"/>
        <v>7000</v>
      </c>
    </row>
    <row r="331" spans="1:11" ht="20.45" customHeight="1">
      <c r="A331" s="533">
        <v>9</v>
      </c>
      <c r="B331" s="633" t="s">
        <v>571</v>
      </c>
      <c r="C331" s="634" t="s">
        <v>928</v>
      </c>
      <c r="D331" s="535">
        <f>'Bang gia'!K26</f>
        <v>300</v>
      </c>
      <c r="E331" s="539"/>
      <c r="F331" s="535">
        <f t="shared" si="35"/>
        <v>0</v>
      </c>
      <c r="G331" s="539">
        <v>1</v>
      </c>
      <c r="H331" s="538">
        <f t="shared" si="36"/>
        <v>300</v>
      </c>
      <c r="I331" s="539"/>
      <c r="J331" s="540"/>
      <c r="K331" s="541">
        <f t="shared" si="37"/>
        <v>300</v>
      </c>
    </row>
    <row r="332" spans="1:11" ht="20.45" customHeight="1">
      <c r="A332" s="533">
        <v>10</v>
      </c>
      <c r="B332" s="633" t="s">
        <v>930</v>
      </c>
      <c r="C332" s="634" t="s">
        <v>931</v>
      </c>
      <c r="D332" s="535">
        <f>'Bang gia'!K15</f>
        <v>45000</v>
      </c>
      <c r="E332" s="539">
        <v>0.03</v>
      </c>
      <c r="F332" s="535">
        <f t="shared" si="35"/>
        <v>1350</v>
      </c>
      <c r="G332" s="539">
        <v>6.2E-2</v>
      </c>
      <c r="H332" s="538">
        <f t="shared" ref="H332:H337" si="38">D332*G332</f>
        <v>2790</v>
      </c>
      <c r="I332" s="539"/>
      <c r="J332" s="540"/>
      <c r="K332" s="541">
        <f t="shared" si="37"/>
        <v>4140</v>
      </c>
    </row>
    <row r="333" spans="1:11" ht="20.45" customHeight="1">
      <c r="A333" s="533">
        <v>11</v>
      </c>
      <c r="B333" s="633" t="s">
        <v>932</v>
      </c>
      <c r="C333" s="634" t="s">
        <v>931</v>
      </c>
      <c r="D333" s="535">
        <f>'Bang gia'!K16</f>
        <v>90000</v>
      </c>
      <c r="E333" s="539"/>
      <c r="F333" s="535"/>
      <c r="G333" s="539">
        <v>5.0000000000000001E-3</v>
      </c>
      <c r="H333" s="538">
        <f t="shared" si="38"/>
        <v>450</v>
      </c>
      <c r="I333" s="539"/>
      <c r="J333" s="540"/>
      <c r="K333" s="541">
        <f t="shared" si="37"/>
        <v>450</v>
      </c>
    </row>
    <row r="334" spans="1:11" ht="20.45" customHeight="1">
      <c r="A334" s="533">
        <v>12</v>
      </c>
      <c r="B334" s="633" t="s">
        <v>933</v>
      </c>
      <c r="C334" s="634" t="s">
        <v>934</v>
      </c>
      <c r="D334" s="535">
        <f>'Bang gia'!K17</f>
        <v>25000</v>
      </c>
      <c r="E334" s="539"/>
      <c r="F334" s="535">
        <f t="shared" si="35"/>
        <v>0</v>
      </c>
      <c r="G334" s="539">
        <v>4.0000000000000001E-3</v>
      </c>
      <c r="H334" s="538">
        <f t="shared" si="38"/>
        <v>100</v>
      </c>
      <c r="I334" s="539"/>
      <c r="J334" s="540"/>
      <c r="K334" s="541">
        <f t="shared" si="37"/>
        <v>100</v>
      </c>
    </row>
    <row r="335" spans="1:11" ht="20.45" customHeight="1">
      <c r="A335" s="533">
        <v>13</v>
      </c>
      <c r="B335" s="635" t="s">
        <v>935</v>
      </c>
      <c r="C335" s="636" t="s">
        <v>143</v>
      </c>
      <c r="D335" s="535">
        <f>'Bang gia'!K18</f>
        <v>2500</v>
      </c>
      <c r="E335" s="539">
        <v>0.02</v>
      </c>
      <c r="F335" s="535">
        <f>D335*E335</f>
        <v>50</v>
      </c>
      <c r="G335" s="539">
        <v>2.5000000000000001E-2</v>
      </c>
      <c r="H335" s="538">
        <f t="shared" si="38"/>
        <v>62.5</v>
      </c>
      <c r="I335" s="539"/>
      <c r="J335" s="540"/>
      <c r="K335" s="541">
        <f t="shared" si="37"/>
        <v>112.5</v>
      </c>
    </row>
    <row r="336" spans="1:11" ht="20.45" customHeight="1">
      <c r="A336" s="533">
        <v>14</v>
      </c>
      <c r="B336" s="635" t="s">
        <v>936</v>
      </c>
      <c r="C336" s="636" t="s">
        <v>919</v>
      </c>
      <c r="D336" s="535">
        <f>'Bang gia'!K19</f>
        <v>18000</v>
      </c>
      <c r="E336" s="539">
        <v>2E-3</v>
      </c>
      <c r="F336" s="535">
        <f>D336*E336</f>
        <v>36</v>
      </c>
      <c r="G336" s="539">
        <v>8.9999999999999993E-3</v>
      </c>
      <c r="H336" s="538">
        <f t="shared" si="38"/>
        <v>162</v>
      </c>
      <c r="I336" s="539"/>
      <c r="J336" s="540"/>
      <c r="K336" s="541">
        <f t="shared" si="37"/>
        <v>198</v>
      </c>
    </row>
    <row r="337" spans="1:11" ht="20.45" customHeight="1">
      <c r="A337" s="533">
        <v>15</v>
      </c>
      <c r="B337" s="635" t="s">
        <v>937</v>
      </c>
      <c r="C337" s="636" t="s">
        <v>919</v>
      </c>
      <c r="D337" s="535">
        <f>'Bang gia'!K20</f>
        <v>15000</v>
      </c>
      <c r="E337" s="539">
        <v>2E-3</v>
      </c>
      <c r="F337" s="535">
        <f>D337*E337</f>
        <v>30</v>
      </c>
      <c r="G337" s="539">
        <v>8.0000000000000002E-3</v>
      </c>
      <c r="H337" s="538">
        <f t="shared" si="38"/>
        <v>120</v>
      </c>
      <c r="I337" s="539"/>
      <c r="J337" s="540"/>
      <c r="K337" s="541">
        <f t="shared" si="37"/>
        <v>150</v>
      </c>
    </row>
    <row r="338" spans="1:11" ht="20.45" customHeight="1">
      <c r="A338" s="533">
        <v>16</v>
      </c>
      <c r="B338" s="635" t="s">
        <v>560</v>
      </c>
      <c r="C338" s="637" t="s">
        <v>569</v>
      </c>
      <c r="D338" s="535">
        <f>'Bang gia'!K27</f>
        <v>10000</v>
      </c>
      <c r="E338" s="539"/>
      <c r="F338" s="535">
        <f>D338*E338</f>
        <v>0</v>
      </c>
      <c r="G338" s="539">
        <v>4.0000000000000001E-3</v>
      </c>
      <c r="H338" s="538">
        <f>D338*G338</f>
        <v>40</v>
      </c>
      <c r="I338" s="638"/>
      <c r="J338" s="540"/>
      <c r="K338" s="541">
        <f t="shared" si="37"/>
        <v>40</v>
      </c>
    </row>
    <row r="339" spans="1:11" ht="20.45" customHeight="1">
      <c r="A339" s="641">
        <v>17</v>
      </c>
      <c r="B339" s="635" t="s">
        <v>942</v>
      </c>
      <c r="C339" s="642" t="s">
        <v>928</v>
      </c>
      <c r="D339" s="643">
        <f>'Bang gia'!K23</f>
        <v>1500</v>
      </c>
      <c r="E339" s="539"/>
      <c r="F339" s="643"/>
      <c r="G339" s="539">
        <v>1</v>
      </c>
      <c r="H339" s="644">
        <f>D339*G339</f>
        <v>1500</v>
      </c>
      <c r="I339" s="638"/>
      <c r="J339" s="645"/>
      <c r="K339" s="646">
        <f t="shared" si="37"/>
        <v>1500</v>
      </c>
    </row>
    <row r="340" spans="1:11" ht="20.45" customHeight="1">
      <c r="A340" s="652"/>
      <c r="B340" s="653" t="s">
        <v>146</v>
      </c>
      <c r="C340" s="577"/>
      <c r="D340" s="577"/>
      <c r="E340" s="576"/>
      <c r="F340" s="577">
        <f>SUM(F323:F339)</f>
        <v>1492</v>
      </c>
      <c r="G340" s="654"/>
      <c r="H340" s="655">
        <f>SUM(H323:H339)</f>
        <v>23437.5</v>
      </c>
      <c r="I340" s="576"/>
      <c r="J340" s="546"/>
      <c r="K340" s="546">
        <f>SUM(K323:K339)</f>
        <v>24929.5</v>
      </c>
    </row>
    <row r="341" spans="1:11" ht="20.45" customHeight="1">
      <c r="A341" s="652"/>
      <c r="B341" s="653" t="s">
        <v>147</v>
      </c>
      <c r="C341" s="577"/>
      <c r="D341" s="577"/>
      <c r="E341" s="576"/>
      <c r="F341" s="577">
        <f>F340*8%</f>
        <v>119.36</v>
      </c>
      <c r="G341" s="656"/>
      <c r="H341" s="655">
        <f>H340*8%</f>
        <v>1875</v>
      </c>
      <c r="I341" s="654"/>
      <c r="J341" s="655"/>
      <c r="K341" s="655">
        <f>K340*8%</f>
        <v>1994.3600000000001</v>
      </c>
    </row>
    <row r="342" spans="1:11" ht="20.45" customHeight="1">
      <c r="A342" s="657"/>
      <c r="B342" s="543" t="s">
        <v>546</v>
      </c>
      <c r="C342" s="657"/>
      <c r="D342" s="657"/>
      <c r="E342" s="658"/>
      <c r="F342" s="577">
        <f>F340+F341</f>
        <v>1611.36</v>
      </c>
      <c r="G342" s="576"/>
      <c r="H342" s="546">
        <f>H340+H341</f>
        <v>25312.5</v>
      </c>
      <c r="I342" s="576"/>
      <c r="J342" s="546"/>
      <c r="K342" s="546">
        <f>K340+K341</f>
        <v>26923.86</v>
      </c>
    </row>
    <row r="343" spans="1:11" ht="9.75" customHeight="1">
      <c r="A343" s="409"/>
      <c r="B343" s="409"/>
      <c r="C343" s="409"/>
    </row>
    <row r="344" spans="1:11">
      <c r="A344" s="663"/>
      <c r="B344" s="554" t="s">
        <v>550</v>
      </c>
      <c r="C344" s="409"/>
    </row>
    <row r="345" spans="1:11">
      <c r="A345" s="561"/>
      <c r="B345" s="1217" t="s">
        <v>640</v>
      </c>
      <c r="C345" s="1217"/>
      <c r="D345" s="1217"/>
      <c r="E345" s="1217"/>
      <c r="F345" s="1217"/>
      <c r="G345" s="1217"/>
      <c r="H345" s="1217"/>
      <c r="I345" s="1217"/>
      <c r="J345" s="1217"/>
      <c r="K345" s="1217"/>
    </row>
    <row r="346" spans="1:11" ht="45" customHeight="1">
      <c r="A346" s="561"/>
      <c r="B346" s="1223" t="s">
        <v>90</v>
      </c>
      <c r="C346" s="1223"/>
      <c r="D346" s="1223"/>
      <c r="E346" s="1223"/>
      <c r="F346" s="1223"/>
      <c r="G346" s="1223"/>
      <c r="H346" s="1223"/>
      <c r="I346" s="1223"/>
      <c r="J346" s="1223"/>
      <c r="K346" s="1223"/>
    </row>
    <row r="347" spans="1:11" ht="19.5" customHeight="1">
      <c r="A347" s="628"/>
      <c r="B347" s="1234"/>
      <c r="C347" s="1234"/>
      <c r="D347" s="1234"/>
      <c r="E347" s="1234"/>
      <c r="F347" s="1234"/>
      <c r="G347" s="1234"/>
      <c r="H347" s="1234"/>
      <c r="I347" s="1234"/>
      <c r="J347" s="1234"/>
      <c r="K347" s="1234"/>
    </row>
    <row r="348" spans="1:11" ht="27" customHeight="1">
      <c r="A348" s="1221" t="s">
        <v>222</v>
      </c>
      <c r="B348" s="1221"/>
      <c r="C348" s="1221"/>
      <c r="D348" s="1221"/>
      <c r="E348" s="1221"/>
      <c r="F348" s="1221"/>
      <c r="G348" s="1221"/>
      <c r="H348" s="1221"/>
      <c r="I348" s="1221"/>
      <c r="J348" s="1221"/>
      <c r="K348" s="1221"/>
    </row>
    <row r="349" spans="1:11" ht="12.75" customHeight="1">
      <c r="A349" s="628"/>
      <c r="B349" s="435"/>
      <c r="C349" s="625"/>
      <c r="D349" s="556"/>
      <c r="E349" s="626"/>
      <c r="F349" s="556"/>
      <c r="G349" s="626"/>
      <c r="H349" s="627"/>
      <c r="I349" s="629"/>
      <c r="J349" s="556"/>
      <c r="K349" s="449"/>
    </row>
    <row r="350" spans="1:11" ht="21.75" customHeight="1">
      <c r="A350" s="1203" t="s">
        <v>724</v>
      </c>
      <c r="B350" s="1203" t="s">
        <v>534</v>
      </c>
      <c r="C350" s="1203" t="s">
        <v>535</v>
      </c>
      <c r="D350" s="1203" t="s">
        <v>556</v>
      </c>
      <c r="E350" s="1212" t="s">
        <v>539</v>
      </c>
      <c r="F350" s="1214"/>
      <c r="G350" s="1214"/>
      <c r="H350" s="1214"/>
      <c r="I350" s="1214"/>
      <c r="J350" s="1213"/>
      <c r="K350" s="1203" t="s">
        <v>226</v>
      </c>
    </row>
    <row r="351" spans="1:11" ht="32.25" customHeight="1">
      <c r="A351" s="1204"/>
      <c r="B351" s="1204"/>
      <c r="C351" s="1204"/>
      <c r="D351" s="1204"/>
      <c r="E351" s="1212" t="s">
        <v>540</v>
      </c>
      <c r="F351" s="1213"/>
      <c r="G351" s="1212" t="s">
        <v>140</v>
      </c>
      <c r="H351" s="1213"/>
      <c r="I351" s="1212" t="s">
        <v>542</v>
      </c>
      <c r="J351" s="1213"/>
      <c r="K351" s="1204"/>
    </row>
    <row r="352" spans="1:11" ht="19.5" customHeight="1">
      <c r="A352" s="1205"/>
      <c r="B352" s="1205"/>
      <c r="C352" s="1205"/>
      <c r="D352" s="1205"/>
      <c r="E352" s="630" t="s">
        <v>141</v>
      </c>
      <c r="F352" s="423" t="s">
        <v>268</v>
      </c>
      <c r="G352" s="630" t="s">
        <v>141</v>
      </c>
      <c r="H352" s="423" t="s">
        <v>268</v>
      </c>
      <c r="I352" s="630" t="s">
        <v>141</v>
      </c>
      <c r="J352" s="423" t="s">
        <v>268</v>
      </c>
      <c r="K352" s="1205"/>
    </row>
    <row r="353" spans="1:11" ht="20.45" customHeight="1">
      <c r="A353" s="578">
        <v>1</v>
      </c>
      <c r="B353" s="631" t="s">
        <v>918</v>
      </c>
      <c r="C353" s="632" t="s">
        <v>919</v>
      </c>
      <c r="D353" s="535">
        <f>'Bang gia'!K6</f>
        <v>5000</v>
      </c>
      <c r="E353" s="581"/>
      <c r="F353" s="580"/>
      <c r="G353" s="581"/>
      <c r="H353" s="582"/>
      <c r="I353" s="581">
        <v>8.0000000000000002E-3</v>
      </c>
      <c r="J353" s="583">
        <f>D353*I353</f>
        <v>40</v>
      </c>
      <c r="K353" s="582">
        <f>F353+H353+J353</f>
        <v>40</v>
      </c>
    </row>
    <row r="354" spans="1:11" ht="20.45" customHeight="1">
      <c r="A354" s="533">
        <v>2</v>
      </c>
      <c r="B354" s="633" t="s">
        <v>920</v>
      </c>
      <c r="C354" s="634" t="s">
        <v>921</v>
      </c>
      <c r="D354" s="535">
        <f>'Bang gia'!K7</f>
        <v>2000</v>
      </c>
      <c r="E354" s="539"/>
      <c r="F354" s="535"/>
      <c r="G354" s="537"/>
      <c r="H354" s="538"/>
      <c r="I354" s="539">
        <v>4.0000000000000001E-3</v>
      </c>
      <c r="J354" s="540">
        <f>D354*I354</f>
        <v>8</v>
      </c>
      <c r="K354" s="541">
        <f>F354+H354+J354</f>
        <v>8</v>
      </c>
    </row>
    <row r="355" spans="1:11" ht="20.45" customHeight="1">
      <c r="A355" s="533">
        <v>3</v>
      </c>
      <c r="B355" s="633" t="s">
        <v>922</v>
      </c>
      <c r="C355" s="634" t="s">
        <v>921</v>
      </c>
      <c r="D355" s="535">
        <f>'Bang gia'!K8</f>
        <v>2000</v>
      </c>
      <c r="E355" s="539"/>
      <c r="F355" s="535"/>
      <c r="G355" s="537"/>
      <c r="H355" s="538"/>
      <c r="I355" s="539">
        <v>6.0000000000000001E-3</v>
      </c>
      <c r="J355" s="540">
        <f t="shared" ref="J355:J368" si="39">D355*I355</f>
        <v>12</v>
      </c>
      <c r="K355" s="541">
        <f t="shared" ref="K355:K368" si="40">F355+H355+J355</f>
        <v>12</v>
      </c>
    </row>
    <row r="356" spans="1:11" ht="20.45" customHeight="1">
      <c r="A356" s="533">
        <v>4</v>
      </c>
      <c r="B356" s="633" t="s">
        <v>923</v>
      </c>
      <c r="C356" s="634" t="s">
        <v>921</v>
      </c>
      <c r="D356" s="535">
        <f>'Bang gia'!K9</f>
        <v>1450000</v>
      </c>
      <c r="E356" s="539"/>
      <c r="F356" s="535"/>
      <c r="G356" s="537"/>
      <c r="H356" s="538"/>
      <c r="I356" s="539">
        <v>2E-3</v>
      </c>
      <c r="J356" s="540">
        <f t="shared" si="39"/>
        <v>2900</v>
      </c>
      <c r="K356" s="541">
        <f t="shared" si="40"/>
        <v>2900</v>
      </c>
    </row>
    <row r="357" spans="1:11" ht="20.45" customHeight="1">
      <c r="A357" s="533">
        <v>5</v>
      </c>
      <c r="B357" s="633" t="s">
        <v>924</v>
      </c>
      <c r="C357" s="634" t="s">
        <v>921</v>
      </c>
      <c r="D357" s="535">
        <f>'Bang gia'!K10</f>
        <v>300000</v>
      </c>
      <c r="E357" s="539"/>
      <c r="F357" s="535"/>
      <c r="G357" s="670"/>
      <c r="H357" s="538"/>
      <c r="I357" s="539">
        <v>3.0000000000000001E-3</v>
      </c>
      <c r="J357" s="540">
        <f t="shared" si="39"/>
        <v>900</v>
      </c>
      <c r="K357" s="541">
        <f t="shared" si="40"/>
        <v>900</v>
      </c>
    </row>
    <row r="358" spans="1:11" ht="20.45" customHeight="1">
      <c r="A358" s="533">
        <v>6</v>
      </c>
      <c r="B358" s="633" t="s">
        <v>926</v>
      </c>
      <c r="C358" s="634" t="s">
        <v>921</v>
      </c>
      <c r="D358" s="535">
        <f>'Bang gia'!K11</f>
        <v>3350000</v>
      </c>
      <c r="E358" s="539"/>
      <c r="F358" s="535"/>
      <c r="G358" s="670"/>
      <c r="H358" s="538"/>
      <c r="I358" s="539">
        <v>2E-3</v>
      </c>
      <c r="J358" s="540">
        <f t="shared" si="39"/>
        <v>6700</v>
      </c>
      <c r="K358" s="541">
        <f t="shared" si="40"/>
        <v>6700</v>
      </c>
    </row>
    <row r="359" spans="1:11" ht="20.45" customHeight="1">
      <c r="A359" s="533">
        <v>7</v>
      </c>
      <c r="B359" s="633" t="s">
        <v>927</v>
      </c>
      <c r="C359" s="634" t="s">
        <v>928</v>
      </c>
      <c r="D359" s="535">
        <f>'Bang gia'!K12</f>
        <v>300</v>
      </c>
      <c r="E359" s="539"/>
      <c r="F359" s="535"/>
      <c r="G359" s="537"/>
      <c r="H359" s="538"/>
      <c r="I359" s="539">
        <v>1</v>
      </c>
      <c r="J359" s="540">
        <f t="shared" si="39"/>
        <v>300</v>
      </c>
      <c r="K359" s="541">
        <f t="shared" si="40"/>
        <v>300</v>
      </c>
    </row>
    <row r="360" spans="1:11" ht="20.45" customHeight="1">
      <c r="A360" s="533">
        <v>8</v>
      </c>
      <c r="B360" s="633" t="s">
        <v>559</v>
      </c>
      <c r="C360" s="634" t="s">
        <v>929</v>
      </c>
      <c r="D360" s="535">
        <f>'Bang gia'!K13</f>
        <v>7000</v>
      </c>
      <c r="E360" s="539"/>
      <c r="F360" s="535"/>
      <c r="G360" s="537"/>
      <c r="H360" s="538"/>
      <c r="I360" s="539">
        <v>1</v>
      </c>
      <c r="J360" s="540">
        <f t="shared" si="39"/>
        <v>7000</v>
      </c>
      <c r="K360" s="541">
        <f t="shared" si="40"/>
        <v>7000</v>
      </c>
    </row>
    <row r="361" spans="1:11" ht="20.45" customHeight="1">
      <c r="A361" s="533">
        <v>9</v>
      </c>
      <c r="B361" s="633" t="s">
        <v>571</v>
      </c>
      <c r="C361" s="634" t="s">
        <v>928</v>
      </c>
      <c r="D361" s="535">
        <f>'Bang gia'!K26</f>
        <v>300</v>
      </c>
      <c r="E361" s="539"/>
      <c r="F361" s="535"/>
      <c r="G361" s="537"/>
      <c r="H361" s="538"/>
      <c r="I361" s="539">
        <v>1</v>
      </c>
      <c r="J361" s="540">
        <f t="shared" si="39"/>
        <v>300</v>
      </c>
      <c r="K361" s="541">
        <f t="shared" si="40"/>
        <v>300</v>
      </c>
    </row>
    <row r="362" spans="1:11" ht="20.45" customHeight="1">
      <c r="A362" s="533">
        <v>10</v>
      </c>
      <c r="B362" s="633" t="s">
        <v>930</v>
      </c>
      <c r="C362" s="634" t="s">
        <v>931</v>
      </c>
      <c r="D362" s="535">
        <f>'Bang gia'!K15</f>
        <v>45000</v>
      </c>
      <c r="E362" s="539"/>
      <c r="F362" s="535"/>
      <c r="G362" s="537"/>
      <c r="H362" s="538"/>
      <c r="I362" s="539">
        <v>2.9000000000000001E-2</v>
      </c>
      <c r="J362" s="540">
        <f t="shared" si="39"/>
        <v>1305</v>
      </c>
      <c r="K362" s="541">
        <f t="shared" si="40"/>
        <v>1305</v>
      </c>
    </row>
    <row r="363" spans="1:11" ht="20.45" customHeight="1">
      <c r="A363" s="533">
        <v>11</v>
      </c>
      <c r="B363" s="633" t="s">
        <v>932</v>
      </c>
      <c r="C363" s="634" t="s">
        <v>931</v>
      </c>
      <c r="D363" s="535">
        <f>'Bang gia'!K16</f>
        <v>90000</v>
      </c>
      <c r="E363" s="539"/>
      <c r="F363" s="535"/>
      <c r="G363" s="537"/>
      <c r="H363" s="538"/>
      <c r="I363" s="539">
        <v>6.0000000000000001E-3</v>
      </c>
      <c r="J363" s="540">
        <f t="shared" si="39"/>
        <v>540</v>
      </c>
      <c r="K363" s="541">
        <f t="shared" si="40"/>
        <v>540</v>
      </c>
    </row>
    <row r="364" spans="1:11" ht="20.45" customHeight="1">
      <c r="A364" s="533">
        <v>12</v>
      </c>
      <c r="B364" s="633" t="s">
        <v>933</v>
      </c>
      <c r="C364" s="634" t="s">
        <v>934</v>
      </c>
      <c r="D364" s="535">
        <f>'Bang gia'!K17</f>
        <v>25000</v>
      </c>
      <c r="E364" s="539"/>
      <c r="F364" s="535"/>
      <c r="G364" s="537"/>
      <c r="H364" s="538"/>
      <c r="I364" s="539">
        <v>5.0000000000000001E-3</v>
      </c>
      <c r="J364" s="540">
        <f t="shared" si="39"/>
        <v>125</v>
      </c>
      <c r="K364" s="541">
        <f t="shared" si="40"/>
        <v>125</v>
      </c>
    </row>
    <row r="365" spans="1:11" ht="20.45" customHeight="1">
      <c r="A365" s="533">
        <v>13</v>
      </c>
      <c r="B365" s="635" t="s">
        <v>935</v>
      </c>
      <c r="C365" s="636" t="s">
        <v>143</v>
      </c>
      <c r="D365" s="535">
        <f>'Bang gia'!K18</f>
        <v>2500</v>
      </c>
      <c r="E365" s="539"/>
      <c r="F365" s="535"/>
      <c r="G365" s="537"/>
      <c r="H365" s="538"/>
      <c r="I365" s="539">
        <v>0.03</v>
      </c>
      <c r="J365" s="540">
        <f t="shared" si="39"/>
        <v>75</v>
      </c>
      <c r="K365" s="541">
        <f t="shared" si="40"/>
        <v>75</v>
      </c>
    </row>
    <row r="366" spans="1:11" ht="20.45" customHeight="1">
      <c r="A366" s="533">
        <v>14</v>
      </c>
      <c r="B366" s="635" t="s">
        <v>936</v>
      </c>
      <c r="C366" s="636" t="s">
        <v>919</v>
      </c>
      <c r="D366" s="535">
        <f>'Bang gia'!K19</f>
        <v>18000</v>
      </c>
      <c r="E366" s="539"/>
      <c r="F366" s="535"/>
      <c r="G366" s="537"/>
      <c r="H366" s="538"/>
      <c r="I366" s="539">
        <v>5.0000000000000001E-3</v>
      </c>
      <c r="J366" s="540">
        <f t="shared" si="39"/>
        <v>90</v>
      </c>
      <c r="K366" s="541">
        <f t="shared" si="40"/>
        <v>90</v>
      </c>
    </row>
    <row r="367" spans="1:11" ht="20.45" customHeight="1">
      <c r="A367" s="533">
        <v>15</v>
      </c>
      <c r="B367" s="635" t="s">
        <v>937</v>
      </c>
      <c r="C367" s="636" t="s">
        <v>919</v>
      </c>
      <c r="D367" s="535">
        <f>'Bang gia'!K20</f>
        <v>15000</v>
      </c>
      <c r="E367" s="539"/>
      <c r="F367" s="535"/>
      <c r="G367" s="537"/>
      <c r="H367" s="538"/>
      <c r="I367" s="539">
        <v>4.0000000000000001E-3</v>
      </c>
      <c r="J367" s="540">
        <f t="shared" si="39"/>
        <v>60</v>
      </c>
      <c r="K367" s="541">
        <f t="shared" si="40"/>
        <v>60</v>
      </c>
    </row>
    <row r="368" spans="1:11" ht="20.45" customHeight="1">
      <c r="A368" s="641">
        <v>16</v>
      </c>
      <c r="B368" s="635" t="s">
        <v>942</v>
      </c>
      <c r="C368" s="642" t="s">
        <v>928</v>
      </c>
      <c r="D368" s="643">
        <f>'Bang gia'!K23</f>
        <v>1500</v>
      </c>
      <c r="E368" s="638"/>
      <c r="F368" s="643"/>
      <c r="G368" s="639"/>
      <c r="H368" s="644"/>
      <c r="I368" s="638">
        <v>1</v>
      </c>
      <c r="J368" s="540">
        <f t="shared" si="39"/>
        <v>1500</v>
      </c>
      <c r="K368" s="646">
        <f t="shared" si="40"/>
        <v>1500</v>
      </c>
    </row>
    <row r="369" spans="1:12" ht="20.45" customHeight="1">
      <c r="A369" s="652"/>
      <c r="B369" s="653" t="s">
        <v>146</v>
      </c>
      <c r="C369" s="577"/>
      <c r="D369" s="577"/>
      <c r="E369" s="576"/>
      <c r="F369" s="577">
        <f>J369*0.02</f>
        <v>437.1</v>
      </c>
      <c r="G369" s="654"/>
      <c r="H369" s="655"/>
      <c r="I369" s="576"/>
      <c r="J369" s="546">
        <f>SUM(J353:J368)</f>
        <v>21855</v>
      </c>
      <c r="K369" s="546">
        <f>SUM(K353:K368)</f>
        <v>21855</v>
      </c>
    </row>
    <row r="370" spans="1:12" ht="20.45" customHeight="1">
      <c r="A370" s="652"/>
      <c r="B370" s="653" t="s">
        <v>147</v>
      </c>
      <c r="C370" s="577"/>
      <c r="D370" s="577"/>
      <c r="E370" s="576"/>
      <c r="F370" s="577">
        <f>F369*8%</f>
        <v>34.968000000000004</v>
      </c>
      <c r="G370" s="656"/>
      <c r="H370" s="655"/>
      <c r="I370" s="654"/>
      <c r="J370" s="655">
        <f>J369*8%</f>
        <v>1748.4</v>
      </c>
      <c r="K370" s="655">
        <f>K369*8%</f>
        <v>1748.4</v>
      </c>
    </row>
    <row r="371" spans="1:12" ht="20.45" customHeight="1">
      <c r="A371" s="657"/>
      <c r="B371" s="543" t="s">
        <v>546</v>
      </c>
      <c r="C371" s="657"/>
      <c r="D371" s="657"/>
      <c r="E371" s="658"/>
      <c r="F371" s="577">
        <f>F369+F370</f>
        <v>472.06800000000004</v>
      </c>
      <c r="G371" s="576"/>
      <c r="H371" s="546"/>
      <c r="I371" s="576"/>
      <c r="J371" s="546">
        <f>J369+J370</f>
        <v>23603.4</v>
      </c>
      <c r="K371" s="546">
        <f>K369+K370</f>
        <v>23603.4</v>
      </c>
    </row>
    <row r="372" spans="1:12" ht="12" customHeight="1">
      <c r="A372" s="409"/>
      <c r="B372" s="409"/>
      <c r="C372" s="409"/>
    </row>
    <row r="373" spans="1:12">
      <c r="A373" s="663"/>
      <c r="B373" s="554" t="s">
        <v>550</v>
      </c>
      <c r="C373" s="409"/>
    </row>
    <row r="374" spans="1:12">
      <c r="A374" s="561"/>
      <c r="B374" s="560" t="s">
        <v>640</v>
      </c>
      <c r="C374" s="409"/>
    </row>
    <row r="375" spans="1:12">
      <c r="A375" s="628"/>
      <c r="B375" s="560" t="s">
        <v>598</v>
      </c>
      <c r="C375" s="409"/>
    </row>
    <row r="376" spans="1:12" ht="42.6" customHeight="1">
      <c r="A376" s="409"/>
      <c r="B376" s="1222" t="s">
        <v>89</v>
      </c>
      <c r="C376" s="1235"/>
      <c r="D376" s="1235"/>
      <c r="E376" s="1235"/>
      <c r="F376" s="1235"/>
      <c r="G376" s="1235"/>
      <c r="H376" s="1235"/>
      <c r="I376" s="1235"/>
      <c r="J376" s="1235"/>
      <c r="K376" s="1235"/>
    </row>
    <row r="378" spans="1:12" ht="31.9" customHeight="1">
      <c r="A378" s="1221" t="s">
        <v>789</v>
      </c>
      <c r="B378" s="1221"/>
      <c r="C378" s="1221"/>
      <c r="D378" s="1221"/>
      <c r="E378" s="1221"/>
      <c r="F378" s="1221"/>
      <c r="L378" s="527" t="s">
        <v>223</v>
      </c>
    </row>
    <row r="379" spans="1:12" ht="9.75" customHeight="1">
      <c r="A379" s="667"/>
      <c r="B379" s="668"/>
      <c r="C379" s="669"/>
      <c r="D379" s="556"/>
      <c r="E379" s="626"/>
      <c r="F379" s="556"/>
    </row>
    <row r="380" spans="1:12" ht="51.75" customHeight="1">
      <c r="A380" s="676" t="s">
        <v>724</v>
      </c>
      <c r="B380" s="423" t="s">
        <v>534</v>
      </c>
      <c r="C380" s="423" t="s">
        <v>535</v>
      </c>
      <c r="D380" s="423" t="s">
        <v>556</v>
      </c>
      <c r="E380" s="423" t="s">
        <v>637</v>
      </c>
      <c r="F380" s="423" t="s">
        <v>638</v>
      </c>
      <c r="G380" s="1231" t="s">
        <v>983</v>
      </c>
      <c r="H380" s="1232"/>
      <c r="I380" s="1232"/>
      <c r="J380" s="1232"/>
      <c r="K380" s="1233"/>
    </row>
    <row r="381" spans="1:12" ht="31.9" customHeight="1">
      <c r="A381" s="578">
        <v>1</v>
      </c>
      <c r="B381" s="631" t="s">
        <v>918</v>
      </c>
      <c r="C381" s="632" t="s">
        <v>919</v>
      </c>
      <c r="D381" s="612">
        <f>'Bang gia'!K6</f>
        <v>5000</v>
      </c>
      <c r="E381" s="673">
        <v>1.4999999999999999E-2</v>
      </c>
      <c r="F381" s="580">
        <f t="shared" ref="F381:F386" si="41">D381*E381</f>
        <v>75</v>
      </c>
      <c r="G381" s="677"/>
      <c r="H381" s="678"/>
      <c r="I381" s="679"/>
      <c r="J381" s="678"/>
      <c r="K381" s="680"/>
    </row>
    <row r="382" spans="1:12" ht="31.9" customHeight="1">
      <c r="A382" s="533">
        <v>2</v>
      </c>
      <c r="B382" s="633" t="s">
        <v>920</v>
      </c>
      <c r="C382" s="634" t="s">
        <v>921</v>
      </c>
      <c r="D382" s="535">
        <f>'Bang gia'!K7</f>
        <v>2000</v>
      </c>
      <c r="E382" s="566">
        <v>0.3</v>
      </c>
      <c r="F382" s="535">
        <f t="shared" si="41"/>
        <v>600</v>
      </c>
      <c r="G382" s="681"/>
      <c r="H382" s="618"/>
      <c r="I382" s="682"/>
      <c r="J382" s="618"/>
      <c r="K382" s="619"/>
    </row>
    <row r="383" spans="1:12" ht="31.9" customHeight="1">
      <c r="A383" s="533">
        <v>3</v>
      </c>
      <c r="B383" s="633" t="s">
        <v>922</v>
      </c>
      <c r="C383" s="634" t="s">
        <v>921</v>
      </c>
      <c r="D383" s="535">
        <f>'Bang gia'!K8</f>
        <v>2000</v>
      </c>
      <c r="E383" s="566">
        <v>0.15</v>
      </c>
      <c r="F383" s="535">
        <f t="shared" si="41"/>
        <v>300</v>
      </c>
      <c r="G383" s="681"/>
      <c r="H383" s="618"/>
      <c r="I383" s="682"/>
      <c r="J383" s="618"/>
      <c r="K383" s="619"/>
    </row>
    <row r="384" spans="1:12" ht="31.9" customHeight="1">
      <c r="A384" s="533">
        <v>4</v>
      </c>
      <c r="B384" s="633" t="s">
        <v>923</v>
      </c>
      <c r="C384" s="634" t="s">
        <v>921</v>
      </c>
      <c r="D384" s="535">
        <f>'Bang gia'!K9</f>
        <v>1450000</v>
      </c>
      <c r="E384" s="566">
        <v>6.0000000000000001E-3</v>
      </c>
      <c r="F384" s="535">
        <f t="shared" si="41"/>
        <v>8700</v>
      </c>
      <c r="G384" s="681"/>
      <c r="H384" s="618"/>
      <c r="I384" s="682"/>
      <c r="J384" s="618"/>
      <c r="K384" s="619"/>
    </row>
    <row r="385" spans="1:11" ht="31.9" customHeight="1">
      <c r="A385" s="533">
        <v>5</v>
      </c>
      <c r="B385" s="633" t="s">
        <v>142</v>
      </c>
      <c r="C385" s="634" t="s">
        <v>921</v>
      </c>
      <c r="D385" s="535">
        <f>'Bang gia'!K10</f>
        <v>300000</v>
      </c>
      <c r="E385" s="566">
        <v>1.2E-2</v>
      </c>
      <c r="F385" s="535">
        <f t="shared" si="41"/>
        <v>3600</v>
      </c>
      <c r="G385" s="681"/>
      <c r="H385" s="618"/>
      <c r="I385" s="682"/>
      <c r="J385" s="618"/>
      <c r="K385" s="619"/>
    </row>
    <row r="386" spans="1:11" ht="31.9" customHeight="1">
      <c r="A386" s="533">
        <v>6</v>
      </c>
      <c r="B386" s="633" t="s">
        <v>930</v>
      </c>
      <c r="C386" s="634" t="s">
        <v>931</v>
      </c>
      <c r="D386" s="535">
        <f>'Bang gia'!K15</f>
        <v>45000</v>
      </c>
      <c r="E386" s="566">
        <v>0.09</v>
      </c>
      <c r="F386" s="535">
        <f t="shared" si="41"/>
        <v>4050</v>
      </c>
      <c r="G386" s="683"/>
      <c r="H386" s="684"/>
      <c r="I386" s="685"/>
      <c r="J386" s="684"/>
      <c r="K386" s="686"/>
    </row>
    <row r="387" spans="1:11" ht="31.9" customHeight="1">
      <c r="A387" s="652"/>
      <c r="B387" s="653" t="s">
        <v>146</v>
      </c>
      <c r="C387" s="577"/>
      <c r="D387" s="577"/>
      <c r="E387" s="576"/>
      <c r="F387" s="577">
        <f>SUM(F381:F386)</f>
        <v>17325</v>
      </c>
      <c r="G387" s="687"/>
      <c r="H387" s="574"/>
      <c r="I387" s="688"/>
      <c r="J387" s="574"/>
      <c r="K387" s="575"/>
    </row>
    <row r="388" spans="1:11" ht="31.9" customHeight="1">
      <c r="A388" s="652"/>
      <c r="B388" s="653" t="s">
        <v>147</v>
      </c>
      <c r="C388" s="577"/>
      <c r="D388" s="577"/>
      <c r="E388" s="576"/>
      <c r="F388" s="577">
        <f>F387*8%</f>
        <v>1386</v>
      </c>
      <c r="G388" s="687"/>
      <c r="H388" s="574"/>
      <c r="I388" s="688"/>
      <c r="J388" s="574"/>
      <c r="K388" s="575"/>
    </row>
    <row r="389" spans="1:11" ht="31.9" customHeight="1">
      <c r="A389" s="657"/>
      <c r="B389" s="543" t="s">
        <v>546</v>
      </c>
      <c r="C389" s="657"/>
      <c r="D389" s="657"/>
      <c r="E389" s="658"/>
      <c r="F389" s="544">
        <f>F387+F388</f>
        <v>18711</v>
      </c>
      <c r="G389" s="687"/>
      <c r="H389" s="574"/>
      <c r="I389" s="688"/>
      <c r="J389" s="574"/>
      <c r="K389" s="575"/>
    </row>
    <row r="391" spans="1:11">
      <c r="B391" s="689" t="s">
        <v>983</v>
      </c>
    </row>
    <row r="392" spans="1:11">
      <c r="B392" s="1222" t="s">
        <v>91</v>
      </c>
      <c r="C392" s="1222"/>
      <c r="D392" s="1222"/>
      <c r="E392" s="1222"/>
      <c r="F392" s="1222"/>
      <c r="G392" s="1222"/>
      <c r="H392" s="1222"/>
      <c r="I392" s="1222"/>
      <c r="J392" s="1222"/>
      <c r="K392" s="1222"/>
    </row>
    <row r="393" spans="1:11" ht="66" customHeight="1">
      <c r="B393" s="1222"/>
      <c r="C393" s="1222"/>
      <c r="D393" s="1222"/>
      <c r="E393" s="1222"/>
      <c r="F393" s="1222"/>
      <c r="G393" s="1222"/>
      <c r="H393" s="1222"/>
      <c r="I393" s="1222"/>
      <c r="J393" s="1222"/>
      <c r="K393" s="1222"/>
    </row>
  </sheetData>
  <mergeCells count="141">
    <mergeCell ref="B347:K347"/>
    <mergeCell ref="B346:K346"/>
    <mergeCell ref="A229:K229"/>
    <mergeCell ref="B376:K376"/>
    <mergeCell ref="A38:K38"/>
    <mergeCell ref="D40:D42"/>
    <mergeCell ref="I41:J41"/>
    <mergeCell ref="K40:K42"/>
    <mergeCell ref="A40:A42"/>
    <mergeCell ref="E40:J40"/>
    <mergeCell ref="B392:K393"/>
    <mergeCell ref="B193:K193"/>
    <mergeCell ref="B226:K226"/>
    <mergeCell ref="B315:K315"/>
    <mergeCell ref="B316:K316"/>
    <mergeCell ref="A74:A76"/>
    <mergeCell ref="K103:K105"/>
    <mergeCell ref="I291:J291"/>
    <mergeCell ref="B261:B263"/>
    <mergeCell ref="D261:D263"/>
    <mergeCell ref="A72:K72"/>
    <mergeCell ref="I75:J75"/>
    <mergeCell ref="E41:F41"/>
    <mergeCell ref="B74:B76"/>
    <mergeCell ref="C74:C76"/>
    <mergeCell ref="E74:J74"/>
    <mergeCell ref="G75:H75"/>
    <mergeCell ref="D74:D76"/>
    <mergeCell ref="B69:K69"/>
    <mergeCell ref="B70:K70"/>
    <mergeCell ref="G41:H41"/>
    <mergeCell ref="D103:D105"/>
    <mergeCell ref="B40:B42"/>
    <mergeCell ref="C40:C42"/>
    <mergeCell ref="K320:K322"/>
    <mergeCell ref="K261:K263"/>
    <mergeCell ref="B290:B292"/>
    <mergeCell ref="C290:C292"/>
    <mergeCell ref="D290:D292"/>
    <mergeCell ref="E261:J261"/>
    <mergeCell ref="C261:C263"/>
    <mergeCell ref="B197:B199"/>
    <mergeCell ref="E232:F232"/>
    <mergeCell ref="G232:H232"/>
    <mergeCell ref="A290:A292"/>
    <mergeCell ref="D231:D233"/>
    <mergeCell ref="E231:J231"/>
    <mergeCell ref="B231:B233"/>
    <mergeCell ref="A231:A233"/>
    <mergeCell ref="A261:A263"/>
    <mergeCell ref="G262:H262"/>
    <mergeCell ref="C231:C233"/>
    <mergeCell ref="A259:K259"/>
    <mergeCell ref="E291:F291"/>
    <mergeCell ref="E290:J290"/>
    <mergeCell ref="G291:H291"/>
    <mergeCell ref="K290:K292"/>
    <mergeCell ref="K231:K233"/>
    <mergeCell ref="I232:J232"/>
    <mergeCell ref="E262:F262"/>
    <mergeCell ref="I262:J262"/>
    <mergeCell ref="B191:K191"/>
    <mergeCell ref="E198:F198"/>
    <mergeCell ref="A195:K195"/>
    <mergeCell ref="K197:K199"/>
    <mergeCell ref="I198:J198"/>
    <mergeCell ref="G198:H198"/>
    <mergeCell ref="C197:C199"/>
    <mergeCell ref="D197:D199"/>
    <mergeCell ref="E197:J197"/>
    <mergeCell ref="A197:A199"/>
    <mergeCell ref="B157:K157"/>
    <mergeCell ref="E134:F134"/>
    <mergeCell ref="G134:H134"/>
    <mergeCell ref="I134:J134"/>
    <mergeCell ref="C133:C135"/>
    <mergeCell ref="B163:B165"/>
    <mergeCell ref="C163:C165"/>
    <mergeCell ref="K133:K135"/>
    <mergeCell ref="E133:J133"/>
    <mergeCell ref="B99:K99"/>
    <mergeCell ref="B128:K128"/>
    <mergeCell ref="D133:D135"/>
    <mergeCell ref="B133:B135"/>
    <mergeCell ref="A131:K131"/>
    <mergeCell ref="A103:A105"/>
    <mergeCell ref="B103:B105"/>
    <mergeCell ref="C103:C105"/>
    <mergeCell ref="A133:A135"/>
    <mergeCell ref="A1:K1"/>
    <mergeCell ref="D5:D7"/>
    <mergeCell ref="A3:K3"/>
    <mergeCell ref="A5:A7"/>
    <mergeCell ref="E5:J5"/>
    <mergeCell ref="I6:J6"/>
    <mergeCell ref="B34:K34"/>
    <mergeCell ref="B36:K36"/>
    <mergeCell ref="K5:K7"/>
    <mergeCell ref="E6:F6"/>
    <mergeCell ref="B5:B7"/>
    <mergeCell ref="C5:C7"/>
    <mergeCell ref="B35:K35"/>
    <mergeCell ref="G6:H6"/>
    <mergeCell ref="A161:K161"/>
    <mergeCell ref="I164:J164"/>
    <mergeCell ref="K163:K165"/>
    <mergeCell ref="D163:D165"/>
    <mergeCell ref="G164:H164"/>
    <mergeCell ref="E164:F164"/>
    <mergeCell ref="E163:J163"/>
    <mergeCell ref="A163:A165"/>
    <mergeCell ref="I351:J351"/>
    <mergeCell ref="A320:A322"/>
    <mergeCell ref="B320:B322"/>
    <mergeCell ref="C320:C322"/>
    <mergeCell ref="D320:D322"/>
    <mergeCell ref="G321:H321"/>
    <mergeCell ref="E321:F321"/>
    <mergeCell ref="E350:J350"/>
    <mergeCell ref="E320:J320"/>
    <mergeCell ref="B345:K345"/>
    <mergeCell ref="G380:K380"/>
    <mergeCell ref="K74:K76"/>
    <mergeCell ref="E75:F75"/>
    <mergeCell ref="E104:F104"/>
    <mergeCell ref="G104:H104"/>
    <mergeCell ref="I104:J104"/>
    <mergeCell ref="A348:K348"/>
    <mergeCell ref="K350:K352"/>
    <mergeCell ref="A318:K318"/>
    <mergeCell ref="I321:J321"/>
    <mergeCell ref="A378:F378"/>
    <mergeCell ref="A101:K101"/>
    <mergeCell ref="E351:F351"/>
    <mergeCell ref="A288:K288"/>
    <mergeCell ref="E103:J103"/>
    <mergeCell ref="G351:H351"/>
    <mergeCell ref="A350:A352"/>
    <mergeCell ref="B350:B352"/>
    <mergeCell ref="C350:C352"/>
    <mergeCell ref="D350:D352"/>
  </mergeCells>
  <phoneticPr fontId="5" type="noConversion"/>
  <printOptions horizontalCentered="1"/>
  <pageMargins left="0.80118110200000003" right="0.80118110200000003" top="0.511811023622047" bottom="0.66929133858267698" header="0.31496062992126" footer="0.39370078740157499"/>
  <pageSetup paperSize="9" scale="93" firstPageNumber="151" orientation="landscape" useFirstPageNumber="1"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Y229"/>
  <sheetViews>
    <sheetView topLeftCell="A217" zoomScale="80" zoomScaleNormal="80" workbookViewId="0">
      <selection activeCell="B229" sqref="B229:I229"/>
    </sheetView>
  </sheetViews>
  <sheetFormatPr defaultRowHeight="16.5"/>
  <cols>
    <col min="1" max="1" width="5.109375" style="409" customWidth="1"/>
    <col min="2" max="2" width="18.5546875" style="409" customWidth="1"/>
    <col min="3" max="3" width="6.6640625" style="409" customWidth="1"/>
    <col min="4" max="4" width="6.33203125" style="409" customWidth="1"/>
    <col min="5" max="5" width="5.33203125" style="409" customWidth="1"/>
    <col min="6" max="6" width="10.88671875" style="409" customWidth="1"/>
    <col min="7" max="7" width="8.44140625" style="409" customWidth="1"/>
    <col min="8" max="8" width="8.88671875" style="409"/>
    <col min="9" max="9" width="9" style="409" customWidth="1"/>
    <col min="10" max="10" width="7.77734375" style="409" customWidth="1"/>
    <col min="11" max="11" width="9" style="409" customWidth="1"/>
    <col min="12" max="12" width="7.5546875" style="409" customWidth="1"/>
    <col min="13" max="13" width="9.33203125" style="409" customWidth="1"/>
    <col min="14" max="14" width="11.21875" style="409" customWidth="1"/>
    <col min="15" max="15" width="10.21875" style="409" bestFit="1" customWidth="1"/>
    <col min="16" max="23" width="8.88671875" style="409"/>
    <col min="24" max="16384" width="8.88671875" style="527"/>
  </cols>
  <sheetData>
    <row r="1" spans="1:20" ht="24.75" customHeight="1">
      <c r="A1" s="1227" t="s">
        <v>433</v>
      </c>
      <c r="B1" s="1227"/>
      <c r="C1" s="1227"/>
      <c r="D1" s="1227"/>
      <c r="E1" s="1227"/>
      <c r="F1" s="1227"/>
      <c r="G1" s="1227"/>
      <c r="H1" s="1227"/>
      <c r="I1" s="1227"/>
      <c r="J1" s="1227"/>
      <c r="K1" s="1227"/>
      <c r="L1" s="1227"/>
      <c r="M1" s="1227"/>
      <c r="N1" s="1227"/>
    </row>
    <row r="2" spans="1:20" ht="15" customHeight="1">
      <c r="A2" s="528"/>
      <c r="B2" s="528"/>
      <c r="C2" s="528"/>
      <c r="D2" s="528"/>
      <c r="E2" s="528"/>
      <c r="F2" s="528"/>
      <c r="G2" s="528"/>
      <c r="H2" s="528"/>
      <c r="I2" s="528"/>
      <c r="J2" s="528"/>
      <c r="K2" s="528"/>
      <c r="L2" s="528"/>
      <c r="M2" s="528"/>
    </row>
    <row r="3" spans="1:20" ht="24" customHeight="1">
      <c r="A3" s="1236" t="s">
        <v>224</v>
      </c>
      <c r="B3" s="1236"/>
      <c r="C3" s="1236"/>
      <c r="D3" s="1236"/>
      <c r="E3" s="1236"/>
      <c r="F3" s="1236"/>
      <c r="G3" s="1236"/>
      <c r="H3" s="1236"/>
      <c r="I3" s="1236"/>
      <c r="J3" s="1236"/>
      <c r="K3" s="1236"/>
      <c r="L3" s="1236"/>
      <c r="M3" s="1236"/>
      <c r="N3" s="1236"/>
    </row>
    <row r="4" spans="1:20" ht="24.75" customHeight="1">
      <c r="A4" s="1203" t="s">
        <v>724</v>
      </c>
      <c r="B4" s="1203" t="s">
        <v>534</v>
      </c>
      <c r="C4" s="1203" t="s">
        <v>469</v>
      </c>
      <c r="D4" s="1203" t="s">
        <v>535</v>
      </c>
      <c r="E4" s="1206" t="s">
        <v>470</v>
      </c>
      <c r="F4" s="1203" t="s">
        <v>471</v>
      </c>
      <c r="G4" s="1203" t="s">
        <v>538</v>
      </c>
      <c r="H4" s="1212" t="s">
        <v>539</v>
      </c>
      <c r="I4" s="1214"/>
      <c r="J4" s="1214"/>
      <c r="K4" s="1214"/>
      <c r="L4" s="1214"/>
      <c r="M4" s="1213"/>
      <c r="N4" s="1203" t="s">
        <v>498</v>
      </c>
    </row>
    <row r="5" spans="1:20" ht="37.9" customHeight="1">
      <c r="A5" s="1204"/>
      <c r="B5" s="1204"/>
      <c r="C5" s="1204"/>
      <c r="D5" s="1204"/>
      <c r="E5" s="1207"/>
      <c r="F5" s="1204"/>
      <c r="G5" s="1204"/>
      <c r="H5" s="1212" t="s">
        <v>540</v>
      </c>
      <c r="I5" s="1213"/>
      <c r="J5" s="1212" t="s">
        <v>561</v>
      </c>
      <c r="K5" s="1213"/>
      <c r="L5" s="1212" t="s">
        <v>542</v>
      </c>
      <c r="M5" s="1213"/>
      <c r="N5" s="1204"/>
    </row>
    <row r="6" spans="1:20" ht="22.5" customHeight="1">
      <c r="A6" s="1205"/>
      <c r="B6" s="1205"/>
      <c r="C6" s="1205"/>
      <c r="D6" s="1205"/>
      <c r="E6" s="1208"/>
      <c r="F6" s="1205"/>
      <c r="G6" s="1205"/>
      <c r="H6" s="423" t="s">
        <v>768</v>
      </c>
      <c r="I6" s="423" t="s">
        <v>472</v>
      </c>
      <c r="J6" s="423" t="s">
        <v>768</v>
      </c>
      <c r="K6" s="423" t="s">
        <v>472</v>
      </c>
      <c r="L6" s="423" t="s">
        <v>768</v>
      </c>
      <c r="M6" s="423" t="s">
        <v>472</v>
      </c>
      <c r="N6" s="1205"/>
    </row>
    <row r="7" spans="1:20" ht="19.149999999999999" customHeight="1">
      <c r="A7" s="578">
        <v>1</v>
      </c>
      <c r="B7" s="579" t="s">
        <v>954</v>
      </c>
      <c r="C7" s="578">
        <v>0.4</v>
      </c>
      <c r="D7" s="578" t="s">
        <v>202</v>
      </c>
      <c r="E7" s="578">
        <f>'Bang gia'!P9</f>
        <v>5</v>
      </c>
      <c r="F7" s="580">
        <f>'Bang gia'!Q9</f>
        <v>15000000</v>
      </c>
      <c r="G7" s="535">
        <f t="shared" ref="G7:G13" si="0">F7/E7/500</f>
        <v>6000</v>
      </c>
      <c r="H7" s="581">
        <v>2.3E-2</v>
      </c>
      <c r="I7" s="580">
        <f>G7*H7</f>
        <v>138</v>
      </c>
      <c r="J7" s="581">
        <v>0.23799999999999999</v>
      </c>
      <c r="K7" s="582">
        <f t="shared" ref="K7:K12" si="1">G7*J7</f>
        <v>1428</v>
      </c>
      <c r="L7" s="581">
        <v>0.129</v>
      </c>
      <c r="M7" s="583">
        <f t="shared" ref="M7:M13" si="2">G7*L7</f>
        <v>774</v>
      </c>
      <c r="N7" s="582">
        <f t="shared" ref="N7:N13" si="3">I7+K7+M7</f>
        <v>2340</v>
      </c>
      <c r="O7" s="584"/>
    </row>
    <row r="8" spans="1:20" ht="19.149999999999999" customHeight="1">
      <c r="A8" s="533">
        <v>2</v>
      </c>
      <c r="B8" s="585" t="s">
        <v>964</v>
      </c>
      <c r="C8" s="586">
        <v>0.6</v>
      </c>
      <c r="D8" s="533" t="s">
        <v>202</v>
      </c>
      <c r="E8" s="533">
        <f>'Bang gia'!P21</f>
        <v>10</v>
      </c>
      <c r="F8" s="535">
        <f>'Bang gia'!Q21</f>
        <v>5800000</v>
      </c>
      <c r="G8" s="535">
        <f t="shared" si="0"/>
        <v>1160</v>
      </c>
      <c r="H8" s="539">
        <v>3.0000000000000001E-3</v>
      </c>
      <c r="I8" s="535">
        <f>G8*H8</f>
        <v>3.48</v>
      </c>
      <c r="J8" s="537">
        <v>2.4E-2</v>
      </c>
      <c r="K8" s="538">
        <f t="shared" si="1"/>
        <v>27.84</v>
      </c>
      <c r="L8" s="539">
        <v>3.0000000000000001E-3</v>
      </c>
      <c r="M8" s="540">
        <f t="shared" si="2"/>
        <v>3.48</v>
      </c>
      <c r="N8" s="541">
        <f t="shared" si="3"/>
        <v>34.799999999999997</v>
      </c>
      <c r="O8" s="584"/>
    </row>
    <row r="9" spans="1:20" ht="19.149999999999999" customHeight="1">
      <c r="A9" s="533">
        <v>3</v>
      </c>
      <c r="B9" s="534" t="s">
        <v>962</v>
      </c>
      <c r="C9" s="533">
        <v>0.6</v>
      </c>
      <c r="D9" s="533" t="s">
        <v>202</v>
      </c>
      <c r="E9" s="533">
        <f>'Bang gia'!P19</f>
        <v>10</v>
      </c>
      <c r="F9" s="535">
        <f>'Bang gia'!Q19</f>
        <v>24800000</v>
      </c>
      <c r="G9" s="535">
        <f t="shared" si="0"/>
        <v>4960</v>
      </c>
      <c r="H9" s="539"/>
      <c r="I9" s="535"/>
      <c r="J9" s="537">
        <v>0.04</v>
      </c>
      <c r="K9" s="538">
        <f t="shared" si="1"/>
        <v>198.4</v>
      </c>
      <c r="L9" s="539">
        <v>8.0000000000000002E-3</v>
      </c>
      <c r="M9" s="540">
        <f t="shared" si="2"/>
        <v>39.68</v>
      </c>
      <c r="N9" s="541">
        <f t="shared" si="3"/>
        <v>238.08</v>
      </c>
      <c r="O9" s="584"/>
    </row>
    <row r="10" spans="1:20" ht="19.149999999999999" customHeight="1">
      <c r="A10" s="533">
        <v>4</v>
      </c>
      <c r="B10" s="534" t="s">
        <v>572</v>
      </c>
      <c r="C10" s="533">
        <v>0.6</v>
      </c>
      <c r="D10" s="533" t="s">
        <v>202</v>
      </c>
      <c r="E10" s="533">
        <v>10</v>
      </c>
      <c r="F10" s="535">
        <f>'Bang gia'!Q22</f>
        <v>28500000</v>
      </c>
      <c r="G10" s="535">
        <f t="shared" si="0"/>
        <v>5700</v>
      </c>
      <c r="H10" s="539"/>
      <c r="I10" s="535"/>
      <c r="J10" s="537">
        <v>0.04</v>
      </c>
      <c r="K10" s="538">
        <f t="shared" si="1"/>
        <v>228</v>
      </c>
      <c r="L10" s="539"/>
      <c r="M10" s="540"/>
      <c r="N10" s="541">
        <f t="shared" si="3"/>
        <v>228</v>
      </c>
      <c r="O10" s="584"/>
    </row>
    <row r="11" spans="1:20" ht="19.149999999999999" customHeight="1">
      <c r="A11" s="533">
        <v>5</v>
      </c>
      <c r="B11" s="534" t="s">
        <v>473</v>
      </c>
      <c r="C11" s="533">
        <v>2.2000000000000002</v>
      </c>
      <c r="D11" s="533" t="s">
        <v>202</v>
      </c>
      <c r="E11" s="533">
        <f>'Bang gia'!P11</f>
        <v>10</v>
      </c>
      <c r="F11" s="535">
        <f>'Bang gia'!Q11</f>
        <v>14500000</v>
      </c>
      <c r="G11" s="535">
        <f t="shared" si="0"/>
        <v>2900</v>
      </c>
      <c r="H11" s="539">
        <v>6.0000000000000001E-3</v>
      </c>
      <c r="I11" s="535">
        <f>G11*H11</f>
        <v>17.400000000000002</v>
      </c>
      <c r="J11" s="537">
        <v>7.0999999999999994E-2</v>
      </c>
      <c r="K11" s="538">
        <f t="shared" si="1"/>
        <v>205.89999999999998</v>
      </c>
      <c r="L11" s="539">
        <v>3.7999999999999999E-2</v>
      </c>
      <c r="M11" s="540">
        <f t="shared" si="2"/>
        <v>110.2</v>
      </c>
      <c r="N11" s="541">
        <f t="shared" si="3"/>
        <v>333.5</v>
      </c>
    </row>
    <row r="12" spans="1:20" ht="19.149999999999999" customHeight="1">
      <c r="A12" s="533">
        <v>6</v>
      </c>
      <c r="B12" s="534" t="s">
        <v>575</v>
      </c>
      <c r="C12" s="533">
        <v>1.5</v>
      </c>
      <c r="D12" s="533" t="s">
        <v>202</v>
      </c>
      <c r="E12" s="533">
        <f>'Bang gia'!P20</f>
        <v>10</v>
      </c>
      <c r="F12" s="535">
        <f>'Bang gia'!Q20</f>
        <v>25500000</v>
      </c>
      <c r="G12" s="535">
        <f t="shared" si="0"/>
        <v>5100</v>
      </c>
      <c r="H12" s="539">
        <v>1E-3</v>
      </c>
      <c r="I12" s="535">
        <f>G12*H12</f>
        <v>5.1000000000000005</v>
      </c>
      <c r="J12" s="537">
        <v>2.4E-2</v>
      </c>
      <c r="K12" s="538">
        <f t="shared" si="1"/>
        <v>122.4</v>
      </c>
      <c r="L12" s="539">
        <v>3.0000000000000001E-3</v>
      </c>
      <c r="M12" s="540">
        <f t="shared" si="2"/>
        <v>15.3</v>
      </c>
      <c r="N12" s="541">
        <f t="shared" si="3"/>
        <v>142.80000000000001</v>
      </c>
    </row>
    <row r="13" spans="1:20" ht="19.149999999999999" customHeight="1">
      <c r="A13" s="533">
        <v>7</v>
      </c>
      <c r="B13" s="534" t="s">
        <v>474</v>
      </c>
      <c r="C13" s="533">
        <v>0.4</v>
      </c>
      <c r="D13" s="533" t="s">
        <v>202</v>
      </c>
      <c r="E13" s="533">
        <f>'Bang gia'!P10</f>
        <v>10</v>
      </c>
      <c r="F13" s="535">
        <f>'Bang gia'!Q10</f>
        <v>105000000</v>
      </c>
      <c r="G13" s="535">
        <f t="shared" si="0"/>
        <v>21000</v>
      </c>
      <c r="H13" s="536"/>
      <c r="I13" s="535"/>
      <c r="J13" s="587"/>
      <c r="K13" s="538"/>
      <c r="L13" s="539">
        <v>1E-3</v>
      </c>
      <c r="M13" s="540">
        <f t="shared" si="2"/>
        <v>21</v>
      </c>
      <c r="N13" s="541">
        <f t="shared" si="3"/>
        <v>21</v>
      </c>
    </row>
    <row r="14" spans="1:20" ht="19.149999999999999" customHeight="1">
      <c r="A14" s="588"/>
      <c r="B14" s="543" t="s">
        <v>475</v>
      </c>
      <c r="C14" s="543"/>
      <c r="D14" s="588"/>
      <c r="E14" s="588"/>
      <c r="F14" s="589"/>
      <c r="G14" s="588"/>
      <c r="H14" s="588"/>
      <c r="I14" s="544">
        <f>SUM(I7:I13)</f>
        <v>163.98</v>
      </c>
      <c r="J14" s="545"/>
      <c r="K14" s="546">
        <f>SUM(K7:K13)</f>
        <v>2210.54</v>
      </c>
      <c r="L14" s="545"/>
      <c r="M14" s="546">
        <f>SUM(M7:M13)</f>
        <v>963.66</v>
      </c>
      <c r="N14" s="546">
        <f>SUM(N7:N13)</f>
        <v>3338.1800000000003</v>
      </c>
      <c r="P14" s="590">
        <f>I14/8000</f>
        <v>2.0497499999999998E-2</v>
      </c>
      <c r="Q14" s="590">
        <f>J14/8000</f>
        <v>0</v>
      </c>
      <c r="R14" s="590">
        <f>K14/8000</f>
        <v>0.27631749999999999</v>
      </c>
      <c r="S14" s="590">
        <f>L14/8000</f>
        <v>0</v>
      </c>
      <c r="T14" s="590">
        <f>M14/8000</f>
        <v>0.1204575</v>
      </c>
    </row>
    <row r="15" spans="1:20">
      <c r="A15" s="561"/>
      <c r="B15" s="554" t="s">
        <v>550</v>
      </c>
      <c r="D15" s="558"/>
      <c r="E15" s="449"/>
      <c r="F15" s="559"/>
      <c r="G15" s="449"/>
      <c r="H15" s="556"/>
      <c r="I15" s="556"/>
      <c r="J15" s="557"/>
      <c r="K15" s="557"/>
      <c r="L15" s="557"/>
      <c r="M15" s="557"/>
      <c r="N15" s="449"/>
    </row>
    <row r="16" spans="1:20" ht="52.9" customHeight="1">
      <c r="A16" s="561"/>
      <c r="B16" s="1223" t="s">
        <v>397</v>
      </c>
      <c r="C16" s="1223"/>
      <c r="D16" s="1223"/>
      <c r="E16" s="1223"/>
      <c r="F16" s="1223"/>
      <c r="G16" s="1223"/>
      <c r="H16" s="1223"/>
      <c r="I16" s="1223"/>
      <c r="J16" s="1223"/>
      <c r="K16" s="1223"/>
      <c r="L16" s="1223"/>
      <c r="M16" s="1223"/>
      <c r="N16" s="1223"/>
    </row>
    <row r="17" spans="1:16" ht="37.15" customHeight="1">
      <c r="A17" s="561"/>
      <c r="B17" s="1223" t="s">
        <v>398</v>
      </c>
      <c r="C17" s="1223"/>
      <c r="D17" s="1223"/>
      <c r="E17" s="1223"/>
      <c r="F17" s="1223"/>
      <c r="G17" s="1223"/>
      <c r="H17" s="1223"/>
      <c r="I17" s="1223"/>
      <c r="J17" s="1223"/>
      <c r="K17" s="1223"/>
      <c r="L17" s="1223"/>
      <c r="M17" s="1223"/>
      <c r="N17" s="1223"/>
    </row>
    <row r="18" spans="1:16" ht="25.9" customHeight="1">
      <c r="A18" s="561"/>
      <c r="B18" s="1217" t="s">
        <v>399</v>
      </c>
      <c r="C18" s="1217"/>
      <c r="D18" s="1217"/>
      <c r="E18" s="1217"/>
      <c r="F18" s="1217"/>
      <c r="G18" s="1217"/>
      <c r="H18" s="1217"/>
      <c r="I18" s="1217"/>
      <c r="J18" s="1217"/>
      <c r="K18" s="1217"/>
      <c r="L18" s="1217"/>
      <c r="M18" s="1217"/>
      <c r="N18" s="1217"/>
    </row>
    <row r="19" spans="1:16" ht="38.450000000000003" customHeight="1">
      <c r="A19" s="561"/>
      <c r="B19" s="1223" t="s">
        <v>400</v>
      </c>
      <c r="C19" s="1223"/>
      <c r="D19" s="1223"/>
      <c r="E19" s="1223"/>
      <c r="F19" s="1223"/>
      <c r="G19" s="1223"/>
      <c r="H19" s="1223"/>
      <c r="I19" s="1223"/>
      <c r="J19" s="1223"/>
      <c r="K19" s="1223"/>
      <c r="L19" s="1223"/>
      <c r="M19" s="1223"/>
      <c r="N19" s="1223"/>
    </row>
    <row r="20" spans="1:16" ht="20.25" customHeight="1">
      <c r="A20" s="561"/>
      <c r="B20" s="558"/>
      <c r="C20" s="558"/>
      <c r="D20" s="558"/>
      <c r="E20" s="449"/>
      <c r="F20" s="559"/>
      <c r="G20" s="449"/>
      <c r="H20" s="556"/>
      <c r="I20" s="556"/>
      <c r="J20" s="557"/>
      <c r="K20" s="557"/>
      <c r="L20" s="557"/>
      <c r="M20" s="557"/>
      <c r="N20" s="449"/>
    </row>
    <row r="21" spans="1:16" ht="35.25" customHeight="1">
      <c r="A21" s="1236" t="s">
        <v>321</v>
      </c>
      <c r="B21" s="1236"/>
      <c r="C21" s="1236"/>
      <c r="D21" s="1236"/>
      <c r="E21" s="1236"/>
      <c r="F21" s="1236"/>
      <c r="G21" s="1236"/>
      <c r="H21" s="1236"/>
      <c r="I21" s="1236"/>
      <c r="J21" s="1236"/>
      <c r="K21" s="1236"/>
      <c r="L21" s="1236"/>
      <c r="M21" s="1236"/>
      <c r="N21" s="1236"/>
    </row>
    <row r="22" spans="1:16" ht="22.15" customHeight="1">
      <c r="A22" s="1203" t="s">
        <v>724</v>
      </c>
      <c r="B22" s="1203" t="s">
        <v>534</v>
      </c>
      <c r="C22" s="1203" t="s">
        <v>469</v>
      </c>
      <c r="D22" s="1203" t="s">
        <v>535</v>
      </c>
      <c r="E22" s="1206" t="s">
        <v>470</v>
      </c>
      <c r="F22" s="1203" t="s">
        <v>471</v>
      </c>
      <c r="G22" s="1203" t="s">
        <v>538</v>
      </c>
      <c r="H22" s="1212" t="s">
        <v>539</v>
      </c>
      <c r="I22" s="1214"/>
      <c r="J22" s="1214"/>
      <c r="K22" s="1214"/>
      <c r="L22" s="1214"/>
      <c r="M22" s="1213"/>
      <c r="N22" s="1203" t="s">
        <v>769</v>
      </c>
    </row>
    <row r="23" spans="1:16" ht="31.15" customHeight="1">
      <c r="A23" s="1204"/>
      <c r="B23" s="1204"/>
      <c r="C23" s="1204"/>
      <c r="D23" s="1204"/>
      <c r="E23" s="1207"/>
      <c r="F23" s="1204"/>
      <c r="G23" s="1204"/>
      <c r="H23" s="1212" t="s">
        <v>488</v>
      </c>
      <c r="I23" s="1213"/>
      <c r="J23" s="1212" t="s">
        <v>140</v>
      </c>
      <c r="K23" s="1213"/>
      <c r="L23" s="1212" t="s">
        <v>542</v>
      </c>
      <c r="M23" s="1213"/>
      <c r="N23" s="1204"/>
    </row>
    <row r="24" spans="1:16" ht="22.15" customHeight="1">
      <c r="A24" s="1205"/>
      <c r="B24" s="1205"/>
      <c r="C24" s="1205"/>
      <c r="D24" s="1205"/>
      <c r="E24" s="1208"/>
      <c r="F24" s="1205"/>
      <c r="G24" s="1205"/>
      <c r="H24" s="524" t="s">
        <v>770</v>
      </c>
      <c r="I24" s="524" t="s">
        <v>497</v>
      </c>
      <c r="J24" s="524" t="s">
        <v>770</v>
      </c>
      <c r="K24" s="524" t="s">
        <v>497</v>
      </c>
      <c r="L24" s="524" t="s">
        <v>770</v>
      </c>
      <c r="M24" s="524" t="s">
        <v>497</v>
      </c>
      <c r="N24" s="1205"/>
    </row>
    <row r="25" spans="1:16" ht="22.9" customHeight="1">
      <c r="A25" s="578">
        <v>1</v>
      </c>
      <c r="B25" s="579" t="s">
        <v>954</v>
      </c>
      <c r="C25" s="578">
        <v>0.4</v>
      </c>
      <c r="D25" s="578" t="s">
        <v>202</v>
      </c>
      <c r="E25" s="578">
        <f>E7</f>
        <v>5</v>
      </c>
      <c r="F25" s="580">
        <f>'Bang gia'!Q9</f>
        <v>15000000</v>
      </c>
      <c r="G25" s="535">
        <f t="shared" ref="G25:G31" si="4">F25/E25/500</f>
        <v>6000</v>
      </c>
      <c r="H25" s="581">
        <v>1.2999999999999999E-2</v>
      </c>
      <c r="I25" s="580">
        <f>G25*H25</f>
        <v>78</v>
      </c>
      <c r="J25" s="581">
        <v>0.3</v>
      </c>
      <c r="K25" s="582">
        <f t="shared" ref="K25:K30" si="5">G25*J25</f>
        <v>1800</v>
      </c>
      <c r="L25" s="581">
        <v>0.14099999999999999</v>
      </c>
      <c r="M25" s="583">
        <f>G25*L25</f>
        <v>845.99999999999989</v>
      </c>
      <c r="N25" s="582">
        <f t="shared" ref="N25:N31" si="6">I25+K25+M25</f>
        <v>2724</v>
      </c>
    </row>
    <row r="26" spans="1:16" ht="21.75" customHeight="1">
      <c r="A26" s="533">
        <v>2</v>
      </c>
      <c r="B26" s="585" t="s">
        <v>964</v>
      </c>
      <c r="C26" s="586">
        <v>0.6</v>
      </c>
      <c r="D26" s="533" t="s">
        <v>202</v>
      </c>
      <c r="E26" s="533">
        <f>E8</f>
        <v>10</v>
      </c>
      <c r="F26" s="535">
        <f>'Bang gia'!Q21</f>
        <v>5800000</v>
      </c>
      <c r="G26" s="535">
        <f t="shared" si="4"/>
        <v>1160</v>
      </c>
      <c r="H26" s="539">
        <v>3.0000000000000001E-3</v>
      </c>
      <c r="I26" s="535">
        <f>G26*H26</f>
        <v>3.48</v>
      </c>
      <c r="J26" s="537">
        <v>0.03</v>
      </c>
      <c r="K26" s="538">
        <f t="shared" si="5"/>
        <v>34.799999999999997</v>
      </c>
      <c r="L26" s="539">
        <v>3.0000000000000001E-3</v>
      </c>
      <c r="M26" s="540">
        <f>G26*L26</f>
        <v>3.48</v>
      </c>
      <c r="N26" s="541">
        <f t="shared" si="6"/>
        <v>41.759999999999991</v>
      </c>
    </row>
    <row r="27" spans="1:16" ht="22.9" customHeight="1">
      <c r="A27" s="533">
        <v>3</v>
      </c>
      <c r="B27" s="534" t="s">
        <v>962</v>
      </c>
      <c r="C27" s="533">
        <v>0.6</v>
      </c>
      <c r="D27" s="533" t="s">
        <v>202</v>
      </c>
      <c r="E27" s="533">
        <f>E9</f>
        <v>10</v>
      </c>
      <c r="F27" s="535">
        <f>'Bang gia'!Q19</f>
        <v>24800000</v>
      </c>
      <c r="G27" s="535">
        <f t="shared" si="4"/>
        <v>4960</v>
      </c>
      <c r="H27" s="539"/>
      <c r="I27" s="535"/>
      <c r="J27" s="537">
        <v>0.04</v>
      </c>
      <c r="K27" s="538">
        <f t="shared" si="5"/>
        <v>198.4</v>
      </c>
      <c r="L27" s="539">
        <v>1.7999999999999999E-2</v>
      </c>
      <c r="M27" s="540">
        <f>G27*L27</f>
        <v>89.279999999999987</v>
      </c>
      <c r="N27" s="541">
        <f t="shared" si="6"/>
        <v>287.68</v>
      </c>
    </row>
    <row r="28" spans="1:16" ht="22.9" customHeight="1">
      <c r="A28" s="533">
        <v>4</v>
      </c>
      <c r="B28" s="534" t="s">
        <v>572</v>
      </c>
      <c r="C28" s="533">
        <v>0.6</v>
      </c>
      <c r="D28" s="533" t="s">
        <v>202</v>
      </c>
      <c r="E28" s="533">
        <v>10</v>
      </c>
      <c r="F28" s="535">
        <f>'Bang gia'!Q22</f>
        <v>28500000</v>
      </c>
      <c r="G28" s="535">
        <f t="shared" si="4"/>
        <v>5700</v>
      </c>
      <c r="H28" s="539"/>
      <c r="I28" s="535"/>
      <c r="J28" s="537">
        <v>0.04</v>
      </c>
      <c r="K28" s="538">
        <f t="shared" si="5"/>
        <v>228</v>
      </c>
      <c r="L28" s="539"/>
      <c r="M28" s="540"/>
      <c r="N28" s="541">
        <f t="shared" si="6"/>
        <v>228</v>
      </c>
    </row>
    <row r="29" spans="1:16" ht="22.9" customHeight="1">
      <c r="A29" s="533">
        <v>5</v>
      </c>
      <c r="B29" s="534" t="s">
        <v>473</v>
      </c>
      <c r="C29" s="533">
        <v>2.2000000000000002</v>
      </c>
      <c r="D29" s="533" t="s">
        <v>202</v>
      </c>
      <c r="E29" s="533">
        <f>E11</f>
        <v>10</v>
      </c>
      <c r="F29" s="535">
        <f>'Bang gia'!Q11</f>
        <v>14500000</v>
      </c>
      <c r="G29" s="535">
        <f t="shared" si="4"/>
        <v>2900</v>
      </c>
      <c r="H29" s="539">
        <v>4.0000000000000001E-3</v>
      </c>
      <c r="I29" s="535">
        <f>G29*H29</f>
        <v>11.6</v>
      </c>
      <c r="J29" s="537">
        <v>0.13500000000000001</v>
      </c>
      <c r="K29" s="538">
        <f t="shared" si="5"/>
        <v>391.5</v>
      </c>
      <c r="L29" s="539">
        <v>6.4000000000000001E-2</v>
      </c>
      <c r="M29" s="540">
        <f>G29*L29</f>
        <v>185.6</v>
      </c>
      <c r="N29" s="541">
        <f t="shared" si="6"/>
        <v>588.70000000000005</v>
      </c>
    </row>
    <row r="30" spans="1:16" ht="22.9" customHeight="1">
      <c r="A30" s="533">
        <v>6</v>
      </c>
      <c r="B30" s="534" t="s">
        <v>491</v>
      </c>
      <c r="C30" s="533">
        <v>1.5</v>
      </c>
      <c r="D30" s="533" t="s">
        <v>202</v>
      </c>
      <c r="E30" s="533">
        <f>E12</f>
        <v>10</v>
      </c>
      <c r="F30" s="535">
        <f>'Bang gia'!Q20</f>
        <v>25500000</v>
      </c>
      <c r="G30" s="535">
        <f t="shared" si="4"/>
        <v>5100</v>
      </c>
      <c r="H30" s="536"/>
      <c r="I30" s="535"/>
      <c r="J30" s="537">
        <v>4.9000000000000002E-2</v>
      </c>
      <c r="K30" s="538">
        <f t="shared" si="5"/>
        <v>249.9</v>
      </c>
      <c r="L30" s="539">
        <v>6.0000000000000001E-3</v>
      </c>
      <c r="M30" s="540">
        <f>G30*L30</f>
        <v>30.6</v>
      </c>
      <c r="N30" s="541">
        <f t="shared" si="6"/>
        <v>280.5</v>
      </c>
    </row>
    <row r="31" spans="1:16" ht="22.9" customHeight="1">
      <c r="A31" s="533">
        <v>7</v>
      </c>
      <c r="B31" s="534" t="s">
        <v>474</v>
      </c>
      <c r="C31" s="533">
        <v>0.4</v>
      </c>
      <c r="D31" s="533" t="s">
        <v>202</v>
      </c>
      <c r="E31" s="533">
        <f>E13</f>
        <v>10</v>
      </c>
      <c r="F31" s="535">
        <f>'Bang gia'!Q10</f>
        <v>105000000</v>
      </c>
      <c r="G31" s="535">
        <f t="shared" si="4"/>
        <v>21000</v>
      </c>
      <c r="H31" s="536"/>
      <c r="I31" s="535"/>
      <c r="J31" s="587"/>
      <c r="K31" s="538"/>
      <c r="L31" s="539">
        <v>2E-3</v>
      </c>
      <c r="M31" s="540">
        <f>G31*L31</f>
        <v>42</v>
      </c>
      <c r="N31" s="541">
        <f t="shared" si="6"/>
        <v>42</v>
      </c>
    </row>
    <row r="32" spans="1:16" ht="22.9" customHeight="1">
      <c r="A32" s="588"/>
      <c r="B32" s="543" t="s">
        <v>475</v>
      </c>
      <c r="C32" s="543"/>
      <c r="D32" s="588"/>
      <c r="E32" s="588"/>
      <c r="F32" s="589"/>
      <c r="G32" s="588"/>
      <c r="H32" s="588"/>
      <c r="I32" s="546">
        <f>SUM(I25:I31)</f>
        <v>93.08</v>
      </c>
      <c r="J32" s="546"/>
      <c r="K32" s="546">
        <f>SUM(K25:K31)</f>
        <v>2902.6</v>
      </c>
      <c r="L32" s="545"/>
      <c r="M32" s="546">
        <f>SUM(M25:M31)</f>
        <v>1196.9599999999998</v>
      </c>
      <c r="N32" s="546">
        <f>SUM(N25:N31)</f>
        <v>4192.6400000000003</v>
      </c>
      <c r="P32" s="590">
        <f>I32/5000</f>
        <v>1.8616000000000001E-2</v>
      </c>
    </row>
    <row r="33" spans="1:15">
      <c r="A33" s="561"/>
      <c r="B33" s="554" t="s">
        <v>550</v>
      </c>
      <c r="C33" s="558"/>
      <c r="D33" s="558"/>
      <c r="E33" s="449"/>
      <c r="F33" s="559"/>
      <c r="G33" s="449"/>
      <c r="H33" s="556"/>
      <c r="I33" s="556"/>
      <c r="J33" s="557"/>
      <c r="K33" s="557"/>
      <c r="L33" s="557"/>
      <c r="M33" s="557"/>
      <c r="N33" s="449"/>
    </row>
    <row r="34" spans="1:15" ht="46.15" customHeight="1">
      <c r="A34" s="561"/>
      <c r="B34" s="1223" t="s">
        <v>348</v>
      </c>
      <c r="C34" s="1223"/>
      <c r="D34" s="1223"/>
      <c r="E34" s="1223"/>
      <c r="F34" s="1223"/>
      <c r="G34" s="1223"/>
      <c r="H34" s="1223"/>
      <c r="I34" s="1223"/>
      <c r="J34" s="1223"/>
      <c r="K34" s="1223"/>
      <c r="L34" s="1223"/>
      <c r="M34" s="1223"/>
      <c r="N34" s="1223"/>
    </row>
    <row r="35" spans="1:15" ht="20.25" customHeight="1">
      <c r="A35" s="561"/>
      <c r="B35" s="558" t="s">
        <v>349</v>
      </c>
      <c r="C35" s="558"/>
      <c r="D35" s="558"/>
      <c r="E35" s="449"/>
      <c r="F35" s="559"/>
      <c r="G35" s="449"/>
      <c r="H35" s="556"/>
      <c r="I35" s="556"/>
      <c r="J35" s="557"/>
      <c r="K35" s="557"/>
      <c r="L35" s="557"/>
      <c r="M35" s="557"/>
      <c r="N35" s="449"/>
    </row>
    <row r="36" spans="1:15" ht="32.450000000000003" customHeight="1">
      <c r="A36" s="561"/>
      <c r="B36" s="1223" t="s">
        <v>119</v>
      </c>
      <c r="C36" s="1223"/>
      <c r="D36" s="1223"/>
      <c r="E36" s="1223"/>
      <c r="F36" s="1223"/>
      <c r="G36" s="1223"/>
      <c r="H36" s="1223"/>
      <c r="I36" s="1223"/>
      <c r="J36" s="1223"/>
      <c r="K36" s="1223"/>
      <c r="L36" s="1223"/>
      <c r="M36" s="1223"/>
      <c r="N36" s="1223"/>
    </row>
    <row r="37" spans="1:15" ht="38.450000000000003" customHeight="1">
      <c r="A37" s="561"/>
      <c r="B37" s="1217" t="s">
        <v>120</v>
      </c>
      <c r="C37" s="1217"/>
      <c r="D37" s="1217"/>
      <c r="E37" s="1217"/>
      <c r="F37" s="1217"/>
      <c r="G37" s="1217"/>
      <c r="H37" s="1217"/>
      <c r="I37" s="1217"/>
      <c r="J37" s="1217"/>
      <c r="K37" s="1217"/>
      <c r="L37" s="1217"/>
      <c r="M37" s="1217"/>
      <c r="N37" s="1217"/>
    </row>
    <row r="38" spans="1:15" ht="20.25" customHeight="1">
      <c r="A38" s="561"/>
      <c r="B38" s="558"/>
      <c r="C38" s="558"/>
      <c r="D38" s="558"/>
      <c r="E38" s="449"/>
      <c r="F38" s="559"/>
      <c r="G38" s="449"/>
      <c r="H38" s="556"/>
      <c r="I38" s="556"/>
      <c r="J38" s="557"/>
      <c r="K38" s="557"/>
      <c r="L38" s="557"/>
      <c r="M38" s="557"/>
      <c r="N38" s="449"/>
    </row>
    <row r="39" spans="1:15" ht="32.25" customHeight="1">
      <c r="A39" s="1221" t="s">
        <v>322</v>
      </c>
      <c r="B39" s="1221"/>
      <c r="C39" s="1221"/>
      <c r="D39" s="1221"/>
      <c r="E39" s="1221"/>
      <c r="F39" s="1221"/>
      <c r="G39" s="1221"/>
      <c r="H39" s="1221"/>
      <c r="I39" s="1221"/>
      <c r="J39" s="1221"/>
      <c r="K39" s="1221"/>
      <c r="L39" s="1221"/>
      <c r="M39" s="1221"/>
      <c r="N39" s="1221"/>
    </row>
    <row r="40" spans="1:15" ht="5.25" customHeight="1">
      <c r="A40" s="435"/>
      <c r="B40" s="561"/>
      <c r="C40" s="561"/>
      <c r="D40" s="555"/>
      <c r="E40" s="435"/>
      <c r="F40" s="556"/>
      <c r="G40" s="556"/>
      <c r="H40" s="435"/>
      <c r="I40" s="435"/>
      <c r="J40" s="561"/>
      <c r="K40" s="561"/>
      <c r="L40" s="562"/>
      <c r="M40" s="562"/>
      <c r="N40" s="449"/>
    </row>
    <row r="41" spans="1:15" ht="18.75" customHeight="1">
      <c r="A41" s="1203" t="s">
        <v>724</v>
      </c>
      <c r="B41" s="1203" t="s">
        <v>534</v>
      </c>
      <c r="C41" s="1203" t="s">
        <v>469</v>
      </c>
      <c r="D41" s="1203" t="s">
        <v>535</v>
      </c>
      <c r="E41" s="1206" t="s">
        <v>470</v>
      </c>
      <c r="F41" s="1203" t="s">
        <v>471</v>
      </c>
      <c r="G41" s="1203" t="s">
        <v>538</v>
      </c>
      <c r="H41" s="1212" t="s">
        <v>539</v>
      </c>
      <c r="I41" s="1214"/>
      <c r="J41" s="1214"/>
      <c r="K41" s="1214"/>
      <c r="L41" s="1214"/>
      <c r="M41" s="1213"/>
      <c r="N41" s="1203" t="s">
        <v>265</v>
      </c>
    </row>
    <row r="42" spans="1:15" ht="41.25" customHeight="1">
      <c r="A42" s="1204"/>
      <c r="B42" s="1204"/>
      <c r="C42" s="1204"/>
      <c r="D42" s="1204"/>
      <c r="E42" s="1207"/>
      <c r="F42" s="1204"/>
      <c r="G42" s="1204"/>
      <c r="H42" s="1212" t="s">
        <v>540</v>
      </c>
      <c r="I42" s="1213"/>
      <c r="J42" s="1212" t="s">
        <v>140</v>
      </c>
      <c r="K42" s="1213"/>
      <c r="L42" s="1212" t="s">
        <v>542</v>
      </c>
      <c r="M42" s="1213"/>
      <c r="N42" s="1204"/>
    </row>
    <row r="43" spans="1:15" ht="20.25" customHeight="1">
      <c r="A43" s="1205"/>
      <c r="B43" s="1205"/>
      <c r="C43" s="1205"/>
      <c r="D43" s="1205"/>
      <c r="E43" s="1208"/>
      <c r="F43" s="1205"/>
      <c r="G43" s="1205"/>
      <c r="H43" s="423" t="s">
        <v>771</v>
      </c>
      <c r="I43" s="423" t="s">
        <v>772</v>
      </c>
      <c r="J43" s="423" t="s">
        <v>771</v>
      </c>
      <c r="K43" s="423" t="s">
        <v>772</v>
      </c>
      <c r="L43" s="423" t="s">
        <v>771</v>
      </c>
      <c r="M43" s="423" t="s">
        <v>772</v>
      </c>
      <c r="N43" s="1205"/>
    </row>
    <row r="44" spans="1:15" ht="21.6" customHeight="1">
      <c r="A44" s="578">
        <v>1</v>
      </c>
      <c r="B44" s="579" t="s">
        <v>954</v>
      </c>
      <c r="C44" s="578">
        <v>0.4</v>
      </c>
      <c r="D44" s="578" t="s">
        <v>202</v>
      </c>
      <c r="E44" s="578">
        <f>E25</f>
        <v>5</v>
      </c>
      <c r="F44" s="580">
        <f>'Bang gia'!Q9</f>
        <v>15000000</v>
      </c>
      <c r="G44" s="535">
        <f t="shared" ref="G44:G49" si="7">F44/E44/500</f>
        <v>6000</v>
      </c>
      <c r="H44" s="581">
        <v>0.06</v>
      </c>
      <c r="I44" s="580">
        <f>G44*H44</f>
        <v>360</v>
      </c>
      <c r="J44" s="581">
        <v>0.57499999999999996</v>
      </c>
      <c r="K44" s="582">
        <f t="shared" ref="K44:K49" si="8">G44*J44</f>
        <v>3449.9999999999995</v>
      </c>
      <c r="L44" s="581"/>
      <c r="M44" s="583"/>
      <c r="N44" s="582">
        <f t="shared" ref="N44:N49" si="9">I44+K44+M44</f>
        <v>3809.9999999999995</v>
      </c>
      <c r="O44" s="584"/>
    </row>
    <row r="45" spans="1:15" ht="21.6" customHeight="1">
      <c r="A45" s="533">
        <v>2</v>
      </c>
      <c r="B45" s="585" t="s">
        <v>964</v>
      </c>
      <c r="C45" s="586">
        <v>0.6</v>
      </c>
      <c r="D45" s="533" t="s">
        <v>202</v>
      </c>
      <c r="E45" s="533">
        <f>E26</f>
        <v>10</v>
      </c>
      <c r="F45" s="535">
        <f>'Bang gia'!Q21</f>
        <v>5800000</v>
      </c>
      <c r="G45" s="535">
        <f t="shared" si="7"/>
        <v>1160</v>
      </c>
      <c r="H45" s="539">
        <v>2E-3</v>
      </c>
      <c r="I45" s="535">
        <f>G45*H45</f>
        <v>2.3199999999999998</v>
      </c>
      <c r="J45" s="537">
        <v>1.6E-2</v>
      </c>
      <c r="K45" s="538">
        <f t="shared" si="8"/>
        <v>18.559999999999999</v>
      </c>
      <c r="L45" s="539"/>
      <c r="M45" s="540"/>
      <c r="N45" s="541">
        <f t="shared" si="9"/>
        <v>20.88</v>
      </c>
      <c r="O45" s="584"/>
    </row>
    <row r="46" spans="1:15" ht="21.6" customHeight="1">
      <c r="A46" s="533">
        <v>3</v>
      </c>
      <c r="B46" s="534" t="s">
        <v>962</v>
      </c>
      <c r="C46" s="533">
        <v>0.6</v>
      </c>
      <c r="D46" s="533" t="s">
        <v>202</v>
      </c>
      <c r="E46" s="533">
        <f>E27</f>
        <v>10</v>
      </c>
      <c r="F46" s="535">
        <f>'Bang gia'!Q19</f>
        <v>24800000</v>
      </c>
      <c r="G46" s="535">
        <f t="shared" si="7"/>
        <v>4960</v>
      </c>
      <c r="H46" s="539"/>
      <c r="I46" s="535"/>
      <c r="J46" s="537">
        <v>0.02</v>
      </c>
      <c r="K46" s="538">
        <f t="shared" si="8"/>
        <v>99.2</v>
      </c>
      <c r="L46" s="539"/>
      <c r="M46" s="540"/>
      <c r="N46" s="541">
        <f t="shared" si="9"/>
        <v>99.2</v>
      </c>
      <c r="O46" s="584"/>
    </row>
    <row r="47" spans="1:15" ht="21.6" customHeight="1">
      <c r="A47" s="533">
        <v>4</v>
      </c>
      <c r="B47" s="534" t="s">
        <v>572</v>
      </c>
      <c r="C47" s="533">
        <v>0.6</v>
      </c>
      <c r="D47" s="533" t="s">
        <v>202</v>
      </c>
      <c r="E47" s="533">
        <v>10</v>
      </c>
      <c r="F47" s="535">
        <f>'Bang gia'!Q22</f>
        <v>28500000</v>
      </c>
      <c r="G47" s="535">
        <f t="shared" si="7"/>
        <v>5700</v>
      </c>
      <c r="H47" s="539"/>
      <c r="I47" s="535"/>
      <c r="J47" s="537">
        <v>0.02</v>
      </c>
      <c r="K47" s="538">
        <f t="shared" si="8"/>
        <v>114</v>
      </c>
      <c r="L47" s="539"/>
      <c r="M47" s="540"/>
      <c r="N47" s="541">
        <f t="shared" si="9"/>
        <v>114</v>
      </c>
      <c r="O47" s="584"/>
    </row>
    <row r="48" spans="1:15" ht="21.6" customHeight="1">
      <c r="A48" s="533">
        <v>5</v>
      </c>
      <c r="B48" s="534" t="s">
        <v>473</v>
      </c>
      <c r="C48" s="533">
        <v>2.2000000000000002</v>
      </c>
      <c r="D48" s="533" t="s">
        <v>202</v>
      </c>
      <c r="E48" s="533">
        <f>E29</f>
        <v>10</v>
      </c>
      <c r="F48" s="535">
        <f>'Bang gia'!Q11</f>
        <v>14500000</v>
      </c>
      <c r="G48" s="535">
        <f t="shared" si="7"/>
        <v>2900</v>
      </c>
      <c r="H48" s="539">
        <v>0.02</v>
      </c>
      <c r="I48" s="535">
        <f>G48*H48</f>
        <v>58</v>
      </c>
      <c r="J48" s="537">
        <v>0.17299999999999999</v>
      </c>
      <c r="K48" s="538">
        <f t="shared" si="8"/>
        <v>501.7</v>
      </c>
      <c r="L48" s="539"/>
      <c r="M48" s="540"/>
      <c r="N48" s="541">
        <f t="shared" si="9"/>
        <v>559.70000000000005</v>
      </c>
    </row>
    <row r="49" spans="1:20" ht="21.6" customHeight="1">
      <c r="A49" s="533">
        <v>6</v>
      </c>
      <c r="B49" s="534" t="s">
        <v>476</v>
      </c>
      <c r="C49" s="533">
        <v>1.5</v>
      </c>
      <c r="D49" s="533" t="s">
        <v>202</v>
      </c>
      <c r="E49" s="533">
        <f>E30</f>
        <v>10</v>
      </c>
      <c r="F49" s="535">
        <f>'Bang gia'!Q20</f>
        <v>25500000</v>
      </c>
      <c r="G49" s="535">
        <f t="shared" si="7"/>
        <v>5100</v>
      </c>
      <c r="H49" s="539"/>
      <c r="I49" s="535"/>
      <c r="J49" s="537">
        <v>0.02</v>
      </c>
      <c r="K49" s="538">
        <f t="shared" si="8"/>
        <v>102</v>
      </c>
      <c r="L49" s="539"/>
      <c r="M49" s="540"/>
      <c r="N49" s="541">
        <f t="shared" si="9"/>
        <v>102</v>
      </c>
    </row>
    <row r="50" spans="1:20" ht="21.6" customHeight="1">
      <c r="A50" s="542"/>
      <c r="B50" s="543" t="s">
        <v>475</v>
      </c>
      <c r="C50" s="543"/>
      <c r="D50" s="542"/>
      <c r="E50" s="542"/>
      <c r="F50" s="591"/>
      <c r="G50" s="542"/>
      <c r="H50" s="542"/>
      <c r="I50" s="544">
        <f>SUM(I44:I49)</f>
        <v>420.32</v>
      </c>
      <c r="J50" s="545"/>
      <c r="K50" s="546">
        <f>SUM(K44:K49)</f>
        <v>4285.4599999999991</v>
      </c>
      <c r="L50" s="545"/>
      <c r="M50" s="546"/>
      <c r="N50" s="546">
        <f>SUM(N44:N49)</f>
        <v>4705.78</v>
      </c>
      <c r="P50" s="592">
        <f>I50*1.3</f>
        <v>546.41600000000005</v>
      </c>
      <c r="Q50" s="592">
        <f>J50*1.3</f>
        <v>0</v>
      </c>
      <c r="R50" s="592">
        <f>K50*1.3</f>
        <v>5571.097999999999</v>
      </c>
      <c r="S50" s="592">
        <f>L50*1.3</f>
        <v>0</v>
      </c>
      <c r="T50" s="592">
        <f>M50*1.3</f>
        <v>0</v>
      </c>
    </row>
    <row r="51" spans="1:20" ht="7.5" customHeight="1">
      <c r="A51" s="548"/>
      <c r="B51" s="549"/>
      <c r="C51" s="549"/>
      <c r="D51" s="550"/>
      <c r="E51" s="551"/>
      <c r="F51" s="593"/>
      <c r="G51" s="551"/>
      <c r="H51" s="552"/>
      <c r="I51" s="552"/>
      <c r="J51" s="553"/>
      <c r="K51" s="553"/>
      <c r="L51" s="553"/>
      <c r="M51" s="553"/>
      <c r="N51" s="551"/>
    </row>
    <row r="52" spans="1:20" ht="16.5" customHeight="1">
      <c r="A52" s="561"/>
      <c r="B52" s="554" t="s">
        <v>550</v>
      </c>
      <c r="C52" s="558"/>
      <c r="D52" s="558"/>
      <c r="E52" s="449"/>
      <c r="F52" s="559"/>
      <c r="G52" s="449"/>
      <c r="H52" s="556"/>
      <c r="I52" s="556"/>
      <c r="J52" s="557"/>
      <c r="K52" s="557"/>
      <c r="L52" s="557"/>
      <c r="M52" s="557"/>
      <c r="N52" s="449"/>
    </row>
    <row r="53" spans="1:20" ht="18.75" customHeight="1">
      <c r="A53" s="561"/>
      <c r="B53" s="558" t="s">
        <v>121</v>
      </c>
      <c r="C53" s="558"/>
      <c r="D53" s="558"/>
      <c r="E53" s="449"/>
      <c r="F53" s="559"/>
      <c r="G53" s="449"/>
      <c r="H53" s="556"/>
      <c r="I53" s="556"/>
      <c r="J53" s="557"/>
      <c r="K53" s="557"/>
      <c r="L53" s="557"/>
      <c r="M53" s="557"/>
      <c r="N53" s="449"/>
    </row>
    <row r="54" spans="1:20" ht="33" customHeight="1">
      <c r="A54" s="561"/>
      <c r="B54" s="1217" t="s">
        <v>122</v>
      </c>
      <c r="C54" s="1217"/>
      <c r="D54" s="1217"/>
      <c r="E54" s="1217"/>
      <c r="F54" s="1217"/>
      <c r="G54" s="1217"/>
      <c r="H54" s="1217"/>
      <c r="I54" s="1217"/>
      <c r="J54" s="1217"/>
      <c r="K54" s="1217"/>
      <c r="L54" s="1217"/>
      <c r="M54" s="1217"/>
      <c r="N54" s="1217"/>
    </row>
    <row r="55" spans="1:20" ht="18.75" customHeight="1">
      <c r="A55" s="561"/>
      <c r="B55" s="558"/>
      <c r="C55" s="558"/>
      <c r="D55" s="558"/>
      <c r="E55" s="449"/>
      <c r="F55" s="559"/>
      <c r="G55" s="449"/>
      <c r="H55" s="556"/>
      <c r="I55" s="556"/>
      <c r="J55" s="557"/>
      <c r="K55" s="557"/>
      <c r="L55" s="557"/>
      <c r="M55" s="557"/>
      <c r="N55" s="449"/>
    </row>
    <row r="56" spans="1:20" ht="32.25" customHeight="1">
      <c r="A56" s="1221" t="s">
        <v>323</v>
      </c>
      <c r="B56" s="1221"/>
      <c r="C56" s="1221"/>
      <c r="D56" s="1221"/>
      <c r="E56" s="1221"/>
      <c r="F56" s="1221"/>
      <c r="G56" s="1221"/>
      <c r="H56" s="1221"/>
      <c r="I56" s="1221"/>
      <c r="J56" s="1221"/>
      <c r="K56" s="1221"/>
      <c r="L56" s="1221"/>
      <c r="M56" s="1221"/>
      <c r="N56" s="1221"/>
    </row>
    <row r="57" spans="1:20" ht="5.25" customHeight="1">
      <c r="A57" s="435"/>
      <c r="B57" s="561"/>
      <c r="C57" s="561"/>
      <c r="D57" s="555"/>
      <c r="E57" s="435"/>
      <c r="F57" s="556"/>
      <c r="G57" s="556"/>
      <c r="H57" s="435"/>
      <c r="I57" s="435"/>
      <c r="J57" s="561"/>
      <c r="K57" s="561"/>
      <c r="L57" s="562"/>
      <c r="M57" s="562"/>
      <c r="N57" s="449"/>
    </row>
    <row r="58" spans="1:20" ht="18.75" customHeight="1">
      <c r="A58" s="1203" t="s">
        <v>724</v>
      </c>
      <c r="B58" s="1203" t="s">
        <v>534</v>
      </c>
      <c r="C58" s="1203" t="s">
        <v>469</v>
      </c>
      <c r="D58" s="1203" t="s">
        <v>535</v>
      </c>
      <c r="E58" s="1206" t="s">
        <v>470</v>
      </c>
      <c r="F58" s="1203" t="s">
        <v>471</v>
      </c>
      <c r="G58" s="1203" t="s">
        <v>538</v>
      </c>
      <c r="H58" s="1212" t="s">
        <v>539</v>
      </c>
      <c r="I58" s="1214"/>
      <c r="J58" s="1214"/>
      <c r="K58" s="1214"/>
      <c r="L58" s="1214"/>
      <c r="M58" s="1213"/>
      <c r="N58" s="1203" t="s">
        <v>265</v>
      </c>
    </row>
    <row r="59" spans="1:20" ht="41.25" customHeight="1">
      <c r="A59" s="1204"/>
      <c r="B59" s="1204"/>
      <c r="C59" s="1204"/>
      <c r="D59" s="1204"/>
      <c r="E59" s="1207"/>
      <c r="F59" s="1204"/>
      <c r="G59" s="1204"/>
      <c r="H59" s="1212" t="s">
        <v>540</v>
      </c>
      <c r="I59" s="1213"/>
      <c r="J59" s="1212" t="s">
        <v>140</v>
      </c>
      <c r="K59" s="1213"/>
      <c r="L59" s="1212" t="s">
        <v>542</v>
      </c>
      <c r="M59" s="1213"/>
      <c r="N59" s="1204"/>
    </row>
    <row r="60" spans="1:20" ht="20.25" customHeight="1">
      <c r="A60" s="1205"/>
      <c r="B60" s="1205"/>
      <c r="C60" s="1205"/>
      <c r="D60" s="1205"/>
      <c r="E60" s="1208"/>
      <c r="F60" s="1205"/>
      <c r="G60" s="1205"/>
      <c r="H60" s="423" t="s">
        <v>771</v>
      </c>
      <c r="I60" s="423" t="s">
        <v>772</v>
      </c>
      <c r="J60" s="423" t="s">
        <v>771</v>
      </c>
      <c r="K60" s="423" t="s">
        <v>772</v>
      </c>
      <c r="L60" s="423" t="s">
        <v>771</v>
      </c>
      <c r="M60" s="423" t="s">
        <v>772</v>
      </c>
      <c r="N60" s="1205"/>
    </row>
    <row r="61" spans="1:20" ht="22.15" customHeight="1">
      <c r="A61" s="578">
        <v>1</v>
      </c>
      <c r="B61" s="579" t="s">
        <v>954</v>
      </c>
      <c r="C61" s="578">
        <v>0.4</v>
      </c>
      <c r="D61" s="578" t="s">
        <v>202</v>
      </c>
      <c r="E61" s="578">
        <f t="shared" ref="E61:E66" si="10">E44</f>
        <v>5</v>
      </c>
      <c r="F61" s="580">
        <f>'Bang gia'!Q9</f>
        <v>15000000</v>
      </c>
      <c r="G61" s="535">
        <f t="shared" ref="G61:G66" si="11">F61/E61/500</f>
        <v>6000</v>
      </c>
      <c r="H61" s="581">
        <v>0.02</v>
      </c>
      <c r="I61" s="580">
        <f>G61*H61</f>
        <v>120</v>
      </c>
      <c r="J61" s="581">
        <v>0.61499999999999999</v>
      </c>
      <c r="K61" s="582">
        <f t="shared" ref="K61:K66" si="12">G61*J61</f>
        <v>3690</v>
      </c>
      <c r="L61" s="581"/>
      <c r="M61" s="583"/>
      <c r="N61" s="582">
        <f t="shared" ref="N61:N66" si="13">I61+K61+M61</f>
        <v>3810</v>
      </c>
      <c r="O61" s="584"/>
    </row>
    <row r="62" spans="1:20" ht="22.15" customHeight="1">
      <c r="A62" s="533">
        <v>2</v>
      </c>
      <c r="B62" s="585" t="s">
        <v>964</v>
      </c>
      <c r="C62" s="586">
        <v>0.6</v>
      </c>
      <c r="D62" s="533" t="s">
        <v>202</v>
      </c>
      <c r="E62" s="533">
        <f t="shared" si="10"/>
        <v>10</v>
      </c>
      <c r="F62" s="535">
        <f>'Bang gia'!Q21</f>
        <v>5800000</v>
      </c>
      <c r="G62" s="535">
        <f t="shared" si="11"/>
        <v>1160</v>
      </c>
      <c r="H62" s="539">
        <v>1E-3</v>
      </c>
      <c r="I62" s="535">
        <f>G62*H62</f>
        <v>1.1599999999999999</v>
      </c>
      <c r="J62" s="537">
        <v>1.7000000000000001E-2</v>
      </c>
      <c r="K62" s="538">
        <f t="shared" si="12"/>
        <v>19.720000000000002</v>
      </c>
      <c r="L62" s="539"/>
      <c r="M62" s="540"/>
      <c r="N62" s="541">
        <f t="shared" si="13"/>
        <v>20.880000000000003</v>
      </c>
      <c r="O62" s="584"/>
    </row>
    <row r="63" spans="1:20" ht="22.15" customHeight="1">
      <c r="A63" s="533">
        <v>3</v>
      </c>
      <c r="B63" s="534" t="s">
        <v>962</v>
      </c>
      <c r="C63" s="533">
        <v>0.6</v>
      </c>
      <c r="D63" s="533" t="s">
        <v>202</v>
      </c>
      <c r="E63" s="533">
        <f t="shared" si="10"/>
        <v>10</v>
      </c>
      <c r="F63" s="535">
        <f>'Bang gia'!Q19</f>
        <v>24800000</v>
      </c>
      <c r="G63" s="535">
        <f t="shared" si="11"/>
        <v>4960</v>
      </c>
      <c r="H63" s="539"/>
      <c r="I63" s="535"/>
      <c r="J63" s="537">
        <v>0.02</v>
      </c>
      <c r="K63" s="538">
        <f t="shared" si="12"/>
        <v>99.2</v>
      </c>
      <c r="L63" s="539"/>
      <c r="M63" s="540"/>
      <c r="N63" s="541">
        <f t="shared" si="13"/>
        <v>99.2</v>
      </c>
      <c r="O63" s="584"/>
    </row>
    <row r="64" spans="1:20" ht="22.15" customHeight="1">
      <c r="A64" s="533">
        <v>4</v>
      </c>
      <c r="B64" s="534" t="s">
        <v>572</v>
      </c>
      <c r="C64" s="533">
        <v>0.6</v>
      </c>
      <c r="D64" s="533" t="s">
        <v>202</v>
      </c>
      <c r="E64" s="533">
        <f t="shared" si="10"/>
        <v>10</v>
      </c>
      <c r="F64" s="535">
        <f>'Bang gia'!Q22</f>
        <v>28500000</v>
      </c>
      <c r="G64" s="535">
        <f t="shared" si="11"/>
        <v>5700</v>
      </c>
      <c r="H64" s="539"/>
      <c r="I64" s="535"/>
      <c r="J64" s="537">
        <v>0.02</v>
      </c>
      <c r="K64" s="538">
        <f t="shared" si="12"/>
        <v>114</v>
      </c>
      <c r="L64" s="539"/>
      <c r="M64" s="540"/>
      <c r="N64" s="541">
        <f t="shared" si="13"/>
        <v>114</v>
      </c>
      <c r="O64" s="584"/>
    </row>
    <row r="65" spans="1:14" ht="22.15" customHeight="1">
      <c r="A65" s="533">
        <v>5</v>
      </c>
      <c r="B65" s="534" t="s">
        <v>473</v>
      </c>
      <c r="C65" s="533">
        <v>2.2000000000000002</v>
      </c>
      <c r="D65" s="533" t="s">
        <v>202</v>
      </c>
      <c r="E65" s="533">
        <f t="shared" si="10"/>
        <v>10</v>
      </c>
      <c r="F65" s="535">
        <f>'Bang gia'!Q11</f>
        <v>14500000</v>
      </c>
      <c r="G65" s="535">
        <f t="shared" si="11"/>
        <v>2900</v>
      </c>
      <c r="H65" s="539">
        <v>6.0000000000000001E-3</v>
      </c>
      <c r="I65" s="535">
        <f>G65*H65</f>
        <v>17.400000000000002</v>
      </c>
      <c r="J65" s="537">
        <v>0.187</v>
      </c>
      <c r="K65" s="538">
        <f t="shared" si="12"/>
        <v>542.29999999999995</v>
      </c>
      <c r="L65" s="539"/>
      <c r="M65" s="540"/>
      <c r="N65" s="541">
        <f t="shared" si="13"/>
        <v>559.69999999999993</v>
      </c>
    </row>
    <row r="66" spans="1:14" ht="22.15" customHeight="1">
      <c r="A66" s="533">
        <v>6</v>
      </c>
      <c r="B66" s="534" t="s">
        <v>476</v>
      </c>
      <c r="C66" s="533">
        <v>1.5</v>
      </c>
      <c r="D66" s="533" t="s">
        <v>202</v>
      </c>
      <c r="E66" s="533">
        <f t="shared" si="10"/>
        <v>10</v>
      </c>
      <c r="F66" s="535">
        <f>'Bang gia'!Q20</f>
        <v>25500000</v>
      </c>
      <c r="G66" s="535">
        <f t="shared" si="11"/>
        <v>5100</v>
      </c>
      <c r="H66" s="539"/>
      <c r="I66" s="535"/>
      <c r="J66" s="537">
        <v>0.02</v>
      </c>
      <c r="K66" s="538">
        <f t="shared" si="12"/>
        <v>102</v>
      </c>
      <c r="L66" s="539"/>
      <c r="M66" s="540"/>
      <c r="N66" s="541">
        <f t="shared" si="13"/>
        <v>102</v>
      </c>
    </row>
    <row r="67" spans="1:14" ht="22.15" customHeight="1">
      <c r="A67" s="542"/>
      <c r="B67" s="543" t="s">
        <v>475</v>
      </c>
      <c r="C67" s="543"/>
      <c r="D67" s="542"/>
      <c r="E67" s="542"/>
      <c r="F67" s="591"/>
      <c r="G67" s="542"/>
      <c r="H67" s="542"/>
      <c r="I67" s="544">
        <f>SUM(I61:I66)</f>
        <v>138.56</v>
      </c>
      <c r="J67" s="545"/>
      <c r="K67" s="546">
        <f>SUM(K61:K66)</f>
        <v>4567.2199999999993</v>
      </c>
      <c r="L67" s="545"/>
      <c r="M67" s="546"/>
      <c r="N67" s="546">
        <f>SUM(N61:N66)</f>
        <v>4705.78</v>
      </c>
    </row>
    <row r="68" spans="1:14" ht="7.5" customHeight="1">
      <c r="A68" s="548"/>
      <c r="B68" s="549"/>
      <c r="C68" s="549"/>
      <c r="D68" s="550"/>
      <c r="E68" s="551"/>
      <c r="F68" s="593"/>
      <c r="G68" s="551"/>
      <c r="H68" s="552"/>
      <c r="I68" s="552"/>
      <c r="J68" s="553"/>
      <c r="K68" s="553"/>
      <c r="L68" s="553"/>
      <c r="M68" s="553"/>
      <c r="N68" s="551"/>
    </row>
    <row r="69" spans="1:14" ht="16.5" customHeight="1">
      <c r="A69" s="561"/>
      <c r="B69" s="554" t="s">
        <v>550</v>
      </c>
      <c r="C69" s="558"/>
      <c r="D69" s="558"/>
      <c r="E69" s="449"/>
      <c r="F69" s="559"/>
      <c r="G69" s="449"/>
      <c r="H69" s="556"/>
      <c r="I69" s="556"/>
      <c r="J69" s="557"/>
      <c r="K69" s="557"/>
      <c r="L69" s="557"/>
      <c r="M69" s="557"/>
      <c r="N69" s="449"/>
    </row>
    <row r="70" spans="1:14" ht="18.75" customHeight="1">
      <c r="A70" s="561"/>
      <c r="B70" s="558" t="s">
        <v>123</v>
      </c>
      <c r="C70" s="558"/>
      <c r="D70" s="558"/>
      <c r="E70" s="449"/>
      <c r="F70" s="559"/>
      <c r="G70" s="449"/>
      <c r="H70" s="556"/>
      <c r="I70" s="556"/>
      <c r="J70" s="557"/>
      <c r="K70" s="557"/>
      <c r="L70" s="557"/>
      <c r="M70" s="557"/>
      <c r="N70" s="449"/>
    </row>
    <row r="71" spans="1:14" ht="34.15" customHeight="1">
      <c r="A71" s="561"/>
      <c r="B71" s="1217" t="s">
        <v>401</v>
      </c>
      <c r="C71" s="1217"/>
      <c r="D71" s="1217"/>
      <c r="E71" s="1217"/>
      <c r="F71" s="1217"/>
      <c r="G71" s="1217"/>
      <c r="H71" s="1217"/>
      <c r="I71" s="1217"/>
      <c r="J71" s="1217"/>
      <c r="K71" s="1217"/>
      <c r="L71" s="1217"/>
      <c r="M71" s="1217"/>
      <c r="N71" s="1217"/>
    </row>
    <row r="72" spans="1:14" ht="14.25" customHeight="1">
      <c r="A72" s="435"/>
      <c r="B72" s="561"/>
      <c r="C72" s="561"/>
      <c r="D72" s="555"/>
      <c r="E72" s="435"/>
      <c r="F72" s="556"/>
      <c r="G72" s="556"/>
      <c r="H72" s="435"/>
      <c r="I72" s="435"/>
      <c r="J72" s="561"/>
      <c r="K72" s="561"/>
      <c r="L72" s="562"/>
      <c r="M72" s="562"/>
      <c r="N72" s="449"/>
    </row>
    <row r="73" spans="1:14" ht="30.75" customHeight="1">
      <c r="A73" s="1221" t="s">
        <v>324</v>
      </c>
      <c r="B73" s="1221"/>
      <c r="C73" s="1221"/>
      <c r="D73" s="1221"/>
      <c r="E73" s="1221"/>
      <c r="F73" s="1221"/>
      <c r="G73" s="1221"/>
      <c r="H73" s="1221"/>
      <c r="I73" s="1221"/>
      <c r="J73" s="1221"/>
      <c r="K73" s="1221"/>
      <c r="L73" s="1221"/>
      <c r="M73" s="1221"/>
      <c r="N73" s="1221"/>
    </row>
    <row r="74" spans="1:14" ht="5.25" customHeight="1">
      <c r="A74" s="435"/>
      <c r="B74" s="561"/>
      <c r="C74" s="561"/>
      <c r="D74" s="555"/>
      <c r="E74" s="435"/>
      <c r="F74" s="556"/>
      <c r="G74" s="556"/>
      <c r="H74" s="435"/>
      <c r="I74" s="435"/>
      <c r="J74" s="561"/>
      <c r="K74" s="561"/>
      <c r="L74" s="562"/>
      <c r="M74" s="562"/>
      <c r="N74" s="449"/>
    </row>
    <row r="75" spans="1:14" ht="21" customHeight="1">
      <c r="A75" s="1203" t="s">
        <v>724</v>
      </c>
      <c r="B75" s="1203" t="s">
        <v>534</v>
      </c>
      <c r="C75" s="1203" t="s">
        <v>469</v>
      </c>
      <c r="D75" s="1203" t="s">
        <v>535</v>
      </c>
      <c r="E75" s="1206" t="s">
        <v>470</v>
      </c>
      <c r="F75" s="1203" t="s">
        <v>471</v>
      </c>
      <c r="G75" s="1203" t="s">
        <v>538</v>
      </c>
      <c r="H75" s="1212" t="s">
        <v>539</v>
      </c>
      <c r="I75" s="1214"/>
      <c r="J75" s="1214"/>
      <c r="K75" s="1214"/>
      <c r="L75" s="1214"/>
      <c r="M75" s="1213"/>
      <c r="N75" s="1203" t="s">
        <v>266</v>
      </c>
    </row>
    <row r="76" spans="1:14" ht="42.75" customHeight="1">
      <c r="A76" s="1204"/>
      <c r="B76" s="1204"/>
      <c r="C76" s="1204"/>
      <c r="D76" s="1204"/>
      <c r="E76" s="1207"/>
      <c r="F76" s="1204"/>
      <c r="G76" s="1204"/>
      <c r="H76" s="1212" t="s">
        <v>540</v>
      </c>
      <c r="I76" s="1213"/>
      <c r="J76" s="1212" t="s">
        <v>140</v>
      </c>
      <c r="K76" s="1213"/>
      <c r="L76" s="1212" t="s">
        <v>542</v>
      </c>
      <c r="M76" s="1213"/>
      <c r="N76" s="1204"/>
    </row>
    <row r="77" spans="1:14" ht="21.75" customHeight="1">
      <c r="A77" s="1205"/>
      <c r="B77" s="1205"/>
      <c r="C77" s="1205"/>
      <c r="D77" s="1205"/>
      <c r="E77" s="1208"/>
      <c r="F77" s="1205"/>
      <c r="G77" s="1205"/>
      <c r="H77" s="423" t="s">
        <v>771</v>
      </c>
      <c r="I77" s="423" t="s">
        <v>772</v>
      </c>
      <c r="J77" s="423" t="s">
        <v>771</v>
      </c>
      <c r="K77" s="423" t="s">
        <v>772</v>
      </c>
      <c r="L77" s="423" t="s">
        <v>771</v>
      </c>
      <c r="M77" s="423" t="s">
        <v>772</v>
      </c>
      <c r="N77" s="1205"/>
    </row>
    <row r="78" spans="1:14" ht="19.5" customHeight="1">
      <c r="A78" s="578">
        <v>1</v>
      </c>
      <c r="B78" s="579" t="s">
        <v>954</v>
      </c>
      <c r="C78" s="578">
        <v>0.4</v>
      </c>
      <c r="D78" s="578" t="s">
        <v>202</v>
      </c>
      <c r="E78" s="578">
        <f>E44</f>
        <v>5</v>
      </c>
      <c r="F78" s="580">
        <f>'Bang gia'!Q9</f>
        <v>15000000</v>
      </c>
      <c r="G78" s="535">
        <f t="shared" ref="G78:G83" si="14">F78/E78/500</f>
        <v>6000</v>
      </c>
      <c r="H78" s="581"/>
      <c r="I78" s="580">
        <f>G78*H78</f>
        <v>0</v>
      </c>
      <c r="J78" s="581"/>
      <c r="K78" s="582"/>
      <c r="L78" s="581">
        <v>1.5049999999999999</v>
      </c>
      <c r="M78" s="583">
        <f t="shared" ref="M78:M83" si="15">G78*L78</f>
        <v>9030</v>
      </c>
      <c r="N78" s="582">
        <f t="shared" ref="N78:N83" si="16">I78+K78+M78</f>
        <v>9030</v>
      </c>
    </row>
    <row r="79" spans="1:14" ht="19.5" customHeight="1">
      <c r="A79" s="533">
        <v>2</v>
      </c>
      <c r="B79" s="585" t="s">
        <v>964</v>
      </c>
      <c r="C79" s="586">
        <v>0.6</v>
      </c>
      <c r="D79" s="533" t="s">
        <v>202</v>
      </c>
      <c r="E79" s="533">
        <f>E45</f>
        <v>10</v>
      </c>
      <c r="F79" s="535">
        <f>'Bang gia'!Q21</f>
        <v>5800000</v>
      </c>
      <c r="G79" s="535">
        <f t="shared" si="14"/>
        <v>1160</v>
      </c>
      <c r="H79" s="539"/>
      <c r="I79" s="535">
        <f>G79*H79</f>
        <v>0</v>
      </c>
      <c r="J79" s="537"/>
      <c r="K79" s="538"/>
      <c r="L79" s="539">
        <v>1.0999999999999999E-2</v>
      </c>
      <c r="M79" s="540">
        <f t="shared" si="15"/>
        <v>12.76</v>
      </c>
      <c r="N79" s="541">
        <f t="shared" si="16"/>
        <v>12.76</v>
      </c>
    </row>
    <row r="80" spans="1:14" ht="19.5" customHeight="1">
      <c r="A80" s="533">
        <v>3</v>
      </c>
      <c r="B80" s="534" t="s">
        <v>962</v>
      </c>
      <c r="C80" s="533">
        <v>0.6</v>
      </c>
      <c r="D80" s="533" t="s">
        <v>202</v>
      </c>
      <c r="E80" s="533">
        <f>E46</f>
        <v>10</v>
      </c>
      <c r="F80" s="535">
        <f>'Bang gia'!Q19</f>
        <v>24800000</v>
      </c>
      <c r="G80" s="535">
        <f t="shared" si="14"/>
        <v>4960</v>
      </c>
      <c r="H80" s="539"/>
      <c r="I80" s="535"/>
      <c r="J80" s="537"/>
      <c r="K80" s="538"/>
      <c r="L80" s="539">
        <v>0.02</v>
      </c>
      <c r="M80" s="540">
        <f t="shared" si="15"/>
        <v>99.2</v>
      </c>
      <c r="N80" s="541">
        <f t="shared" si="16"/>
        <v>99.2</v>
      </c>
    </row>
    <row r="81" spans="1:16" ht="19.5" customHeight="1">
      <c r="A81" s="533">
        <v>4</v>
      </c>
      <c r="B81" s="534" t="s">
        <v>572</v>
      </c>
      <c r="C81" s="533">
        <v>0.6</v>
      </c>
      <c r="D81" s="533" t="s">
        <v>202</v>
      </c>
      <c r="E81" s="533">
        <v>10</v>
      </c>
      <c r="F81" s="535">
        <f>'Bang gia'!Q22</f>
        <v>28500000</v>
      </c>
      <c r="G81" s="535">
        <f t="shared" si="14"/>
        <v>5700</v>
      </c>
      <c r="H81" s="539"/>
      <c r="I81" s="535"/>
      <c r="J81" s="537"/>
      <c r="K81" s="538"/>
      <c r="L81" s="539">
        <v>0.02</v>
      </c>
      <c r="M81" s="540">
        <f t="shared" si="15"/>
        <v>114</v>
      </c>
      <c r="N81" s="541">
        <f t="shared" si="16"/>
        <v>114</v>
      </c>
    </row>
    <row r="82" spans="1:16" ht="19.5" customHeight="1">
      <c r="A82" s="533">
        <v>5</v>
      </c>
      <c r="B82" s="534" t="s">
        <v>473</v>
      </c>
      <c r="C82" s="533">
        <v>2.2000000000000002</v>
      </c>
      <c r="D82" s="533" t="s">
        <v>202</v>
      </c>
      <c r="E82" s="533">
        <f>E48</f>
        <v>10</v>
      </c>
      <c r="F82" s="535">
        <f>'Bang gia'!Q11</f>
        <v>14500000</v>
      </c>
      <c r="G82" s="535">
        <f t="shared" si="14"/>
        <v>2900</v>
      </c>
      <c r="H82" s="539"/>
      <c r="I82" s="535">
        <f>G82*H82</f>
        <v>0</v>
      </c>
      <c r="J82" s="537"/>
      <c r="K82" s="538"/>
      <c r="L82" s="539">
        <v>0.54600000000000004</v>
      </c>
      <c r="M82" s="540">
        <f t="shared" si="15"/>
        <v>1583.4</v>
      </c>
      <c r="N82" s="541">
        <f t="shared" si="16"/>
        <v>1583.4</v>
      </c>
    </row>
    <row r="83" spans="1:16" ht="19.5" customHeight="1">
      <c r="A83" s="533">
        <v>6</v>
      </c>
      <c r="B83" s="534" t="s">
        <v>476</v>
      </c>
      <c r="C83" s="533">
        <v>1.5</v>
      </c>
      <c r="D83" s="533" t="s">
        <v>202</v>
      </c>
      <c r="E83" s="533">
        <f>E49</f>
        <v>10</v>
      </c>
      <c r="F83" s="535">
        <f>'Bang gia'!Q20</f>
        <v>25500000</v>
      </c>
      <c r="G83" s="535">
        <f t="shared" si="14"/>
        <v>5100</v>
      </c>
      <c r="H83" s="539"/>
      <c r="I83" s="535"/>
      <c r="J83" s="537"/>
      <c r="K83" s="538"/>
      <c r="L83" s="539">
        <v>0.03</v>
      </c>
      <c r="M83" s="540">
        <f t="shared" si="15"/>
        <v>153</v>
      </c>
      <c r="N83" s="541">
        <f t="shared" si="16"/>
        <v>153</v>
      </c>
    </row>
    <row r="84" spans="1:16" ht="19.5" customHeight="1">
      <c r="A84" s="542"/>
      <c r="B84" s="543" t="s">
        <v>475</v>
      </c>
      <c r="C84" s="543"/>
      <c r="D84" s="542"/>
      <c r="E84" s="542"/>
      <c r="F84" s="591"/>
      <c r="G84" s="542"/>
      <c r="H84" s="542"/>
      <c r="I84" s="544">
        <f>SUM(I78:I83)</f>
        <v>0</v>
      </c>
      <c r="J84" s="545"/>
      <c r="K84" s="546"/>
      <c r="L84" s="545"/>
      <c r="M84" s="546">
        <f>SUM(M78:M83)</f>
        <v>10992.36</v>
      </c>
      <c r="N84" s="546">
        <f>SUM(N78:N83)</f>
        <v>10992.36</v>
      </c>
      <c r="P84" s="409">
        <f>M84*1.3</f>
        <v>14290.068000000001</v>
      </c>
    </row>
    <row r="85" spans="1:16" ht="7.5" customHeight="1">
      <c r="A85" s="548"/>
      <c r="B85" s="549"/>
      <c r="C85" s="549"/>
      <c r="D85" s="550"/>
      <c r="E85" s="551"/>
      <c r="F85" s="593"/>
      <c r="G85" s="551"/>
      <c r="H85" s="552"/>
      <c r="I85" s="552"/>
      <c r="J85" s="553"/>
      <c r="K85" s="553"/>
      <c r="L85" s="553"/>
      <c r="M85" s="553"/>
      <c r="N85" s="551"/>
    </row>
    <row r="86" spans="1:16">
      <c r="A86" s="561"/>
      <c r="B86" s="554" t="s">
        <v>550</v>
      </c>
      <c r="C86" s="558"/>
      <c r="D86" s="558"/>
      <c r="E86" s="449"/>
      <c r="F86" s="559"/>
      <c r="G86" s="449"/>
      <c r="H86" s="556"/>
      <c r="I86" s="556"/>
      <c r="J86" s="557"/>
      <c r="K86" s="557"/>
      <c r="L86" s="557"/>
      <c r="M86" s="557"/>
      <c r="N86" s="449"/>
    </row>
    <row r="87" spans="1:16" ht="19.5" customHeight="1">
      <c r="A87" s="561"/>
      <c r="B87" s="558" t="s">
        <v>402</v>
      </c>
      <c r="C87" s="558"/>
      <c r="D87" s="558"/>
      <c r="E87" s="449"/>
      <c r="F87" s="559"/>
      <c r="G87" s="449"/>
      <c r="H87" s="556"/>
      <c r="I87" s="556"/>
      <c r="J87" s="557"/>
      <c r="K87" s="557"/>
      <c r="L87" s="557"/>
      <c r="M87" s="557"/>
      <c r="N87" s="449"/>
    </row>
    <row r="88" spans="1:16" ht="32.450000000000003" customHeight="1">
      <c r="A88" s="561"/>
      <c r="B88" s="1217" t="s">
        <v>403</v>
      </c>
      <c r="C88" s="1217"/>
      <c r="D88" s="1217"/>
      <c r="E88" s="1217"/>
      <c r="F88" s="1217"/>
      <c r="G88" s="1217"/>
      <c r="H88" s="1217"/>
      <c r="I88" s="1217"/>
      <c r="J88" s="1217"/>
      <c r="K88" s="1217"/>
      <c r="L88" s="1217"/>
      <c r="M88" s="1217"/>
      <c r="N88" s="1217"/>
    </row>
    <row r="89" spans="1:16" ht="19.5" customHeight="1">
      <c r="A89" s="561"/>
      <c r="B89" s="560"/>
      <c r="C89" s="558"/>
      <c r="D89" s="558"/>
      <c r="E89" s="449"/>
      <c r="F89" s="559"/>
      <c r="G89" s="449"/>
      <c r="H89" s="556"/>
      <c r="I89" s="556"/>
      <c r="J89" s="557"/>
      <c r="K89" s="557"/>
      <c r="L89" s="557"/>
      <c r="M89" s="557"/>
      <c r="N89" s="449"/>
    </row>
    <row r="90" spans="1:16" ht="23.25" customHeight="1">
      <c r="A90" s="1221" t="s">
        <v>325</v>
      </c>
      <c r="B90" s="1221"/>
      <c r="C90" s="1221"/>
      <c r="D90" s="1221"/>
      <c r="E90" s="1221"/>
      <c r="F90" s="1221"/>
      <c r="G90" s="1221"/>
      <c r="H90" s="1221"/>
      <c r="I90" s="1221"/>
      <c r="J90" s="1221"/>
      <c r="K90" s="1221"/>
      <c r="L90" s="1221"/>
      <c r="M90" s="1221"/>
      <c r="N90" s="1221"/>
    </row>
    <row r="91" spans="1:16" ht="9.75" customHeight="1">
      <c r="A91" s="435"/>
      <c r="B91" s="561"/>
      <c r="C91" s="561"/>
      <c r="D91" s="555"/>
      <c r="E91" s="435"/>
      <c r="F91" s="556"/>
      <c r="G91" s="556"/>
      <c r="H91" s="435"/>
      <c r="I91" s="435"/>
      <c r="J91" s="561"/>
      <c r="K91" s="561"/>
      <c r="L91" s="562"/>
      <c r="M91" s="562"/>
      <c r="N91" s="449"/>
    </row>
    <row r="92" spans="1:16" ht="16.5" customHeight="1">
      <c r="A92" s="1203" t="s">
        <v>724</v>
      </c>
      <c r="B92" s="1203" t="s">
        <v>534</v>
      </c>
      <c r="C92" s="1203" t="s">
        <v>469</v>
      </c>
      <c r="D92" s="1203" t="s">
        <v>535</v>
      </c>
      <c r="E92" s="1206" t="s">
        <v>470</v>
      </c>
      <c r="F92" s="1203" t="s">
        <v>471</v>
      </c>
      <c r="G92" s="1203" t="s">
        <v>538</v>
      </c>
      <c r="H92" s="1212" t="s">
        <v>539</v>
      </c>
      <c r="I92" s="1214"/>
      <c r="J92" s="1214"/>
      <c r="K92" s="1214"/>
      <c r="L92" s="1214"/>
      <c r="M92" s="1213"/>
      <c r="N92" s="1203" t="s">
        <v>498</v>
      </c>
    </row>
    <row r="93" spans="1:16" ht="39.75" customHeight="1">
      <c r="A93" s="1204"/>
      <c r="B93" s="1204"/>
      <c r="C93" s="1204"/>
      <c r="D93" s="1204"/>
      <c r="E93" s="1207"/>
      <c r="F93" s="1204"/>
      <c r="G93" s="1204"/>
      <c r="H93" s="1212" t="s">
        <v>164</v>
      </c>
      <c r="I93" s="1213"/>
      <c r="J93" s="1212" t="s">
        <v>561</v>
      </c>
      <c r="K93" s="1213"/>
      <c r="L93" s="1212" t="s">
        <v>542</v>
      </c>
      <c r="M93" s="1213"/>
      <c r="N93" s="1204"/>
    </row>
    <row r="94" spans="1:16" ht="15.75" customHeight="1">
      <c r="A94" s="1205"/>
      <c r="B94" s="1205"/>
      <c r="C94" s="1205"/>
      <c r="D94" s="1205"/>
      <c r="E94" s="1208"/>
      <c r="F94" s="1205"/>
      <c r="G94" s="1205"/>
      <c r="H94" s="423" t="s">
        <v>768</v>
      </c>
      <c r="I94" s="423" t="s">
        <v>472</v>
      </c>
      <c r="J94" s="423" t="s">
        <v>768</v>
      </c>
      <c r="K94" s="423" t="s">
        <v>472</v>
      </c>
      <c r="L94" s="423" t="s">
        <v>768</v>
      </c>
      <c r="M94" s="423" t="s">
        <v>472</v>
      </c>
      <c r="N94" s="1205"/>
    </row>
    <row r="95" spans="1:16" ht="20.25" customHeight="1">
      <c r="A95" s="578">
        <v>1</v>
      </c>
      <c r="B95" s="579" t="s">
        <v>954</v>
      </c>
      <c r="C95" s="578">
        <v>0.4</v>
      </c>
      <c r="D95" s="578" t="s">
        <v>202</v>
      </c>
      <c r="E95" s="578">
        <f>E78</f>
        <v>5</v>
      </c>
      <c r="F95" s="580">
        <f>'Bang gia'!Q9</f>
        <v>15000000</v>
      </c>
      <c r="G95" s="535">
        <f t="shared" ref="G95:G101" si="17">F95/E95/500</f>
        <v>6000</v>
      </c>
      <c r="H95" s="581">
        <v>4.0000000000000001E-3</v>
      </c>
      <c r="I95" s="580">
        <f t="shared" ref="I95:I100" si="18">G95*H95</f>
        <v>24</v>
      </c>
      <c r="J95" s="581">
        <v>0.18099999999999999</v>
      </c>
      <c r="K95" s="582">
        <f t="shared" ref="K95:K100" si="19">G95*J95</f>
        <v>1086</v>
      </c>
      <c r="L95" s="581">
        <v>0.126</v>
      </c>
      <c r="M95" s="540">
        <f>G95*L95</f>
        <v>756</v>
      </c>
      <c r="N95" s="582">
        <f t="shared" ref="N95:N101" si="20">I95+K95+M95</f>
        <v>1866</v>
      </c>
    </row>
    <row r="96" spans="1:16" ht="20.25" customHeight="1">
      <c r="A96" s="533">
        <v>2</v>
      </c>
      <c r="B96" s="585" t="s">
        <v>964</v>
      </c>
      <c r="C96" s="586">
        <v>0.6</v>
      </c>
      <c r="D96" s="533" t="s">
        <v>202</v>
      </c>
      <c r="E96" s="533">
        <f>E79</f>
        <v>10</v>
      </c>
      <c r="F96" s="535">
        <f>'Bang gia'!Q21</f>
        <v>5800000</v>
      </c>
      <c r="G96" s="535">
        <f t="shared" si="17"/>
        <v>1160</v>
      </c>
      <c r="H96" s="539">
        <v>1E-3</v>
      </c>
      <c r="I96" s="535">
        <f t="shared" si="18"/>
        <v>1.1599999999999999</v>
      </c>
      <c r="J96" s="537">
        <v>1.0999999999999999E-2</v>
      </c>
      <c r="K96" s="538">
        <f t="shared" si="19"/>
        <v>12.76</v>
      </c>
      <c r="L96" s="539">
        <v>6.0000000000000001E-3</v>
      </c>
      <c r="M96" s="540">
        <f>G96*L96</f>
        <v>6.96</v>
      </c>
      <c r="N96" s="541">
        <f t="shared" si="20"/>
        <v>20.88</v>
      </c>
    </row>
    <row r="97" spans="1:14" ht="20.25" customHeight="1">
      <c r="A97" s="533">
        <v>3</v>
      </c>
      <c r="B97" s="534" t="s">
        <v>962</v>
      </c>
      <c r="C97" s="533">
        <v>0.6</v>
      </c>
      <c r="D97" s="533" t="s">
        <v>202</v>
      </c>
      <c r="E97" s="533">
        <f>E80</f>
        <v>10</v>
      </c>
      <c r="F97" s="535">
        <f>'Bang gia'!Q19</f>
        <v>24800000</v>
      </c>
      <c r="G97" s="535">
        <f t="shared" si="17"/>
        <v>4960</v>
      </c>
      <c r="H97" s="539"/>
      <c r="I97" s="535">
        <f t="shared" si="18"/>
        <v>0</v>
      </c>
      <c r="J97" s="537">
        <v>0.04</v>
      </c>
      <c r="K97" s="538">
        <f t="shared" si="19"/>
        <v>198.4</v>
      </c>
      <c r="L97" s="539"/>
      <c r="M97" s="540"/>
      <c r="N97" s="541">
        <f t="shared" si="20"/>
        <v>198.4</v>
      </c>
    </row>
    <row r="98" spans="1:14" ht="20.25" customHeight="1">
      <c r="A98" s="533">
        <v>4</v>
      </c>
      <c r="B98" s="534" t="s">
        <v>572</v>
      </c>
      <c r="C98" s="533">
        <v>0.6</v>
      </c>
      <c r="D98" s="533" t="s">
        <v>202</v>
      </c>
      <c r="E98" s="533">
        <v>10</v>
      </c>
      <c r="F98" s="535">
        <f>'Bang gia'!Q22</f>
        <v>28500000</v>
      </c>
      <c r="G98" s="535">
        <f t="shared" si="17"/>
        <v>5700</v>
      </c>
      <c r="H98" s="539"/>
      <c r="I98" s="535">
        <f t="shared" si="18"/>
        <v>0</v>
      </c>
      <c r="J98" s="537">
        <v>0.04</v>
      </c>
      <c r="K98" s="538">
        <f t="shared" si="19"/>
        <v>228</v>
      </c>
      <c r="L98" s="539"/>
      <c r="M98" s="540"/>
      <c r="N98" s="541">
        <f t="shared" si="20"/>
        <v>228</v>
      </c>
    </row>
    <row r="99" spans="1:14" ht="20.25" customHeight="1">
      <c r="A99" s="533">
        <v>5</v>
      </c>
      <c r="B99" s="534" t="s">
        <v>473</v>
      </c>
      <c r="C99" s="533">
        <v>2.2000000000000002</v>
      </c>
      <c r="D99" s="533" t="s">
        <v>202</v>
      </c>
      <c r="E99" s="533">
        <f>E82</f>
        <v>10</v>
      </c>
      <c r="F99" s="535">
        <f>'Bang gia'!Q11</f>
        <v>14500000</v>
      </c>
      <c r="G99" s="535">
        <f t="shared" si="17"/>
        <v>2900</v>
      </c>
      <c r="H99" s="539">
        <v>1E-3</v>
      </c>
      <c r="I99" s="535">
        <f t="shared" si="18"/>
        <v>2.9</v>
      </c>
      <c r="J99" s="537">
        <v>5.3999999999999999E-2</v>
      </c>
      <c r="K99" s="538">
        <f t="shared" si="19"/>
        <v>156.6</v>
      </c>
      <c r="L99" s="539">
        <v>3.7999999999999999E-2</v>
      </c>
      <c r="M99" s="540">
        <f>G99*L99</f>
        <v>110.2</v>
      </c>
      <c r="N99" s="541">
        <f t="shared" si="20"/>
        <v>269.7</v>
      </c>
    </row>
    <row r="100" spans="1:14" ht="20.45" customHeight="1">
      <c r="A100" s="533">
        <v>6</v>
      </c>
      <c r="B100" s="534" t="s">
        <v>574</v>
      </c>
      <c r="C100" s="533">
        <v>1.5</v>
      </c>
      <c r="D100" s="533" t="s">
        <v>202</v>
      </c>
      <c r="E100" s="533">
        <f>E83</f>
        <v>10</v>
      </c>
      <c r="F100" s="535">
        <f>'Bang gia'!Q20</f>
        <v>25500000</v>
      </c>
      <c r="G100" s="535">
        <f t="shared" si="17"/>
        <v>5100</v>
      </c>
      <c r="H100" s="539">
        <v>1E-3</v>
      </c>
      <c r="I100" s="535">
        <f t="shared" si="18"/>
        <v>5.1000000000000005</v>
      </c>
      <c r="J100" s="537">
        <v>1.2999999999999999E-2</v>
      </c>
      <c r="K100" s="538">
        <f t="shared" si="19"/>
        <v>66.3</v>
      </c>
      <c r="L100" s="539">
        <v>8.9999999999999993E-3</v>
      </c>
      <c r="M100" s="540">
        <f>G100*L100</f>
        <v>45.9</v>
      </c>
      <c r="N100" s="541">
        <f t="shared" si="20"/>
        <v>117.29999999999998</v>
      </c>
    </row>
    <row r="101" spans="1:14" ht="20.45" customHeight="1">
      <c r="A101" s="533">
        <v>7</v>
      </c>
      <c r="B101" s="534" t="s">
        <v>474</v>
      </c>
      <c r="C101" s="533">
        <v>0.4</v>
      </c>
      <c r="D101" s="533" t="s">
        <v>202</v>
      </c>
      <c r="E101" s="533">
        <f>E13</f>
        <v>10</v>
      </c>
      <c r="F101" s="594">
        <f>'Bang gia'!Q10</f>
        <v>105000000</v>
      </c>
      <c r="G101" s="535">
        <f t="shared" si="17"/>
        <v>21000</v>
      </c>
      <c r="H101" s="595"/>
      <c r="I101" s="594"/>
      <c r="J101" s="596"/>
      <c r="K101" s="597"/>
      <c r="L101" s="595">
        <v>1E-3</v>
      </c>
      <c r="M101" s="598">
        <f>G101*L101</f>
        <v>21</v>
      </c>
      <c r="N101" s="541">
        <f t="shared" si="20"/>
        <v>21</v>
      </c>
    </row>
    <row r="102" spans="1:14" ht="20.45" customHeight="1">
      <c r="A102" s="542"/>
      <c r="B102" s="543" t="s">
        <v>475</v>
      </c>
      <c r="C102" s="543"/>
      <c r="D102" s="542"/>
      <c r="E102" s="542"/>
      <c r="F102" s="591"/>
      <c r="G102" s="542"/>
      <c r="H102" s="542"/>
      <c r="I102" s="546">
        <f>SUM(I95:I101)</f>
        <v>33.159999999999997</v>
      </c>
      <c r="J102" s="546"/>
      <c r="K102" s="546">
        <f>SUM(K95:K101)</f>
        <v>1748.06</v>
      </c>
      <c r="L102" s="546"/>
      <c r="M102" s="546">
        <f>SUM(M95:M101)</f>
        <v>940.06000000000006</v>
      </c>
      <c r="N102" s="546">
        <f>SUM(N95:N101)</f>
        <v>2721.28</v>
      </c>
    </row>
    <row r="103" spans="1:14">
      <c r="A103" s="548"/>
      <c r="B103" s="549"/>
      <c r="C103" s="549"/>
      <c r="D103" s="550"/>
      <c r="E103" s="551"/>
      <c r="F103" s="593"/>
      <c r="G103" s="551"/>
      <c r="H103" s="552"/>
      <c r="I103" s="552"/>
      <c r="J103" s="553"/>
      <c r="K103" s="553"/>
      <c r="L103" s="553"/>
      <c r="M103" s="553"/>
      <c r="N103" s="551"/>
    </row>
    <row r="104" spans="1:14">
      <c r="A104" s="561"/>
      <c r="B104" s="554" t="s">
        <v>550</v>
      </c>
      <c r="C104" s="558"/>
      <c r="D104" s="558"/>
      <c r="E104" s="449"/>
      <c r="F104" s="559"/>
      <c r="G104" s="449"/>
      <c r="H104" s="556"/>
      <c r="I104" s="556"/>
      <c r="J104" s="557"/>
      <c r="K104" s="557"/>
      <c r="L104" s="557"/>
      <c r="M104" s="557"/>
      <c r="N104" s="449"/>
    </row>
    <row r="105" spans="1:14" ht="79.150000000000006" customHeight="1">
      <c r="A105" s="561"/>
      <c r="B105" s="1223" t="s">
        <v>6</v>
      </c>
      <c r="C105" s="1223"/>
      <c r="D105" s="1223"/>
      <c r="E105" s="1223"/>
      <c r="F105" s="1223"/>
      <c r="G105" s="1223"/>
      <c r="H105" s="1223"/>
      <c r="I105" s="1223"/>
      <c r="J105" s="1223"/>
      <c r="K105" s="1223"/>
      <c r="L105" s="1223"/>
      <c r="M105" s="1223"/>
      <c r="N105" s="1223"/>
    </row>
    <row r="106" spans="1:14">
      <c r="A106" s="561"/>
      <c r="B106" s="558" t="s">
        <v>905</v>
      </c>
      <c r="C106" s="558"/>
      <c r="D106" s="558"/>
      <c r="E106" s="449"/>
      <c r="F106" s="559"/>
      <c r="G106" s="449"/>
      <c r="H106" s="556"/>
      <c r="I106" s="556"/>
      <c r="J106" s="557"/>
      <c r="K106" s="557"/>
      <c r="L106" s="557"/>
      <c r="M106" s="557"/>
      <c r="N106" s="449"/>
    </row>
    <row r="107" spans="1:14" ht="33" customHeight="1">
      <c r="A107" s="561"/>
      <c r="B107" s="1223" t="s">
        <v>906</v>
      </c>
      <c r="C107" s="1223"/>
      <c r="D107" s="1223"/>
      <c r="E107" s="1223"/>
      <c r="F107" s="1223"/>
      <c r="G107" s="1223"/>
      <c r="H107" s="1223"/>
      <c r="I107" s="1223"/>
      <c r="J107" s="1223"/>
      <c r="K107" s="1223"/>
      <c r="L107" s="1223"/>
      <c r="M107" s="1223"/>
      <c r="N107" s="1223"/>
    </row>
    <row r="108" spans="1:14">
      <c r="A108" s="561"/>
      <c r="B108" s="558" t="s">
        <v>907</v>
      </c>
      <c r="C108" s="558"/>
      <c r="D108" s="558"/>
      <c r="E108" s="449"/>
      <c r="F108" s="559"/>
      <c r="G108" s="449"/>
      <c r="H108" s="556"/>
      <c r="I108" s="556"/>
      <c r="J108" s="557"/>
      <c r="K108" s="557"/>
      <c r="L108" s="557"/>
      <c r="M108" s="557"/>
      <c r="N108" s="449"/>
    </row>
    <row r="109" spans="1:14">
      <c r="A109" s="435"/>
      <c r="B109" s="560"/>
      <c r="C109" s="560"/>
      <c r="D109" s="560"/>
      <c r="E109" s="449"/>
      <c r="F109" s="559"/>
      <c r="G109" s="449"/>
      <c r="H109" s="556"/>
      <c r="I109" s="556"/>
      <c r="J109" s="557"/>
      <c r="K109" s="557"/>
      <c r="L109" s="557"/>
      <c r="M109" s="557"/>
      <c r="N109" s="449"/>
    </row>
    <row r="110" spans="1:14" ht="31.5" customHeight="1">
      <c r="A110" s="1221" t="s">
        <v>326</v>
      </c>
      <c r="B110" s="1221"/>
      <c r="C110" s="1221"/>
      <c r="D110" s="1221"/>
      <c r="E110" s="1221"/>
      <c r="F110" s="1221"/>
      <c r="G110" s="1221"/>
      <c r="H110" s="1221"/>
      <c r="I110" s="1221"/>
      <c r="J110" s="1221"/>
      <c r="K110" s="1221"/>
      <c r="L110" s="1221"/>
      <c r="M110" s="1221"/>
      <c r="N110" s="1221"/>
    </row>
    <row r="111" spans="1:14" ht="9.75" customHeight="1">
      <c r="A111" s="435"/>
      <c r="B111" s="561"/>
      <c r="C111" s="561"/>
      <c r="D111" s="555"/>
      <c r="E111" s="435"/>
      <c r="F111" s="556"/>
      <c r="G111" s="556"/>
      <c r="H111" s="435"/>
      <c r="I111" s="435"/>
      <c r="J111" s="561"/>
      <c r="K111" s="561"/>
      <c r="L111" s="562"/>
      <c r="M111" s="562"/>
      <c r="N111" s="449"/>
    </row>
    <row r="112" spans="1:14" ht="16.5" customHeight="1">
      <c r="A112" s="1203" t="s">
        <v>724</v>
      </c>
      <c r="B112" s="1203" t="s">
        <v>534</v>
      </c>
      <c r="C112" s="1203" t="s">
        <v>469</v>
      </c>
      <c r="D112" s="1203" t="s">
        <v>535</v>
      </c>
      <c r="E112" s="1206" t="s">
        <v>470</v>
      </c>
      <c r="F112" s="1203" t="s">
        <v>471</v>
      </c>
      <c r="G112" s="1203" t="s">
        <v>538</v>
      </c>
      <c r="H112" s="1212" t="s">
        <v>539</v>
      </c>
      <c r="I112" s="1214"/>
      <c r="J112" s="1214"/>
      <c r="K112" s="1214"/>
      <c r="L112" s="1214"/>
      <c r="M112" s="1213"/>
      <c r="N112" s="1203" t="s">
        <v>769</v>
      </c>
    </row>
    <row r="113" spans="1:18" ht="42" customHeight="1">
      <c r="A113" s="1204"/>
      <c r="B113" s="1204"/>
      <c r="C113" s="1204"/>
      <c r="D113" s="1204"/>
      <c r="E113" s="1207"/>
      <c r="F113" s="1204"/>
      <c r="G113" s="1204"/>
      <c r="H113" s="1212" t="s">
        <v>488</v>
      </c>
      <c r="I113" s="1213"/>
      <c r="J113" s="1212" t="s">
        <v>140</v>
      </c>
      <c r="K113" s="1213"/>
      <c r="L113" s="1212" t="s">
        <v>542</v>
      </c>
      <c r="M113" s="1213"/>
      <c r="N113" s="1204"/>
    </row>
    <row r="114" spans="1:18" ht="15.75" customHeight="1">
      <c r="A114" s="1205"/>
      <c r="B114" s="1205"/>
      <c r="C114" s="1205"/>
      <c r="D114" s="1205"/>
      <c r="E114" s="1208"/>
      <c r="F114" s="1205"/>
      <c r="G114" s="1205"/>
      <c r="H114" s="524" t="s">
        <v>770</v>
      </c>
      <c r="I114" s="524" t="s">
        <v>497</v>
      </c>
      <c r="J114" s="524" t="s">
        <v>770</v>
      </c>
      <c r="K114" s="524" t="s">
        <v>497</v>
      </c>
      <c r="L114" s="524" t="s">
        <v>770</v>
      </c>
      <c r="M114" s="524" t="s">
        <v>497</v>
      </c>
      <c r="N114" s="1205"/>
    </row>
    <row r="115" spans="1:18" ht="20.25" customHeight="1">
      <c r="A115" s="578">
        <v>1</v>
      </c>
      <c r="B115" s="579" t="s">
        <v>954</v>
      </c>
      <c r="C115" s="578">
        <v>0.4</v>
      </c>
      <c r="D115" s="578" t="s">
        <v>202</v>
      </c>
      <c r="E115" s="578">
        <f t="shared" ref="E115:E120" si="21">E95</f>
        <v>5</v>
      </c>
      <c r="F115" s="580">
        <f>'Bang gia'!Q9</f>
        <v>15000000</v>
      </c>
      <c r="G115" s="535">
        <f t="shared" ref="G115:G122" si="22">F115/E115/500</f>
        <v>6000</v>
      </c>
      <c r="H115" s="581"/>
      <c r="I115" s="580"/>
      <c r="J115" s="581">
        <v>0.29399999999999998</v>
      </c>
      <c r="K115" s="582">
        <f t="shared" ref="K115:K121" si="23">G115*J115</f>
        <v>1764</v>
      </c>
      <c r="L115" s="581">
        <v>0.20200000000000001</v>
      </c>
      <c r="M115" s="540">
        <f>G115*L115</f>
        <v>1212</v>
      </c>
      <c r="N115" s="582">
        <f t="shared" ref="N115:N122" si="24">I115+K115+M115</f>
        <v>2976</v>
      </c>
    </row>
    <row r="116" spans="1:18" ht="20.25" customHeight="1">
      <c r="A116" s="533">
        <v>2</v>
      </c>
      <c r="B116" s="585" t="s">
        <v>964</v>
      </c>
      <c r="C116" s="586">
        <v>0.6</v>
      </c>
      <c r="D116" s="533" t="s">
        <v>202</v>
      </c>
      <c r="E116" s="533">
        <f t="shared" si="21"/>
        <v>10</v>
      </c>
      <c r="F116" s="535">
        <f>'Bang gia'!Q21</f>
        <v>5800000</v>
      </c>
      <c r="G116" s="535">
        <f t="shared" si="22"/>
        <v>1160</v>
      </c>
      <c r="H116" s="539"/>
      <c r="I116" s="535"/>
      <c r="J116" s="537">
        <v>8.9999999999999993E-3</v>
      </c>
      <c r="K116" s="538">
        <f t="shared" si="23"/>
        <v>10.44</v>
      </c>
      <c r="L116" s="539">
        <v>8.0000000000000002E-3</v>
      </c>
      <c r="M116" s="540">
        <f>G116*L116</f>
        <v>9.2799999999999994</v>
      </c>
      <c r="N116" s="541">
        <f t="shared" si="24"/>
        <v>19.72</v>
      </c>
    </row>
    <row r="117" spans="1:18" ht="20.25" customHeight="1">
      <c r="A117" s="533">
        <v>3</v>
      </c>
      <c r="B117" s="534" t="s">
        <v>962</v>
      </c>
      <c r="C117" s="533">
        <v>0.6</v>
      </c>
      <c r="D117" s="533" t="s">
        <v>202</v>
      </c>
      <c r="E117" s="533">
        <f t="shared" si="21"/>
        <v>10</v>
      </c>
      <c r="F117" s="535">
        <f>'Bang gia'!Q19</f>
        <v>24800000</v>
      </c>
      <c r="G117" s="535">
        <f t="shared" si="22"/>
        <v>4960</v>
      </c>
      <c r="H117" s="539"/>
      <c r="I117" s="535"/>
      <c r="J117" s="537">
        <v>0.04</v>
      </c>
      <c r="K117" s="538">
        <f t="shared" si="23"/>
        <v>198.4</v>
      </c>
      <c r="L117" s="539"/>
      <c r="M117" s="540"/>
      <c r="N117" s="541">
        <f t="shared" si="24"/>
        <v>198.4</v>
      </c>
    </row>
    <row r="118" spans="1:18" ht="20.25" customHeight="1">
      <c r="A118" s="533">
        <v>4</v>
      </c>
      <c r="B118" s="534" t="s">
        <v>572</v>
      </c>
      <c r="C118" s="533">
        <v>0.6</v>
      </c>
      <c r="D118" s="533" t="s">
        <v>202</v>
      </c>
      <c r="E118" s="533">
        <f t="shared" si="21"/>
        <v>10</v>
      </c>
      <c r="F118" s="535">
        <f>'Bang gia'!Q22</f>
        <v>28500000</v>
      </c>
      <c r="G118" s="535">
        <f t="shared" si="22"/>
        <v>5700</v>
      </c>
      <c r="H118" s="539"/>
      <c r="I118" s="535"/>
      <c r="J118" s="537">
        <v>0.04</v>
      </c>
      <c r="K118" s="538">
        <f t="shared" si="23"/>
        <v>228</v>
      </c>
      <c r="L118" s="539"/>
      <c r="M118" s="540"/>
      <c r="N118" s="541">
        <f t="shared" si="24"/>
        <v>228</v>
      </c>
    </row>
    <row r="119" spans="1:18" ht="20.25" customHeight="1">
      <c r="A119" s="533">
        <v>5</v>
      </c>
      <c r="B119" s="534" t="s">
        <v>473</v>
      </c>
      <c r="C119" s="533">
        <v>2.2000000000000002</v>
      </c>
      <c r="D119" s="533" t="s">
        <v>202</v>
      </c>
      <c r="E119" s="533">
        <f t="shared" si="21"/>
        <v>10</v>
      </c>
      <c r="F119" s="535">
        <f>'Bang gia'!Q11</f>
        <v>14500000</v>
      </c>
      <c r="G119" s="535">
        <f t="shared" si="22"/>
        <v>2900</v>
      </c>
      <c r="H119" s="539"/>
      <c r="I119" s="535"/>
      <c r="J119" s="537">
        <v>0.09</v>
      </c>
      <c r="K119" s="538">
        <f t="shared" si="23"/>
        <v>261</v>
      </c>
      <c r="L119" s="539">
        <v>6.0999999999999999E-2</v>
      </c>
      <c r="M119" s="540">
        <f>G119*L119</f>
        <v>176.9</v>
      </c>
      <c r="N119" s="541">
        <f t="shared" si="24"/>
        <v>437.9</v>
      </c>
    </row>
    <row r="120" spans="1:18" ht="21" customHeight="1">
      <c r="A120" s="533">
        <v>6</v>
      </c>
      <c r="B120" s="534" t="s">
        <v>574</v>
      </c>
      <c r="C120" s="533">
        <v>1.5</v>
      </c>
      <c r="D120" s="533" t="s">
        <v>202</v>
      </c>
      <c r="E120" s="533">
        <f t="shared" si="21"/>
        <v>10</v>
      </c>
      <c r="F120" s="535">
        <f>'Bang gia'!Q20</f>
        <v>25500000</v>
      </c>
      <c r="G120" s="535">
        <f t="shared" si="22"/>
        <v>5100</v>
      </c>
      <c r="H120" s="539"/>
      <c r="I120" s="535"/>
      <c r="J120" s="537">
        <v>1.2999999999999999E-2</v>
      </c>
      <c r="K120" s="538">
        <f t="shared" si="23"/>
        <v>66.3</v>
      </c>
      <c r="L120" s="539">
        <v>2.4E-2</v>
      </c>
      <c r="M120" s="540">
        <f>G120*L120</f>
        <v>122.4</v>
      </c>
      <c r="N120" s="541">
        <f t="shared" si="24"/>
        <v>188.7</v>
      </c>
    </row>
    <row r="121" spans="1:18" ht="20.25" customHeight="1">
      <c r="A121" s="533">
        <v>7</v>
      </c>
      <c r="B121" s="534" t="s">
        <v>575</v>
      </c>
      <c r="C121" s="533">
        <v>1.5</v>
      </c>
      <c r="D121" s="533" t="s">
        <v>202</v>
      </c>
      <c r="E121" s="533">
        <v>10</v>
      </c>
      <c r="F121" s="535">
        <f>'Bang gia'!Q12</f>
        <v>72000000</v>
      </c>
      <c r="G121" s="535">
        <f t="shared" si="22"/>
        <v>14400</v>
      </c>
      <c r="H121" s="539"/>
      <c r="I121" s="535"/>
      <c r="J121" s="537">
        <v>1.5</v>
      </c>
      <c r="K121" s="538">
        <f t="shared" si="23"/>
        <v>21600</v>
      </c>
      <c r="L121" s="539"/>
      <c r="M121" s="540"/>
      <c r="N121" s="541">
        <f t="shared" si="24"/>
        <v>21600</v>
      </c>
    </row>
    <row r="122" spans="1:18" ht="20.25" customHeight="1">
      <c r="A122" s="599">
        <v>8</v>
      </c>
      <c r="B122" s="600" t="s">
        <v>474</v>
      </c>
      <c r="C122" s="599">
        <v>0.4</v>
      </c>
      <c r="D122" s="599" t="s">
        <v>202</v>
      </c>
      <c r="E122" s="599">
        <f>E101</f>
        <v>10</v>
      </c>
      <c r="F122" s="601">
        <f>'Bang gia'!Q10</f>
        <v>105000000</v>
      </c>
      <c r="G122" s="601">
        <f t="shared" si="22"/>
        <v>21000</v>
      </c>
      <c r="H122" s="602"/>
      <c r="I122" s="601"/>
      <c r="J122" s="603"/>
      <c r="K122" s="604"/>
      <c r="L122" s="602">
        <v>1E-3</v>
      </c>
      <c r="M122" s="540">
        <f>G122*L122</f>
        <v>21</v>
      </c>
      <c r="N122" s="541">
        <f t="shared" si="24"/>
        <v>21</v>
      </c>
    </row>
    <row r="123" spans="1:18" ht="20.25" customHeight="1">
      <c r="A123" s="542"/>
      <c r="B123" s="543" t="s">
        <v>475</v>
      </c>
      <c r="C123" s="543"/>
      <c r="D123" s="542"/>
      <c r="E123" s="542"/>
      <c r="F123" s="591"/>
      <c r="G123" s="542"/>
      <c r="H123" s="542"/>
      <c r="I123" s="544"/>
      <c r="J123" s="545"/>
      <c r="K123" s="546">
        <f>SUM(K115:K122)</f>
        <v>24128.14</v>
      </c>
      <c r="L123" s="546"/>
      <c r="M123" s="546">
        <f>SUM(M115:M122)</f>
        <v>1541.5800000000002</v>
      </c>
      <c r="N123" s="546">
        <f>SUM(N115:N122)</f>
        <v>25669.72</v>
      </c>
      <c r="P123" s="409">
        <f>K123/5000</f>
        <v>4.825628</v>
      </c>
      <c r="R123" s="409">
        <f>M123/5000</f>
        <v>0.30831600000000003</v>
      </c>
    </row>
    <row r="124" spans="1:18">
      <c r="A124" s="548"/>
      <c r="B124" s="549"/>
      <c r="C124" s="549"/>
      <c r="D124" s="550"/>
      <c r="E124" s="551"/>
      <c r="F124" s="593"/>
      <c r="G124" s="551"/>
      <c r="H124" s="552"/>
      <c r="I124" s="552"/>
      <c r="J124" s="553"/>
      <c r="K124" s="553"/>
      <c r="L124" s="553"/>
      <c r="M124" s="553"/>
      <c r="N124" s="551"/>
    </row>
    <row r="125" spans="1:18">
      <c r="A125" s="561"/>
      <c r="B125" s="554" t="s">
        <v>550</v>
      </c>
      <c r="C125" s="558"/>
      <c r="D125" s="558"/>
      <c r="E125" s="449"/>
      <c r="F125" s="559"/>
      <c r="G125" s="449"/>
      <c r="H125" s="556"/>
      <c r="I125" s="556"/>
      <c r="J125" s="557"/>
      <c r="K125" s="557"/>
      <c r="L125" s="557"/>
      <c r="M125" s="557"/>
      <c r="N125" s="449"/>
    </row>
    <row r="126" spans="1:18" ht="70.900000000000006" customHeight="1">
      <c r="A126" s="561"/>
      <c r="B126" s="1237" t="s">
        <v>16</v>
      </c>
      <c r="C126" s="1237"/>
      <c r="D126" s="1237"/>
      <c r="E126" s="1237"/>
      <c r="F126" s="1237"/>
      <c r="G126" s="1237"/>
      <c r="H126" s="1237"/>
      <c r="I126" s="1237"/>
      <c r="J126" s="1237"/>
      <c r="K126" s="1237"/>
      <c r="L126" s="1237"/>
      <c r="M126" s="1237"/>
      <c r="N126" s="1237"/>
    </row>
    <row r="127" spans="1:18">
      <c r="A127" s="435"/>
      <c r="B127" s="558" t="s">
        <v>14</v>
      </c>
      <c r="C127" s="560"/>
      <c r="D127" s="560"/>
      <c r="E127" s="449"/>
      <c r="F127" s="559"/>
      <c r="G127" s="449"/>
      <c r="H127" s="556"/>
      <c r="I127" s="556"/>
      <c r="J127" s="557"/>
      <c r="K127" s="557"/>
      <c r="L127" s="557"/>
      <c r="M127" s="557"/>
      <c r="N127" s="449"/>
    </row>
    <row r="128" spans="1:18" ht="45.6" customHeight="1">
      <c r="A128" s="435"/>
      <c r="B128" s="1217" t="s">
        <v>15</v>
      </c>
      <c r="C128" s="1217"/>
      <c r="D128" s="1217"/>
      <c r="E128" s="1217"/>
      <c r="F128" s="1217"/>
      <c r="G128" s="1217"/>
      <c r="H128" s="1217"/>
      <c r="I128" s="1217"/>
      <c r="J128" s="1217"/>
      <c r="K128" s="1217"/>
      <c r="L128" s="1217"/>
      <c r="M128" s="1217"/>
      <c r="N128" s="1217"/>
    </row>
    <row r="129" spans="1:17" ht="30.6" customHeight="1">
      <c r="A129" s="435"/>
      <c r="B129" s="1217" t="s">
        <v>907</v>
      </c>
      <c r="C129" s="1217"/>
      <c r="D129" s="1217"/>
      <c r="E129" s="1217"/>
      <c r="F129" s="1217"/>
      <c r="G129" s="1217"/>
      <c r="H129" s="1217"/>
      <c r="I129" s="1217"/>
      <c r="J129" s="1217"/>
      <c r="K129" s="1217"/>
      <c r="L129" s="1217"/>
      <c r="M129" s="1217"/>
      <c r="N129" s="1217"/>
    </row>
    <row r="130" spans="1:17">
      <c r="B130" s="560"/>
    </row>
    <row r="131" spans="1:17" ht="25.5" customHeight="1">
      <c r="A131" s="1221" t="s">
        <v>181</v>
      </c>
      <c r="B131" s="1221"/>
      <c r="C131" s="1221"/>
      <c r="D131" s="1221"/>
      <c r="E131" s="1221"/>
      <c r="F131" s="1221"/>
      <c r="G131" s="1221"/>
      <c r="H131" s="1221"/>
      <c r="I131" s="1221"/>
      <c r="J131" s="1221"/>
      <c r="K131" s="1221"/>
      <c r="L131" s="1221"/>
      <c r="M131" s="1221"/>
      <c r="N131" s="1221"/>
    </row>
    <row r="132" spans="1:17" ht="6.75" customHeight="1">
      <c r="A132" s="435"/>
      <c r="B132" s="561"/>
      <c r="C132" s="561"/>
      <c r="D132" s="555"/>
      <c r="E132" s="435"/>
      <c r="F132" s="556"/>
      <c r="G132" s="556"/>
      <c r="H132" s="435"/>
      <c r="I132" s="435"/>
      <c r="J132" s="561"/>
      <c r="K132" s="561"/>
      <c r="L132" s="562"/>
      <c r="M132" s="562"/>
      <c r="N132" s="449"/>
    </row>
    <row r="133" spans="1:17" ht="9.75" customHeight="1">
      <c r="A133" s="1203" t="s">
        <v>724</v>
      </c>
      <c r="B133" s="1203" t="s">
        <v>534</v>
      </c>
      <c r="C133" s="1203" t="s">
        <v>469</v>
      </c>
      <c r="D133" s="1203" t="s">
        <v>535</v>
      </c>
      <c r="E133" s="1206" t="s">
        <v>470</v>
      </c>
      <c r="F133" s="1203" t="s">
        <v>471</v>
      </c>
      <c r="G133" s="1203" t="s">
        <v>538</v>
      </c>
      <c r="H133" s="1212" t="s">
        <v>539</v>
      </c>
      <c r="I133" s="1214"/>
      <c r="J133" s="1214"/>
      <c r="K133" s="1214"/>
      <c r="L133" s="1214"/>
      <c r="M133" s="1213"/>
      <c r="N133" s="1203" t="s">
        <v>265</v>
      </c>
    </row>
    <row r="134" spans="1:17" ht="41.25" customHeight="1">
      <c r="A134" s="1204"/>
      <c r="B134" s="1204"/>
      <c r="C134" s="1204"/>
      <c r="D134" s="1204"/>
      <c r="E134" s="1207"/>
      <c r="F134" s="1204"/>
      <c r="G134" s="1204"/>
      <c r="H134" s="1212" t="s">
        <v>540</v>
      </c>
      <c r="I134" s="1213"/>
      <c r="J134" s="1212" t="s">
        <v>140</v>
      </c>
      <c r="K134" s="1213"/>
      <c r="L134" s="1212" t="s">
        <v>706</v>
      </c>
      <c r="M134" s="1213"/>
      <c r="N134" s="1204"/>
    </row>
    <row r="135" spans="1:17" ht="20.25" customHeight="1">
      <c r="A135" s="1205"/>
      <c r="B135" s="1205"/>
      <c r="C135" s="1205"/>
      <c r="D135" s="1205"/>
      <c r="E135" s="1208"/>
      <c r="F135" s="1205"/>
      <c r="G135" s="1205"/>
      <c r="H135" s="423" t="s">
        <v>771</v>
      </c>
      <c r="I135" s="423" t="s">
        <v>772</v>
      </c>
      <c r="J135" s="423" t="s">
        <v>771</v>
      </c>
      <c r="K135" s="423" t="s">
        <v>772</v>
      </c>
      <c r="L135" s="423" t="s">
        <v>771</v>
      </c>
      <c r="M135" s="423" t="s">
        <v>772</v>
      </c>
      <c r="N135" s="1205"/>
    </row>
    <row r="136" spans="1:17" ht="19.5" customHeight="1">
      <c r="A136" s="578">
        <v>1</v>
      </c>
      <c r="B136" s="579" t="s">
        <v>954</v>
      </c>
      <c r="C136" s="578">
        <v>0.4</v>
      </c>
      <c r="D136" s="578" t="s">
        <v>202</v>
      </c>
      <c r="E136" s="578">
        <f>E115</f>
        <v>5</v>
      </c>
      <c r="F136" s="580">
        <f>'Bang gia'!Q9</f>
        <v>15000000</v>
      </c>
      <c r="G136" s="535">
        <f t="shared" ref="G136:G141" si="25">F136/E136/500</f>
        <v>6000</v>
      </c>
      <c r="H136" s="581"/>
      <c r="I136" s="580"/>
      <c r="J136" s="581">
        <v>1.02</v>
      </c>
      <c r="K136" s="582">
        <f t="shared" ref="K136:K141" si="26">G136*J136</f>
        <v>6120</v>
      </c>
      <c r="L136" s="581"/>
      <c r="M136" s="540"/>
      <c r="N136" s="582">
        <f t="shared" ref="N136:N141" si="27">I136+K136+M136</f>
        <v>6120</v>
      </c>
    </row>
    <row r="137" spans="1:17" ht="19.5" customHeight="1">
      <c r="A137" s="533">
        <v>2</v>
      </c>
      <c r="B137" s="585" t="s">
        <v>964</v>
      </c>
      <c r="C137" s="586">
        <v>0.6</v>
      </c>
      <c r="D137" s="533" t="s">
        <v>202</v>
      </c>
      <c r="E137" s="533">
        <f>E116</f>
        <v>10</v>
      </c>
      <c r="F137" s="535">
        <f>'Bang gia'!Q21</f>
        <v>5800000</v>
      </c>
      <c r="G137" s="535">
        <f t="shared" si="25"/>
        <v>1160</v>
      </c>
      <c r="H137" s="539"/>
      <c r="I137" s="535"/>
      <c r="J137" s="537">
        <v>1.7000000000000001E-2</v>
      </c>
      <c r="K137" s="538">
        <f t="shared" si="26"/>
        <v>19.720000000000002</v>
      </c>
      <c r="L137" s="539"/>
      <c r="M137" s="540"/>
      <c r="N137" s="541">
        <f t="shared" si="27"/>
        <v>19.720000000000002</v>
      </c>
    </row>
    <row r="138" spans="1:17" ht="19.5" customHeight="1">
      <c r="A138" s="533">
        <v>3</v>
      </c>
      <c r="B138" s="534" t="s">
        <v>962</v>
      </c>
      <c r="C138" s="533">
        <v>0.6</v>
      </c>
      <c r="D138" s="533" t="s">
        <v>202</v>
      </c>
      <c r="E138" s="533">
        <f>E117</f>
        <v>10</v>
      </c>
      <c r="F138" s="535">
        <f>'Bang gia'!Q19</f>
        <v>24800000</v>
      </c>
      <c r="G138" s="535">
        <f t="shared" si="25"/>
        <v>4960</v>
      </c>
      <c r="H138" s="539"/>
      <c r="I138" s="535"/>
      <c r="J138" s="537">
        <v>0.03</v>
      </c>
      <c r="K138" s="538">
        <f t="shared" si="26"/>
        <v>148.79999999999998</v>
      </c>
      <c r="L138" s="539"/>
      <c r="M138" s="540"/>
      <c r="N138" s="541">
        <f t="shared" si="27"/>
        <v>148.79999999999998</v>
      </c>
    </row>
    <row r="139" spans="1:17" ht="19.5" customHeight="1">
      <c r="A139" s="533">
        <v>4</v>
      </c>
      <c r="B139" s="534" t="s">
        <v>572</v>
      </c>
      <c r="C139" s="533">
        <v>0.6</v>
      </c>
      <c r="D139" s="533" t="s">
        <v>202</v>
      </c>
      <c r="E139" s="533">
        <f>E119</f>
        <v>10</v>
      </c>
      <c r="F139" s="535">
        <f>'Bang gia'!Q22</f>
        <v>28500000</v>
      </c>
      <c r="G139" s="535">
        <f t="shared" si="25"/>
        <v>5700</v>
      </c>
      <c r="H139" s="539"/>
      <c r="I139" s="535"/>
      <c r="J139" s="537">
        <v>0.03</v>
      </c>
      <c r="K139" s="538">
        <f t="shared" si="26"/>
        <v>171</v>
      </c>
      <c r="L139" s="539"/>
      <c r="M139" s="540"/>
      <c r="N139" s="541">
        <f t="shared" si="27"/>
        <v>171</v>
      </c>
    </row>
    <row r="140" spans="1:17" ht="19.5" customHeight="1">
      <c r="A140" s="533">
        <v>5</v>
      </c>
      <c r="B140" s="534" t="s">
        <v>473</v>
      </c>
      <c r="C140" s="533">
        <v>2.2000000000000002</v>
      </c>
      <c r="D140" s="533" t="s">
        <v>202</v>
      </c>
      <c r="E140" s="533">
        <f>E119</f>
        <v>10</v>
      </c>
      <c r="F140" s="535">
        <f>'Bang gia'!Q11</f>
        <v>14500000</v>
      </c>
      <c r="G140" s="535">
        <f t="shared" si="25"/>
        <v>2900</v>
      </c>
      <c r="H140" s="539"/>
      <c r="I140" s="535"/>
      <c r="J140" s="537">
        <v>0.30599999999999999</v>
      </c>
      <c r="K140" s="538">
        <v>0.30599999999999999</v>
      </c>
      <c r="L140" s="539"/>
      <c r="M140" s="540"/>
      <c r="N140" s="541">
        <f t="shared" si="27"/>
        <v>0.30599999999999999</v>
      </c>
    </row>
    <row r="141" spans="1:17" ht="19.5" customHeight="1">
      <c r="A141" s="533">
        <v>6</v>
      </c>
      <c r="B141" s="534" t="s">
        <v>476</v>
      </c>
      <c r="C141" s="533">
        <v>1.5</v>
      </c>
      <c r="D141" s="533" t="s">
        <v>202</v>
      </c>
      <c r="E141" s="533">
        <f>E120</f>
        <v>10</v>
      </c>
      <c r="F141" s="535">
        <f>'Bang gia'!Q20</f>
        <v>25500000</v>
      </c>
      <c r="G141" s="535">
        <f t="shared" si="25"/>
        <v>5100</v>
      </c>
      <c r="H141" s="539"/>
      <c r="I141" s="535"/>
      <c r="J141" s="537">
        <v>0.03</v>
      </c>
      <c r="K141" s="538">
        <f t="shared" si="26"/>
        <v>153</v>
      </c>
      <c r="L141" s="539"/>
      <c r="M141" s="540"/>
      <c r="N141" s="541">
        <f t="shared" si="27"/>
        <v>153</v>
      </c>
    </row>
    <row r="142" spans="1:17" ht="19.5" customHeight="1">
      <c r="A142" s="542"/>
      <c r="B142" s="543" t="s">
        <v>475</v>
      </c>
      <c r="C142" s="543"/>
      <c r="D142" s="542"/>
      <c r="E142" s="542"/>
      <c r="F142" s="591"/>
      <c r="G142" s="542"/>
      <c r="H142" s="542"/>
      <c r="I142" s="544"/>
      <c r="J142" s="545"/>
      <c r="K142" s="546">
        <f>SUM(K136:K141)</f>
        <v>6612.826</v>
      </c>
      <c r="L142" s="546"/>
      <c r="M142" s="546"/>
      <c r="N142" s="546">
        <f>SUM(N136:N141)</f>
        <v>6612.826</v>
      </c>
      <c r="Q142" s="605">
        <f>K142*1.3</f>
        <v>8596.6738000000005</v>
      </c>
    </row>
    <row r="143" spans="1:17" ht="9.75" customHeight="1">
      <c r="A143" s="548"/>
      <c r="B143" s="549"/>
      <c r="C143" s="549"/>
      <c r="D143" s="550"/>
      <c r="E143" s="551"/>
      <c r="F143" s="593"/>
      <c r="G143" s="551"/>
      <c r="H143" s="552"/>
      <c r="I143" s="552"/>
      <c r="J143" s="553"/>
      <c r="K143" s="553"/>
      <c r="L143" s="553"/>
      <c r="M143" s="553"/>
      <c r="N143" s="551"/>
    </row>
    <row r="144" spans="1:17">
      <c r="A144" s="561"/>
      <c r="B144" s="554" t="s">
        <v>550</v>
      </c>
      <c r="C144" s="558"/>
      <c r="D144" s="558"/>
      <c r="E144" s="449"/>
      <c r="F144" s="559"/>
      <c r="G144" s="449"/>
      <c r="H144" s="556"/>
      <c r="I144" s="556"/>
      <c r="J144" s="557"/>
      <c r="K144" s="557"/>
      <c r="L144" s="557"/>
      <c r="M144" s="557"/>
      <c r="N144" s="449"/>
    </row>
    <row r="145" spans="1:24" ht="33" customHeight="1">
      <c r="A145" s="561"/>
      <c r="B145" s="1217" t="s">
        <v>7</v>
      </c>
      <c r="C145" s="1217"/>
      <c r="D145" s="1217"/>
      <c r="E145" s="1217"/>
      <c r="F145" s="1217"/>
      <c r="G145" s="1217"/>
      <c r="H145" s="1217"/>
      <c r="I145" s="1217"/>
      <c r="J145" s="557"/>
      <c r="K145" s="557"/>
      <c r="L145" s="557"/>
      <c r="M145" s="557"/>
      <c r="N145" s="449"/>
    </row>
    <row r="146" spans="1:24" ht="32.450000000000003" customHeight="1">
      <c r="A146" s="561"/>
      <c r="B146" s="1217" t="s">
        <v>8</v>
      </c>
      <c r="C146" s="1217"/>
      <c r="D146" s="1217"/>
      <c r="E146" s="1217"/>
      <c r="F146" s="1217"/>
      <c r="G146" s="1217"/>
      <c r="H146" s="1217"/>
      <c r="I146" s="1217"/>
      <c r="J146" s="1217"/>
      <c r="K146" s="1217"/>
      <c r="L146" s="1217"/>
      <c r="M146" s="1217"/>
      <c r="N146" s="1217"/>
    </row>
    <row r="147" spans="1:24" ht="20.25" customHeight="1">
      <c r="A147" s="435"/>
      <c r="B147" s="560"/>
      <c r="C147" s="560"/>
      <c r="D147" s="560"/>
      <c r="E147" s="449"/>
      <c r="F147" s="559"/>
      <c r="G147" s="449"/>
      <c r="H147" s="556"/>
      <c r="I147" s="556"/>
      <c r="J147" s="557"/>
      <c r="K147" s="557"/>
      <c r="L147" s="557"/>
      <c r="M147" s="557"/>
      <c r="N147" s="449"/>
    </row>
    <row r="148" spans="1:24" ht="28.9" customHeight="1">
      <c r="A148" s="1221" t="s">
        <v>182</v>
      </c>
      <c r="B148" s="1221"/>
      <c r="C148" s="1221"/>
      <c r="D148" s="1221"/>
      <c r="E148" s="1221"/>
      <c r="F148" s="1221"/>
      <c r="G148" s="1221"/>
      <c r="H148" s="1221"/>
      <c r="I148" s="1221"/>
      <c r="J148" s="1221"/>
      <c r="K148" s="1221"/>
      <c r="L148" s="1221"/>
      <c r="M148" s="1221"/>
      <c r="N148" s="1221"/>
      <c r="X148" s="409"/>
    </row>
    <row r="149" spans="1:24" ht="9" customHeight="1">
      <c r="A149" s="435"/>
      <c r="B149" s="561"/>
      <c r="C149" s="561"/>
      <c r="D149" s="555"/>
      <c r="E149" s="435"/>
      <c r="F149" s="556"/>
      <c r="G149" s="556"/>
      <c r="H149" s="435"/>
      <c r="I149" s="435"/>
      <c r="J149" s="561"/>
      <c r="K149" s="561"/>
      <c r="L149" s="562"/>
      <c r="M149" s="562"/>
      <c r="N149" s="449"/>
      <c r="X149" s="409"/>
    </row>
    <row r="150" spans="1:24" ht="22.15" customHeight="1">
      <c r="A150" s="1203" t="s">
        <v>724</v>
      </c>
      <c r="B150" s="1203" t="s">
        <v>534</v>
      </c>
      <c r="C150" s="1203" t="s">
        <v>469</v>
      </c>
      <c r="D150" s="1203" t="s">
        <v>535</v>
      </c>
      <c r="E150" s="1206" t="s">
        <v>470</v>
      </c>
      <c r="F150" s="1203" t="s">
        <v>471</v>
      </c>
      <c r="G150" s="1203" t="s">
        <v>538</v>
      </c>
      <c r="H150" s="1212" t="s">
        <v>539</v>
      </c>
      <c r="I150" s="1214"/>
      <c r="J150" s="1214"/>
      <c r="K150" s="1214"/>
      <c r="L150" s="1214"/>
      <c r="M150" s="1213"/>
      <c r="N150" s="1203" t="s">
        <v>267</v>
      </c>
    </row>
    <row r="151" spans="1:24" ht="38.450000000000003" customHeight="1">
      <c r="A151" s="1204"/>
      <c r="B151" s="1204"/>
      <c r="C151" s="1204"/>
      <c r="D151" s="1204"/>
      <c r="E151" s="1207"/>
      <c r="F151" s="1204"/>
      <c r="G151" s="1204"/>
      <c r="H151" s="1212" t="s">
        <v>540</v>
      </c>
      <c r="I151" s="1213"/>
      <c r="J151" s="1212" t="s">
        <v>561</v>
      </c>
      <c r="K151" s="1213"/>
      <c r="L151" s="1212" t="s">
        <v>542</v>
      </c>
      <c r="M151" s="1213"/>
      <c r="N151" s="1204"/>
    </row>
    <row r="152" spans="1:24" ht="19.5" customHeight="1">
      <c r="A152" s="1205"/>
      <c r="B152" s="1205"/>
      <c r="C152" s="1205"/>
      <c r="D152" s="1205"/>
      <c r="E152" s="1208"/>
      <c r="F152" s="1205"/>
      <c r="G152" s="1205"/>
      <c r="H152" s="423" t="s">
        <v>771</v>
      </c>
      <c r="I152" s="423" t="s">
        <v>772</v>
      </c>
      <c r="J152" s="423" t="s">
        <v>771</v>
      </c>
      <c r="K152" s="423" t="s">
        <v>772</v>
      </c>
      <c r="L152" s="423" t="s">
        <v>771</v>
      </c>
      <c r="M152" s="423" t="s">
        <v>772</v>
      </c>
      <c r="N152" s="1205"/>
    </row>
    <row r="153" spans="1:24" ht="20.25" customHeight="1">
      <c r="A153" s="578">
        <v>1</v>
      </c>
      <c r="B153" s="579" t="s">
        <v>954</v>
      </c>
      <c r="C153" s="578">
        <v>0.4</v>
      </c>
      <c r="D153" s="578" t="s">
        <v>202</v>
      </c>
      <c r="E153" s="578">
        <f>E136</f>
        <v>5</v>
      </c>
      <c r="F153" s="580">
        <f>'Bang gia'!Q9</f>
        <v>15000000</v>
      </c>
      <c r="G153" s="535">
        <f t="shared" ref="G153:G158" si="28">F153/E153/500</f>
        <v>6000</v>
      </c>
      <c r="H153" s="581"/>
      <c r="I153" s="580"/>
      <c r="J153" s="581"/>
      <c r="K153" s="582"/>
      <c r="L153" s="581">
        <v>1.36</v>
      </c>
      <c r="M153" s="540">
        <f>G153*L153</f>
        <v>8160.0000000000009</v>
      </c>
      <c r="N153" s="582">
        <f t="shared" ref="N153:N158" si="29">I153+K153+M153</f>
        <v>8160.0000000000009</v>
      </c>
    </row>
    <row r="154" spans="1:24" ht="20.45" customHeight="1">
      <c r="A154" s="533">
        <v>2</v>
      </c>
      <c r="B154" s="585" t="s">
        <v>964</v>
      </c>
      <c r="C154" s="586">
        <v>0.6</v>
      </c>
      <c r="D154" s="533" t="s">
        <v>202</v>
      </c>
      <c r="E154" s="533">
        <f>E137</f>
        <v>10</v>
      </c>
      <c r="F154" s="535">
        <f>'Bang gia'!Q21</f>
        <v>5800000</v>
      </c>
      <c r="G154" s="535">
        <f t="shared" si="28"/>
        <v>1160</v>
      </c>
      <c r="H154" s="539"/>
      <c r="I154" s="535"/>
      <c r="J154" s="537"/>
      <c r="K154" s="538"/>
      <c r="L154" s="539">
        <v>2.1999999999999999E-2</v>
      </c>
      <c r="M154" s="540">
        <f>L154*G154</f>
        <v>25.52</v>
      </c>
      <c r="N154" s="541">
        <f t="shared" si="29"/>
        <v>25.52</v>
      </c>
    </row>
    <row r="155" spans="1:24" ht="20.45" customHeight="1">
      <c r="A155" s="533">
        <v>3</v>
      </c>
      <c r="B155" s="534" t="s">
        <v>962</v>
      </c>
      <c r="C155" s="533">
        <v>0.6</v>
      </c>
      <c r="D155" s="533" t="s">
        <v>202</v>
      </c>
      <c r="E155" s="533">
        <f>E138</f>
        <v>10</v>
      </c>
      <c r="F155" s="535">
        <f>'Bang gia'!Q19</f>
        <v>24800000</v>
      </c>
      <c r="G155" s="535">
        <f t="shared" si="28"/>
        <v>4960</v>
      </c>
      <c r="H155" s="539"/>
      <c r="I155" s="535"/>
      <c r="J155" s="537"/>
      <c r="K155" s="538"/>
      <c r="L155" s="539">
        <v>0.04</v>
      </c>
      <c r="M155" s="540">
        <f>L155*G155</f>
        <v>198.4</v>
      </c>
      <c r="N155" s="541">
        <f t="shared" si="29"/>
        <v>198.4</v>
      </c>
    </row>
    <row r="156" spans="1:24" ht="20.45" customHeight="1">
      <c r="A156" s="533">
        <v>4</v>
      </c>
      <c r="B156" s="534" t="s">
        <v>572</v>
      </c>
      <c r="C156" s="533">
        <v>0.6</v>
      </c>
      <c r="D156" s="533" t="s">
        <v>202</v>
      </c>
      <c r="E156" s="533">
        <f>E138</f>
        <v>10</v>
      </c>
      <c r="F156" s="535">
        <f>'Bang gia'!Q22</f>
        <v>28500000</v>
      </c>
      <c r="G156" s="535">
        <f t="shared" si="28"/>
        <v>5700</v>
      </c>
      <c r="H156" s="539"/>
      <c r="I156" s="535"/>
      <c r="J156" s="537"/>
      <c r="K156" s="538"/>
      <c r="L156" s="539">
        <v>0.04</v>
      </c>
      <c r="M156" s="540">
        <f>L156*G156</f>
        <v>228</v>
      </c>
      <c r="N156" s="541">
        <f t="shared" si="29"/>
        <v>228</v>
      </c>
    </row>
    <row r="157" spans="1:24" ht="20.45" customHeight="1">
      <c r="A157" s="533">
        <v>5</v>
      </c>
      <c r="B157" s="534" t="s">
        <v>473</v>
      </c>
      <c r="C157" s="533">
        <v>2.2000000000000002</v>
      </c>
      <c r="D157" s="533" t="s">
        <v>202</v>
      </c>
      <c r="E157" s="533">
        <f>E140</f>
        <v>10</v>
      </c>
      <c r="F157" s="535">
        <f>'Bang gia'!Q11</f>
        <v>14500000</v>
      </c>
      <c r="G157" s="535">
        <f t="shared" si="28"/>
        <v>2900</v>
      </c>
      <c r="H157" s="566"/>
      <c r="I157" s="535"/>
      <c r="J157" s="537"/>
      <c r="K157" s="538"/>
      <c r="L157" s="539">
        <v>0.40799999999999997</v>
      </c>
      <c r="M157" s="540">
        <f>L157*G157</f>
        <v>1183.1999999999998</v>
      </c>
      <c r="N157" s="541">
        <f t="shared" si="29"/>
        <v>1183.1999999999998</v>
      </c>
    </row>
    <row r="158" spans="1:24" ht="20.45" customHeight="1">
      <c r="A158" s="533">
        <v>6</v>
      </c>
      <c r="B158" s="534" t="s">
        <v>476</v>
      </c>
      <c r="C158" s="533">
        <v>1.5</v>
      </c>
      <c r="D158" s="533" t="s">
        <v>202</v>
      </c>
      <c r="E158" s="533">
        <f>E141</f>
        <v>10</v>
      </c>
      <c r="F158" s="535">
        <f>'Bang gia'!Q20</f>
        <v>25500000</v>
      </c>
      <c r="G158" s="535">
        <f t="shared" si="28"/>
        <v>5100</v>
      </c>
      <c r="H158" s="539"/>
      <c r="I158" s="535"/>
      <c r="J158" s="537"/>
      <c r="K158" s="538"/>
      <c r="L158" s="539">
        <v>4.0000000000000001E-3</v>
      </c>
      <c r="M158" s="540">
        <f>L158*G158</f>
        <v>20.400000000000002</v>
      </c>
      <c r="N158" s="541">
        <f t="shared" si="29"/>
        <v>20.400000000000002</v>
      </c>
    </row>
    <row r="159" spans="1:24" ht="20.45" customHeight="1">
      <c r="A159" s="542"/>
      <c r="B159" s="543" t="s">
        <v>475</v>
      </c>
      <c r="C159" s="543"/>
      <c r="D159" s="542"/>
      <c r="E159" s="542"/>
      <c r="F159" s="591"/>
      <c r="G159" s="542"/>
      <c r="H159" s="542"/>
      <c r="I159" s="546"/>
      <c r="J159" s="546"/>
      <c r="K159" s="546"/>
      <c r="L159" s="546"/>
      <c r="M159" s="546">
        <f>SUM(M153:M158)</f>
        <v>9815.5200000000023</v>
      </c>
      <c r="N159" s="546">
        <f>SUM(N153:N158)</f>
        <v>9815.5200000000023</v>
      </c>
      <c r="Q159" s="409">
        <f>M159*1.3</f>
        <v>12760.176000000003</v>
      </c>
    </row>
    <row r="160" spans="1:24" ht="9.75" customHeight="1">
      <c r="A160" s="548"/>
      <c r="B160" s="549"/>
      <c r="C160" s="549"/>
      <c r="D160" s="550"/>
      <c r="E160" s="551"/>
      <c r="F160" s="593"/>
      <c r="G160" s="551"/>
      <c r="H160" s="552"/>
      <c r="I160" s="552"/>
      <c r="J160" s="553"/>
      <c r="K160" s="553"/>
      <c r="L160" s="553"/>
      <c r="M160" s="553"/>
      <c r="N160" s="551"/>
    </row>
    <row r="161" spans="1:25">
      <c r="A161" s="561"/>
      <c r="B161" s="554" t="s">
        <v>550</v>
      </c>
      <c r="C161" s="558"/>
      <c r="D161" s="558"/>
      <c r="E161" s="449"/>
      <c r="F161" s="559"/>
      <c r="G161" s="449"/>
      <c r="H161" s="556"/>
      <c r="I161" s="556"/>
      <c r="J161" s="557"/>
      <c r="K161" s="557"/>
      <c r="L161" s="557"/>
      <c r="M161" s="557"/>
      <c r="N161" s="449"/>
    </row>
    <row r="162" spans="1:25" ht="25.5" customHeight="1">
      <c r="A162" s="435"/>
      <c r="B162" s="1098" t="s">
        <v>17</v>
      </c>
      <c r="C162" s="1098"/>
      <c r="D162" s="1098"/>
      <c r="E162" s="1098"/>
      <c r="F162" s="1098"/>
      <c r="G162" s="1098"/>
      <c r="H162" s="1098"/>
      <c r="I162" s="1098"/>
      <c r="J162" s="1098"/>
      <c r="K162" s="1098"/>
      <c r="L162" s="1098"/>
      <c r="M162" s="1098"/>
      <c r="N162" s="1098"/>
    </row>
    <row r="163" spans="1:25" ht="43.15" customHeight="1">
      <c r="A163" s="435"/>
      <c r="B163" s="1217" t="s">
        <v>18</v>
      </c>
      <c r="C163" s="1217"/>
      <c r="D163" s="1217"/>
      <c r="E163" s="1217"/>
      <c r="F163" s="1217"/>
      <c r="G163" s="1217"/>
      <c r="H163" s="1217"/>
      <c r="I163" s="1217"/>
      <c r="J163" s="1217"/>
      <c r="K163" s="1217"/>
      <c r="L163" s="1217"/>
      <c r="M163" s="1217"/>
      <c r="N163" s="1217"/>
    </row>
    <row r="165" spans="1:25" ht="34.5" customHeight="1">
      <c r="A165" s="1221" t="s">
        <v>183</v>
      </c>
      <c r="B165" s="1221"/>
      <c r="C165" s="1221"/>
      <c r="D165" s="1221"/>
      <c r="E165" s="1221"/>
      <c r="F165" s="1221"/>
      <c r="G165" s="1221"/>
      <c r="H165" s="1221"/>
      <c r="I165" s="1221"/>
      <c r="J165" s="1221"/>
      <c r="K165" s="1221"/>
      <c r="L165" s="1221"/>
      <c r="M165" s="1221"/>
      <c r="N165" s="1221"/>
      <c r="X165" s="409"/>
      <c r="Y165" s="409"/>
    </row>
    <row r="166" spans="1:25">
      <c r="A166" s="435"/>
      <c r="B166" s="561"/>
      <c r="C166" s="561"/>
      <c r="D166" s="555"/>
      <c r="E166" s="435"/>
      <c r="F166" s="556"/>
      <c r="G166" s="556"/>
      <c r="H166" s="435"/>
      <c r="I166" s="435"/>
      <c r="J166" s="561"/>
      <c r="K166" s="561"/>
      <c r="L166" s="562"/>
      <c r="M166" s="562"/>
      <c r="N166" s="449"/>
      <c r="X166" s="409"/>
      <c r="Y166" s="409"/>
    </row>
    <row r="167" spans="1:25" ht="22.9" customHeight="1">
      <c r="A167" s="1203" t="s">
        <v>724</v>
      </c>
      <c r="B167" s="1203" t="s">
        <v>534</v>
      </c>
      <c r="C167" s="1203" t="s">
        <v>469</v>
      </c>
      <c r="D167" s="1203" t="s">
        <v>535</v>
      </c>
      <c r="E167" s="1206" t="s">
        <v>470</v>
      </c>
      <c r="F167" s="1203" t="s">
        <v>471</v>
      </c>
      <c r="G167" s="1203" t="s">
        <v>538</v>
      </c>
      <c r="H167" s="1212" t="s">
        <v>539</v>
      </c>
      <c r="I167" s="1214"/>
      <c r="J167" s="1214"/>
      <c r="K167" s="1214"/>
      <c r="L167" s="1214"/>
      <c r="M167" s="1213"/>
      <c r="N167" s="1203" t="s">
        <v>267</v>
      </c>
    </row>
    <row r="168" spans="1:25" ht="37.9" customHeight="1">
      <c r="A168" s="1204"/>
      <c r="B168" s="1204"/>
      <c r="C168" s="1204"/>
      <c r="D168" s="1204"/>
      <c r="E168" s="1207"/>
      <c r="F168" s="1204"/>
      <c r="G168" s="1204"/>
      <c r="H168" s="1212" t="s">
        <v>540</v>
      </c>
      <c r="I168" s="1213"/>
      <c r="J168" s="1212" t="s">
        <v>561</v>
      </c>
      <c r="K168" s="1213"/>
      <c r="L168" s="1212" t="s">
        <v>542</v>
      </c>
      <c r="M168" s="1213"/>
      <c r="N168" s="1204"/>
    </row>
    <row r="169" spans="1:25" ht="20.45" customHeight="1">
      <c r="A169" s="1205"/>
      <c r="B169" s="1205"/>
      <c r="C169" s="1205"/>
      <c r="D169" s="1205"/>
      <c r="E169" s="1208"/>
      <c r="F169" s="1205"/>
      <c r="G169" s="1205"/>
      <c r="H169" s="423" t="s">
        <v>771</v>
      </c>
      <c r="I169" s="423" t="s">
        <v>772</v>
      </c>
      <c r="J169" s="423" t="s">
        <v>771</v>
      </c>
      <c r="K169" s="423" t="s">
        <v>772</v>
      </c>
      <c r="L169" s="423" t="s">
        <v>771</v>
      </c>
      <c r="M169" s="423" t="s">
        <v>772</v>
      </c>
      <c r="N169" s="1205"/>
    </row>
    <row r="170" spans="1:25" ht="21.6" customHeight="1">
      <c r="A170" s="578">
        <v>1</v>
      </c>
      <c r="B170" s="579" t="s">
        <v>954</v>
      </c>
      <c r="C170" s="578">
        <v>0.4</v>
      </c>
      <c r="D170" s="578" t="s">
        <v>202</v>
      </c>
      <c r="E170" s="578">
        <f>E153</f>
        <v>5</v>
      </c>
      <c r="F170" s="580">
        <f>'Bang gia'!Q9</f>
        <v>15000000</v>
      </c>
      <c r="G170" s="535">
        <f t="shared" ref="G170:G175" si="30">F170/E170/500</f>
        <v>6000</v>
      </c>
      <c r="H170" s="581">
        <v>1.7999999999999999E-2</v>
      </c>
      <c r="I170" s="580">
        <f>G170*H170</f>
        <v>107.99999999999999</v>
      </c>
      <c r="J170" s="581">
        <v>0.9</v>
      </c>
      <c r="K170" s="582">
        <f t="shared" ref="K170:K175" si="31">G170*J170</f>
        <v>5400</v>
      </c>
      <c r="L170" s="581"/>
      <c r="M170" s="540"/>
      <c r="N170" s="582">
        <f t="shared" ref="N170:N175" si="32">I170+K170+M170</f>
        <v>5508</v>
      </c>
      <c r="P170" s="606"/>
      <c r="R170" s="607"/>
    </row>
    <row r="171" spans="1:25" ht="21.6" customHeight="1">
      <c r="A171" s="533">
        <v>2</v>
      </c>
      <c r="B171" s="585" t="s">
        <v>964</v>
      </c>
      <c r="C171" s="586">
        <v>0.6</v>
      </c>
      <c r="D171" s="533" t="s">
        <v>202</v>
      </c>
      <c r="E171" s="533">
        <f>E154</f>
        <v>10</v>
      </c>
      <c r="F171" s="535">
        <f>'Bang gia'!Q21</f>
        <v>5800000</v>
      </c>
      <c r="G171" s="535">
        <f t="shared" si="30"/>
        <v>1160</v>
      </c>
      <c r="H171" s="539">
        <v>8.0000000000000002E-3</v>
      </c>
      <c r="I171" s="535">
        <f>G171*H171</f>
        <v>9.2799999999999994</v>
      </c>
      <c r="J171" s="537">
        <v>0.03</v>
      </c>
      <c r="K171" s="538">
        <f t="shared" si="31"/>
        <v>34.799999999999997</v>
      </c>
      <c r="L171" s="539"/>
      <c r="M171" s="540"/>
      <c r="N171" s="541">
        <f t="shared" si="32"/>
        <v>44.08</v>
      </c>
      <c r="P171" s="606"/>
      <c r="R171" s="607"/>
    </row>
    <row r="172" spans="1:25" ht="21.6" customHeight="1">
      <c r="A172" s="533">
        <v>3</v>
      </c>
      <c r="B172" s="534" t="s">
        <v>962</v>
      </c>
      <c r="C172" s="533">
        <v>0.6</v>
      </c>
      <c r="D172" s="533" t="s">
        <v>202</v>
      </c>
      <c r="E172" s="533">
        <f>E155</f>
        <v>10</v>
      </c>
      <c r="F172" s="535">
        <f>'Bang gia'!Q19</f>
        <v>24800000</v>
      </c>
      <c r="G172" s="535">
        <f t="shared" si="30"/>
        <v>4960</v>
      </c>
      <c r="H172" s="539"/>
      <c r="I172" s="535"/>
      <c r="J172" s="537">
        <v>8.9999999999999993E-3</v>
      </c>
      <c r="K172" s="538">
        <f t="shared" si="31"/>
        <v>44.639999999999993</v>
      </c>
      <c r="L172" s="539"/>
      <c r="M172" s="540"/>
      <c r="N172" s="541">
        <f t="shared" si="32"/>
        <v>44.639999999999993</v>
      </c>
      <c r="P172" s="606"/>
      <c r="R172" s="607"/>
    </row>
    <row r="173" spans="1:25" ht="21.6" customHeight="1">
      <c r="A173" s="533">
        <v>4</v>
      </c>
      <c r="B173" s="534" t="s">
        <v>572</v>
      </c>
      <c r="C173" s="533">
        <v>0.6</v>
      </c>
      <c r="D173" s="533" t="s">
        <v>202</v>
      </c>
      <c r="E173" s="533">
        <f>E155</f>
        <v>10</v>
      </c>
      <c r="F173" s="535">
        <f>'Bang gia'!Q22</f>
        <v>28500000</v>
      </c>
      <c r="G173" s="535">
        <f t="shared" si="30"/>
        <v>5700</v>
      </c>
      <c r="H173" s="539"/>
      <c r="I173" s="535"/>
      <c r="J173" s="537">
        <v>8.9999999999999993E-3</v>
      </c>
      <c r="K173" s="538">
        <f t="shared" si="31"/>
        <v>51.3</v>
      </c>
      <c r="L173" s="539"/>
      <c r="M173" s="540"/>
      <c r="N173" s="541">
        <f t="shared" si="32"/>
        <v>51.3</v>
      </c>
      <c r="P173" s="606"/>
      <c r="R173" s="607"/>
    </row>
    <row r="174" spans="1:25" ht="21.6" customHeight="1">
      <c r="A174" s="533">
        <v>5</v>
      </c>
      <c r="B174" s="534" t="s">
        <v>473</v>
      </c>
      <c r="C174" s="533">
        <v>2.2000000000000002</v>
      </c>
      <c r="D174" s="533" t="s">
        <v>202</v>
      </c>
      <c r="E174" s="533">
        <f>E157</f>
        <v>10</v>
      </c>
      <c r="F174" s="535">
        <f>'Bang gia'!Q11</f>
        <v>14500000</v>
      </c>
      <c r="G174" s="535">
        <f t="shared" si="30"/>
        <v>2900</v>
      </c>
      <c r="H174" s="566">
        <v>6.0000000000000001E-3</v>
      </c>
      <c r="I174" s="535">
        <f>G174*H174</f>
        <v>17.400000000000002</v>
      </c>
      <c r="J174" s="537">
        <v>0.27</v>
      </c>
      <c r="K174" s="538">
        <f t="shared" si="31"/>
        <v>783</v>
      </c>
      <c r="L174" s="539"/>
      <c r="M174" s="540"/>
      <c r="N174" s="541">
        <f t="shared" si="32"/>
        <v>800.4</v>
      </c>
      <c r="P174" s="606"/>
      <c r="R174" s="607"/>
    </row>
    <row r="175" spans="1:25" ht="21.6" customHeight="1">
      <c r="A175" s="533">
        <v>6</v>
      </c>
      <c r="B175" s="534" t="s">
        <v>476</v>
      </c>
      <c r="C175" s="533">
        <v>1.5</v>
      </c>
      <c r="D175" s="533" t="s">
        <v>202</v>
      </c>
      <c r="E175" s="533">
        <f>E158</f>
        <v>10</v>
      </c>
      <c r="F175" s="535">
        <f>'Bang gia'!Q20</f>
        <v>25500000</v>
      </c>
      <c r="G175" s="535">
        <f t="shared" si="30"/>
        <v>5100</v>
      </c>
      <c r="H175" s="539"/>
      <c r="I175" s="535"/>
      <c r="J175" s="537">
        <v>2.3E-2</v>
      </c>
      <c r="K175" s="538">
        <f t="shared" si="31"/>
        <v>117.3</v>
      </c>
      <c r="L175" s="539"/>
      <c r="M175" s="540"/>
      <c r="N175" s="541">
        <f t="shared" si="32"/>
        <v>117.3</v>
      </c>
      <c r="P175" s="606"/>
      <c r="R175" s="607"/>
    </row>
    <row r="176" spans="1:25" ht="21.6" customHeight="1">
      <c r="A176" s="542"/>
      <c r="B176" s="543" t="s">
        <v>475</v>
      </c>
      <c r="C176" s="543"/>
      <c r="D176" s="542"/>
      <c r="E176" s="542"/>
      <c r="F176" s="591"/>
      <c r="G176" s="542"/>
      <c r="H176" s="542"/>
      <c r="I176" s="546">
        <f>SUM(I170:I175)</f>
        <v>134.67999999999998</v>
      </c>
      <c r="J176" s="546"/>
      <c r="K176" s="546">
        <f>SUM(K170:K175)</f>
        <v>6431.0400000000009</v>
      </c>
      <c r="L176" s="546"/>
      <c r="M176" s="546"/>
      <c r="N176" s="546">
        <f>SUM(N170:N175)</f>
        <v>6565.72</v>
      </c>
      <c r="P176" s="606"/>
      <c r="R176" s="607"/>
    </row>
    <row r="177" spans="1:14" ht="12" customHeight="1">
      <c r="A177" s="548"/>
      <c r="B177" s="549"/>
      <c r="C177" s="549"/>
      <c r="D177" s="550"/>
      <c r="E177" s="551"/>
      <c r="F177" s="593"/>
      <c r="G177" s="551"/>
      <c r="H177" s="552"/>
      <c r="I177" s="552"/>
      <c r="J177" s="553"/>
      <c r="K177" s="553"/>
      <c r="L177" s="553"/>
      <c r="M177" s="553"/>
      <c r="N177" s="551"/>
    </row>
    <row r="178" spans="1:14">
      <c r="A178" s="561"/>
      <c r="B178" s="554" t="s">
        <v>550</v>
      </c>
      <c r="C178" s="558"/>
      <c r="D178" s="558"/>
      <c r="E178" s="449"/>
      <c r="F178" s="559"/>
      <c r="G178" s="449"/>
      <c r="H178" s="556"/>
      <c r="I178" s="556"/>
      <c r="J178" s="557"/>
      <c r="K178" s="557"/>
      <c r="L178" s="557"/>
      <c r="M178" s="557"/>
      <c r="N178" s="449"/>
    </row>
    <row r="179" spans="1:14" ht="40.9" customHeight="1">
      <c r="A179" s="435"/>
      <c r="B179" s="1217" t="s">
        <v>10</v>
      </c>
      <c r="C179" s="1217"/>
      <c r="D179" s="1217"/>
      <c r="E179" s="1217"/>
      <c r="F179" s="1217"/>
      <c r="G179" s="1217"/>
      <c r="H179" s="1217"/>
      <c r="I179" s="1217"/>
      <c r="J179" s="1217"/>
      <c r="K179" s="1217"/>
      <c r="L179" s="1217"/>
      <c r="M179" s="1217"/>
      <c r="N179" s="1217"/>
    </row>
    <row r="180" spans="1:14" ht="42.6" customHeight="1">
      <c r="A180" s="435"/>
      <c r="B180" s="1217" t="s">
        <v>12</v>
      </c>
      <c r="C180" s="1217"/>
      <c r="D180" s="1217"/>
      <c r="E180" s="1217"/>
      <c r="F180" s="1217"/>
      <c r="G180" s="1217"/>
      <c r="H180" s="1217"/>
      <c r="I180" s="1217"/>
      <c r="J180" s="1217"/>
      <c r="K180" s="1217"/>
      <c r="L180" s="1217"/>
      <c r="M180" s="1217"/>
      <c r="N180" s="1217"/>
    </row>
    <row r="181" spans="1:14" ht="36" customHeight="1">
      <c r="A181" s="435"/>
      <c r="B181" s="1217" t="s">
        <v>13</v>
      </c>
      <c r="C181" s="1217"/>
      <c r="D181" s="1217"/>
      <c r="E181" s="1217"/>
      <c r="F181" s="1217"/>
      <c r="G181" s="1217"/>
      <c r="H181" s="1217"/>
      <c r="I181" s="1217"/>
      <c r="J181" s="1217"/>
      <c r="K181" s="1217"/>
      <c r="L181" s="1217"/>
      <c r="M181" s="1217"/>
      <c r="N181" s="1217"/>
    </row>
    <row r="182" spans="1:14" ht="18.75" customHeight="1">
      <c r="B182" s="560"/>
    </row>
    <row r="183" spans="1:14" ht="31.9" customHeight="1">
      <c r="A183" s="1221" t="s">
        <v>184</v>
      </c>
      <c r="B183" s="1221"/>
      <c r="C183" s="1221"/>
      <c r="D183" s="1221"/>
      <c r="E183" s="1221"/>
      <c r="F183" s="1221"/>
      <c r="G183" s="1221"/>
      <c r="H183" s="1221"/>
      <c r="I183" s="1221"/>
      <c r="J183" s="1221"/>
      <c r="K183" s="1221"/>
      <c r="L183" s="1221"/>
      <c r="M183" s="1221"/>
      <c r="N183" s="1221"/>
    </row>
    <row r="184" spans="1:14" ht="9.75" customHeight="1">
      <c r="A184" s="435"/>
      <c r="B184" s="561"/>
      <c r="C184" s="561"/>
      <c r="D184" s="555"/>
      <c r="E184" s="435"/>
      <c r="F184" s="556"/>
      <c r="G184" s="556"/>
      <c r="H184" s="435"/>
      <c r="I184" s="435"/>
      <c r="J184" s="561"/>
      <c r="K184" s="561"/>
      <c r="L184" s="562"/>
      <c r="M184" s="562"/>
      <c r="N184" s="449"/>
    </row>
    <row r="185" spans="1:14" ht="19.5" customHeight="1">
      <c r="A185" s="1203" t="s">
        <v>724</v>
      </c>
      <c r="B185" s="1203" t="s">
        <v>534</v>
      </c>
      <c r="C185" s="1203" t="s">
        <v>469</v>
      </c>
      <c r="D185" s="1203" t="s">
        <v>535</v>
      </c>
      <c r="E185" s="1206" t="s">
        <v>470</v>
      </c>
      <c r="F185" s="1203" t="s">
        <v>471</v>
      </c>
      <c r="G185" s="1203" t="s">
        <v>538</v>
      </c>
      <c r="H185" s="1212" t="s">
        <v>539</v>
      </c>
      <c r="I185" s="1214"/>
      <c r="J185" s="1214"/>
      <c r="K185" s="1214"/>
      <c r="L185" s="1214"/>
      <c r="M185" s="1213"/>
      <c r="N185" s="1203" t="s">
        <v>267</v>
      </c>
    </row>
    <row r="186" spans="1:14" ht="44.25" customHeight="1">
      <c r="A186" s="1204"/>
      <c r="B186" s="1204"/>
      <c r="C186" s="1204"/>
      <c r="D186" s="1204"/>
      <c r="E186" s="1207"/>
      <c r="F186" s="1204"/>
      <c r="G186" s="1204"/>
      <c r="H186" s="1212" t="s">
        <v>164</v>
      </c>
      <c r="I186" s="1213"/>
      <c r="J186" s="1212" t="s">
        <v>561</v>
      </c>
      <c r="K186" s="1213"/>
      <c r="L186" s="1212" t="s">
        <v>542</v>
      </c>
      <c r="M186" s="1213"/>
      <c r="N186" s="1204"/>
    </row>
    <row r="187" spans="1:14" ht="19.5" customHeight="1">
      <c r="A187" s="1205"/>
      <c r="B187" s="1205"/>
      <c r="C187" s="1205"/>
      <c r="D187" s="1205"/>
      <c r="E187" s="1208"/>
      <c r="F187" s="1205"/>
      <c r="G187" s="1205"/>
      <c r="H187" s="423" t="s">
        <v>771</v>
      </c>
      <c r="I187" s="423" t="s">
        <v>772</v>
      </c>
      <c r="J187" s="423" t="s">
        <v>771</v>
      </c>
      <c r="K187" s="423" t="s">
        <v>772</v>
      </c>
      <c r="L187" s="423" t="s">
        <v>771</v>
      </c>
      <c r="M187" s="423" t="s">
        <v>772</v>
      </c>
      <c r="N187" s="1205"/>
    </row>
    <row r="188" spans="1:14" ht="22.9" customHeight="1">
      <c r="A188" s="578">
        <v>1</v>
      </c>
      <c r="B188" s="579" t="s">
        <v>954</v>
      </c>
      <c r="C188" s="578">
        <v>0.4</v>
      </c>
      <c r="D188" s="578" t="s">
        <v>202</v>
      </c>
      <c r="E188" s="578">
        <f>E170</f>
        <v>5</v>
      </c>
      <c r="F188" s="580">
        <f>'Bang gia'!Q9</f>
        <v>15000000</v>
      </c>
      <c r="G188" s="535">
        <f t="shared" ref="G188:G193" si="33">F188/E188/500</f>
        <v>6000</v>
      </c>
      <c r="H188" s="581">
        <v>8.9999999999999993E-3</v>
      </c>
      <c r="I188" s="580">
        <f>G188*H188</f>
        <v>53.999999999999993</v>
      </c>
      <c r="J188" s="581">
        <v>0.90900000000000003</v>
      </c>
      <c r="K188" s="582">
        <f t="shared" ref="K188:K193" si="34">G188*J188</f>
        <v>5454</v>
      </c>
      <c r="L188" s="608"/>
      <c r="M188" s="540"/>
      <c r="N188" s="582">
        <f t="shared" ref="N188:N193" si="35">I188+K188+M188</f>
        <v>5508</v>
      </c>
    </row>
    <row r="189" spans="1:14" ht="22.9" customHeight="1">
      <c r="A189" s="533">
        <v>2</v>
      </c>
      <c r="B189" s="585" t="s">
        <v>964</v>
      </c>
      <c r="C189" s="586">
        <v>0.6</v>
      </c>
      <c r="D189" s="533" t="s">
        <v>202</v>
      </c>
      <c r="E189" s="533">
        <f>E171</f>
        <v>10</v>
      </c>
      <c r="F189" s="535">
        <f>'Bang gia'!Q21</f>
        <v>5800000</v>
      </c>
      <c r="G189" s="535">
        <f t="shared" si="33"/>
        <v>1160</v>
      </c>
      <c r="H189" s="539">
        <v>2E-3</v>
      </c>
      <c r="I189" s="535">
        <f>G189*H189</f>
        <v>2.3199999999999998</v>
      </c>
      <c r="J189" s="537">
        <v>3.7999999999999999E-2</v>
      </c>
      <c r="K189" s="538">
        <f t="shared" si="34"/>
        <v>44.08</v>
      </c>
      <c r="L189" s="564"/>
      <c r="M189" s="540"/>
      <c r="N189" s="541">
        <f t="shared" si="35"/>
        <v>46.4</v>
      </c>
    </row>
    <row r="190" spans="1:14" ht="22.9" customHeight="1">
      <c r="A190" s="533">
        <v>3</v>
      </c>
      <c r="B190" s="534" t="s">
        <v>962</v>
      </c>
      <c r="C190" s="533">
        <v>0.6</v>
      </c>
      <c r="D190" s="533" t="s">
        <v>202</v>
      </c>
      <c r="E190" s="533">
        <f>E172</f>
        <v>10</v>
      </c>
      <c r="F190" s="535">
        <f>'Bang gia'!Q19</f>
        <v>24800000</v>
      </c>
      <c r="G190" s="535">
        <f t="shared" si="33"/>
        <v>4960</v>
      </c>
      <c r="H190" s="539"/>
      <c r="I190" s="535"/>
      <c r="J190" s="537">
        <v>8.9999999999999993E-3</v>
      </c>
      <c r="K190" s="538">
        <f t="shared" si="34"/>
        <v>44.639999999999993</v>
      </c>
      <c r="L190" s="564"/>
      <c r="M190" s="540"/>
      <c r="N190" s="541">
        <f t="shared" si="35"/>
        <v>44.639999999999993</v>
      </c>
    </row>
    <row r="191" spans="1:14" ht="22.9" customHeight="1">
      <c r="A191" s="533">
        <v>4</v>
      </c>
      <c r="B191" s="534" t="s">
        <v>572</v>
      </c>
      <c r="C191" s="533">
        <v>0.6</v>
      </c>
      <c r="D191" s="533" t="s">
        <v>202</v>
      </c>
      <c r="E191" s="533">
        <f>E172</f>
        <v>10</v>
      </c>
      <c r="F191" s="535">
        <f>'Bang gia'!Q22</f>
        <v>28500000</v>
      </c>
      <c r="G191" s="535">
        <f t="shared" si="33"/>
        <v>5700</v>
      </c>
      <c r="H191" s="539"/>
      <c r="I191" s="535"/>
      <c r="J191" s="537">
        <v>8.9999999999999993E-3</v>
      </c>
      <c r="K191" s="538">
        <f t="shared" si="34"/>
        <v>51.3</v>
      </c>
      <c r="L191" s="564"/>
      <c r="M191" s="540"/>
      <c r="N191" s="541">
        <f t="shared" si="35"/>
        <v>51.3</v>
      </c>
    </row>
    <row r="192" spans="1:14" ht="22.9" customHeight="1">
      <c r="A192" s="533">
        <v>5</v>
      </c>
      <c r="B192" s="534" t="s">
        <v>473</v>
      </c>
      <c r="C192" s="533">
        <v>2.2000000000000002</v>
      </c>
      <c r="D192" s="533" t="s">
        <v>202</v>
      </c>
      <c r="E192" s="533">
        <f>E174</f>
        <v>10</v>
      </c>
      <c r="F192" s="535">
        <f>'Bang gia'!Q11</f>
        <v>14500000</v>
      </c>
      <c r="G192" s="535">
        <f t="shared" si="33"/>
        <v>2900</v>
      </c>
      <c r="H192" s="539">
        <v>3.0000000000000001E-3</v>
      </c>
      <c r="I192" s="535">
        <f>G192*H192</f>
        <v>8.7000000000000011</v>
      </c>
      <c r="J192" s="537">
        <v>0.27300000000000002</v>
      </c>
      <c r="K192" s="538">
        <f t="shared" si="34"/>
        <v>791.7</v>
      </c>
      <c r="L192" s="564"/>
      <c r="M192" s="540"/>
      <c r="N192" s="541">
        <f t="shared" si="35"/>
        <v>800.40000000000009</v>
      </c>
    </row>
    <row r="193" spans="1:14" ht="22.9" customHeight="1">
      <c r="A193" s="533">
        <v>6</v>
      </c>
      <c r="B193" s="534" t="s">
        <v>476</v>
      </c>
      <c r="C193" s="533">
        <v>1.5</v>
      </c>
      <c r="D193" s="533" t="s">
        <v>202</v>
      </c>
      <c r="E193" s="533">
        <f>E175</f>
        <v>10</v>
      </c>
      <c r="F193" s="535">
        <f>'Bang gia'!Q20</f>
        <v>25500000</v>
      </c>
      <c r="G193" s="535">
        <f t="shared" si="33"/>
        <v>5100</v>
      </c>
      <c r="H193" s="539"/>
      <c r="I193" s="535"/>
      <c r="J193" s="537">
        <v>2.3E-2</v>
      </c>
      <c r="K193" s="538">
        <f t="shared" si="34"/>
        <v>117.3</v>
      </c>
      <c r="L193" s="564"/>
      <c r="M193" s="540"/>
      <c r="N193" s="541">
        <f t="shared" si="35"/>
        <v>117.3</v>
      </c>
    </row>
    <row r="194" spans="1:14" ht="22.9" customHeight="1">
      <c r="A194" s="542"/>
      <c r="B194" s="543" t="s">
        <v>475</v>
      </c>
      <c r="C194" s="543"/>
      <c r="D194" s="542"/>
      <c r="E194" s="542"/>
      <c r="F194" s="591"/>
      <c r="G194" s="542"/>
      <c r="H194" s="542"/>
      <c r="I194" s="546">
        <f>SUM(I188:I193)</f>
        <v>65.02</v>
      </c>
      <c r="J194" s="546"/>
      <c r="K194" s="546">
        <f>SUM(K188:K193)</f>
        <v>6503.02</v>
      </c>
      <c r="L194" s="546"/>
      <c r="M194" s="546"/>
      <c r="N194" s="546">
        <f>SUM(N188:N193)</f>
        <v>6568.04</v>
      </c>
    </row>
    <row r="195" spans="1:14" ht="10.5" customHeight="1">
      <c r="A195" s="548"/>
      <c r="B195" s="549"/>
      <c r="C195" s="549"/>
      <c r="D195" s="550"/>
      <c r="E195" s="551"/>
      <c r="F195" s="593"/>
      <c r="G195" s="551"/>
      <c r="H195" s="552"/>
      <c r="I195" s="552"/>
      <c r="J195" s="553"/>
      <c r="K195" s="553"/>
      <c r="L195" s="553"/>
      <c r="M195" s="553"/>
      <c r="N195" s="551"/>
    </row>
    <row r="196" spans="1:14">
      <c r="A196" s="561"/>
      <c r="B196" s="554" t="s">
        <v>550</v>
      </c>
      <c r="C196" s="558"/>
      <c r="D196" s="558"/>
      <c r="E196" s="449"/>
      <c r="F196" s="559"/>
      <c r="G196" s="449"/>
      <c r="H196" s="556"/>
      <c r="I196" s="556"/>
      <c r="J196" s="557"/>
      <c r="K196" s="557"/>
      <c r="L196" s="557"/>
      <c r="M196" s="557"/>
      <c r="N196" s="449"/>
    </row>
    <row r="197" spans="1:14" ht="37.15" customHeight="1">
      <c r="A197" s="561"/>
      <c r="B197" s="1217" t="s">
        <v>10</v>
      </c>
      <c r="C197" s="1217"/>
      <c r="D197" s="1217"/>
      <c r="E197" s="1217"/>
      <c r="F197" s="1217"/>
      <c r="G197" s="1217"/>
      <c r="H197" s="1217"/>
      <c r="I197" s="1217"/>
      <c r="J197" s="1217"/>
      <c r="K197" s="1217"/>
      <c r="L197" s="1217"/>
      <c r="M197" s="1217"/>
      <c r="N197" s="1217"/>
    </row>
    <row r="198" spans="1:14" ht="28.9" customHeight="1">
      <c r="A198" s="561"/>
      <c r="B198" s="1217" t="s">
        <v>9</v>
      </c>
      <c r="C198" s="1217"/>
      <c r="D198" s="1217"/>
      <c r="E198" s="1217"/>
      <c r="F198" s="1217"/>
      <c r="G198" s="1217"/>
      <c r="H198" s="1217"/>
      <c r="I198" s="1217"/>
      <c r="J198" s="1217"/>
      <c r="K198" s="1217"/>
      <c r="L198" s="1217"/>
      <c r="M198" s="1217"/>
      <c r="N198" s="1217"/>
    </row>
    <row r="199" spans="1:14" ht="34.15" customHeight="1">
      <c r="A199" s="561"/>
      <c r="B199" s="1217" t="s">
        <v>11</v>
      </c>
      <c r="C199" s="1217"/>
      <c r="D199" s="1217"/>
      <c r="E199" s="1217"/>
      <c r="F199" s="1217"/>
      <c r="G199" s="1217"/>
      <c r="H199" s="1217"/>
      <c r="I199" s="1217"/>
      <c r="J199" s="1217"/>
      <c r="K199" s="1217"/>
      <c r="L199" s="1217"/>
      <c r="M199" s="1217"/>
      <c r="N199" s="1217"/>
    </row>
    <row r="200" spans="1:14">
      <c r="A200" s="435"/>
      <c r="B200" s="560"/>
      <c r="C200" s="560"/>
      <c r="D200" s="560"/>
      <c r="E200" s="449"/>
      <c r="F200" s="559"/>
      <c r="G200" s="449"/>
      <c r="H200" s="556"/>
      <c r="I200" s="556"/>
      <c r="J200" s="557"/>
      <c r="K200" s="557"/>
      <c r="L200" s="557"/>
      <c r="M200" s="557"/>
      <c r="N200" s="449"/>
    </row>
    <row r="201" spans="1:14" ht="22.5" customHeight="1">
      <c r="A201" s="1221" t="s">
        <v>185</v>
      </c>
      <c r="B201" s="1221"/>
      <c r="C201" s="1221"/>
      <c r="D201" s="1221"/>
      <c r="E201" s="1221"/>
      <c r="F201" s="1221"/>
      <c r="G201" s="1221"/>
      <c r="H201" s="1221"/>
      <c r="I201" s="1221"/>
      <c r="J201" s="1221"/>
      <c r="K201" s="1221"/>
      <c r="L201" s="1221"/>
      <c r="M201" s="1221"/>
      <c r="N201" s="1221"/>
    </row>
    <row r="202" spans="1:14" ht="9.75" customHeight="1">
      <c r="A202" s="435"/>
      <c r="B202" s="561"/>
      <c r="C202" s="561"/>
      <c r="D202" s="555"/>
      <c r="E202" s="435"/>
      <c r="F202" s="556"/>
      <c r="G202" s="556"/>
      <c r="H202" s="435"/>
      <c r="I202" s="435"/>
      <c r="J202" s="561"/>
      <c r="K202" s="561"/>
      <c r="L202" s="562"/>
      <c r="M202" s="562"/>
      <c r="N202" s="449"/>
    </row>
    <row r="203" spans="1:14" ht="19.5" customHeight="1">
      <c r="A203" s="1203" t="s">
        <v>724</v>
      </c>
      <c r="B203" s="1203" t="s">
        <v>534</v>
      </c>
      <c r="C203" s="1203" t="s">
        <v>469</v>
      </c>
      <c r="D203" s="1203" t="s">
        <v>535</v>
      </c>
      <c r="E203" s="1206" t="s">
        <v>470</v>
      </c>
      <c r="F203" s="1203" t="s">
        <v>471</v>
      </c>
      <c r="G203" s="1203" t="s">
        <v>538</v>
      </c>
      <c r="H203" s="1212" t="s">
        <v>539</v>
      </c>
      <c r="I203" s="1214"/>
      <c r="J203" s="1214"/>
      <c r="K203" s="1214"/>
      <c r="L203" s="1214"/>
      <c r="M203" s="1213"/>
      <c r="N203" s="1203" t="s">
        <v>267</v>
      </c>
    </row>
    <row r="204" spans="1:14" ht="48" customHeight="1">
      <c r="A204" s="1204"/>
      <c r="B204" s="1204"/>
      <c r="C204" s="1204"/>
      <c r="D204" s="1204"/>
      <c r="E204" s="1207"/>
      <c r="F204" s="1204"/>
      <c r="G204" s="1204"/>
      <c r="H204" s="1212" t="s">
        <v>540</v>
      </c>
      <c r="I204" s="1213"/>
      <c r="J204" s="1212" t="s">
        <v>140</v>
      </c>
      <c r="K204" s="1213"/>
      <c r="L204" s="1212" t="s">
        <v>542</v>
      </c>
      <c r="M204" s="1213"/>
      <c r="N204" s="1204"/>
    </row>
    <row r="205" spans="1:14" ht="19.5" customHeight="1">
      <c r="A205" s="1205"/>
      <c r="B205" s="1205"/>
      <c r="C205" s="1205"/>
      <c r="D205" s="1205"/>
      <c r="E205" s="1208"/>
      <c r="F205" s="1205"/>
      <c r="G205" s="1205"/>
      <c r="H205" s="423" t="s">
        <v>771</v>
      </c>
      <c r="I205" s="423" t="s">
        <v>772</v>
      </c>
      <c r="J205" s="423" t="s">
        <v>681</v>
      </c>
      <c r="K205" s="423" t="s">
        <v>772</v>
      </c>
      <c r="L205" s="423" t="s">
        <v>771</v>
      </c>
      <c r="M205" s="423" t="s">
        <v>772</v>
      </c>
      <c r="N205" s="1205"/>
    </row>
    <row r="206" spans="1:14" ht="21.6" customHeight="1">
      <c r="A206" s="578">
        <v>1</v>
      </c>
      <c r="B206" s="579" t="s">
        <v>954</v>
      </c>
      <c r="C206" s="578">
        <v>0.4</v>
      </c>
      <c r="D206" s="578" t="s">
        <v>202</v>
      </c>
      <c r="E206" s="578">
        <f t="shared" ref="E206:E211" si="36">E188</f>
        <v>5</v>
      </c>
      <c r="F206" s="580">
        <f>'Bang gia'!Q9</f>
        <v>15000000</v>
      </c>
      <c r="G206" s="535">
        <f t="shared" ref="G206:G211" si="37">F206/E206/500</f>
        <v>6000</v>
      </c>
      <c r="H206" s="581"/>
      <c r="I206" s="580"/>
      <c r="J206" s="581"/>
      <c r="K206" s="582"/>
      <c r="L206" s="581">
        <v>1.365</v>
      </c>
      <c r="M206" s="540">
        <f t="shared" ref="M206:M211" si="38">G206*L206</f>
        <v>8190</v>
      </c>
      <c r="N206" s="582">
        <f t="shared" ref="N206:N211" si="39">I206+K206+M206</f>
        <v>8190</v>
      </c>
    </row>
    <row r="207" spans="1:14" ht="21.6" customHeight="1">
      <c r="A207" s="533">
        <v>2</v>
      </c>
      <c r="B207" s="585" t="s">
        <v>964</v>
      </c>
      <c r="C207" s="586">
        <v>0.6</v>
      </c>
      <c r="D207" s="533" t="s">
        <v>202</v>
      </c>
      <c r="E207" s="533">
        <f t="shared" si="36"/>
        <v>10</v>
      </c>
      <c r="F207" s="535">
        <f>'Bang gia'!Q21</f>
        <v>5800000</v>
      </c>
      <c r="G207" s="535">
        <f t="shared" si="37"/>
        <v>1160</v>
      </c>
      <c r="H207" s="539"/>
      <c r="I207" s="535"/>
      <c r="J207" s="537"/>
      <c r="K207" s="538"/>
      <c r="L207" s="539">
        <v>1.4E-2</v>
      </c>
      <c r="M207" s="540">
        <f t="shared" si="38"/>
        <v>16.240000000000002</v>
      </c>
      <c r="N207" s="541">
        <f t="shared" si="39"/>
        <v>16.240000000000002</v>
      </c>
    </row>
    <row r="208" spans="1:14" ht="21.6" customHeight="1">
      <c r="A208" s="533">
        <v>3</v>
      </c>
      <c r="B208" s="534" t="s">
        <v>962</v>
      </c>
      <c r="C208" s="533">
        <v>0.6</v>
      </c>
      <c r="D208" s="533" t="s">
        <v>202</v>
      </c>
      <c r="E208" s="533">
        <f t="shared" si="36"/>
        <v>10</v>
      </c>
      <c r="F208" s="535">
        <f>'Bang gia'!Q19</f>
        <v>24800000</v>
      </c>
      <c r="G208" s="535">
        <f t="shared" si="37"/>
        <v>4960</v>
      </c>
      <c r="H208" s="539"/>
      <c r="I208" s="535"/>
      <c r="J208" s="537"/>
      <c r="K208" s="538"/>
      <c r="L208" s="539">
        <v>8.9999999999999993E-3</v>
      </c>
      <c r="M208" s="540">
        <f t="shared" si="38"/>
        <v>44.639999999999993</v>
      </c>
      <c r="N208" s="541">
        <f t="shared" si="39"/>
        <v>44.639999999999993</v>
      </c>
    </row>
    <row r="209" spans="1:16" ht="21.6" customHeight="1">
      <c r="A209" s="533">
        <v>4</v>
      </c>
      <c r="B209" s="534" t="s">
        <v>572</v>
      </c>
      <c r="C209" s="533">
        <v>0.6</v>
      </c>
      <c r="D209" s="533" t="s">
        <v>202</v>
      </c>
      <c r="E209" s="533">
        <f t="shared" si="36"/>
        <v>10</v>
      </c>
      <c r="F209" s="535">
        <f>'Bang gia'!Q22</f>
        <v>28500000</v>
      </c>
      <c r="G209" s="535">
        <f t="shared" si="37"/>
        <v>5700</v>
      </c>
      <c r="H209" s="539"/>
      <c r="I209" s="535"/>
      <c r="J209" s="537"/>
      <c r="K209" s="538"/>
      <c r="L209" s="539">
        <v>8.9999999999999993E-3</v>
      </c>
      <c r="M209" s="540">
        <f t="shared" si="38"/>
        <v>51.3</v>
      </c>
      <c r="N209" s="541">
        <f t="shared" si="39"/>
        <v>51.3</v>
      </c>
    </row>
    <row r="210" spans="1:16" ht="21.6" customHeight="1">
      <c r="A210" s="533">
        <v>5</v>
      </c>
      <c r="B210" s="534" t="s">
        <v>473</v>
      </c>
      <c r="C210" s="533">
        <v>2.2000000000000002</v>
      </c>
      <c r="D210" s="533" t="s">
        <v>202</v>
      </c>
      <c r="E210" s="533">
        <f t="shared" si="36"/>
        <v>10</v>
      </c>
      <c r="F210" s="535">
        <f>'Bang gia'!Q11</f>
        <v>14500000</v>
      </c>
      <c r="G210" s="535">
        <f t="shared" si="37"/>
        <v>2900</v>
      </c>
      <c r="H210" s="566"/>
      <c r="I210" s="535"/>
      <c r="J210" s="537"/>
      <c r="K210" s="538"/>
      <c r="L210" s="539">
        <v>0.41</v>
      </c>
      <c r="M210" s="540">
        <f t="shared" si="38"/>
        <v>1189</v>
      </c>
      <c r="N210" s="541">
        <f t="shared" si="39"/>
        <v>1189</v>
      </c>
    </row>
    <row r="211" spans="1:16" ht="21.6" customHeight="1">
      <c r="A211" s="533">
        <v>6</v>
      </c>
      <c r="B211" s="534" t="s">
        <v>476</v>
      </c>
      <c r="C211" s="533">
        <v>1.5</v>
      </c>
      <c r="D211" s="533" t="s">
        <v>202</v>
      </c>
      <c r="E211" s="533">
        <f t="shared" si="36"/>
        <v>10</v>
      </c>
      <c r="F211" s="535">
        <f>'Bang gia'!Q20</f>
        <v>25500000</v>
      </c>
      <c r="G211" s="535">
        <f t="shared" si="37"/>
        <v>5100</v>
      </c>
      <c r="H211" s="539"/>
      <c r="I211" s="535"/>
      <c r="J211" s="537"/>
      <c r="K211" s="538"/>
      <c r="L211" s="539">
        <v>2.3E-2</v>
      </c>
      <c r="M211" s="540">
        <f t="shared" si="38"/>
        <v>117.3</v>
      </c>
      <c r="N211" s="541">
        <f t="shared" si="39"/>
        <v>117.3</v>
      </c>
    </row>
    <row r="212" spans="1:16" ht="21.6" customHeight="1">
      <c r="A212" s="542"/>
      <c r="B212" s="543" t="s">
        <v>475</v>
      </c>
      <c r="C212" s="543"/>
      <c r="D212" s="542"/>
      <c r="E212" s="542"/>
      <c r="F212" s="591"/>
      <c r="G212" s="542"/>
      <c r="H212" s="542"/>
      <c r="I212" s="546"/>
      <c r="J212" s="546"/>
      <c r="K212" s="546"/>
      <c r="L212" s="546"/>
      <c r="M212" s="546">
        <f>SUM(M206:M211)</f>
        <v>9608.4799999999977</v>
      </c>
      <c r="N212" s="546">
        <f>SUM(N206:N211)</f>
        <v>9608.4799999999977</v>
      </c>
    </row>
    <row r="213" spans="1:16" ht="9.75" customHeight="1">
      <c r="A213" s="548"/>
      <c r="B213" s="549"/>
      <c r="C213" s="549"/>
      <c r="D213" s="550"/>
      <c r="E213" s="551"/>
      <c r="F213" s="593"/>
      <c r="G213" s="551"/>
      <c r="H213" s="552"/>
      <c r="I213" s="552"/>
      <c r="J213" s="553"/>
      <c r="K213" s="553"/>
      <c r="L213" s="553"/>
      <c r="M213" s="553"/>
      <c r="N213" s="551"/>
    </row>
    <row r="214" spans="1:16">
      <c r="A214" s="561"/>
      <c r="B214" s="554" t="s">
        <v>550</v>
      </c>
      <c r="C214" s="558"/>
      <c r="D214" s="558"/>
      <c r="E214" s="449"/>
      <c r="F214" s="559"/>
      <c r="G214" s="449"/>
      <c r="H214" s="556"/>
      <c r="I214" s="556"/>
      <c r="J214" s="557"/>
      <c r="K214" s="557"/>
      <c r="L214" s="557"/>
      <c r="M214" s="557"/>
      <c r="N214" s="449"/>
    </row>
    <row r="215" spans="1:16" ht="33.6" customHeight="1">
      <c r="A215" s="561"/>
      <c r="B215" s="1217" t="s">
        <v>405</v>
      </c>
      <c r="C215" s="1217"/>
      <c r="D215" s="1217"/>
      <c r="E215" s="1217"/>
      <c r="F215" s="1217"/>
      <c r="G215" s="1217"/>
      <c r="H215" s="1217"/>
      <c r="I215" s="1217"/>
      <c r="J215" s="1217"/>
      <c r="K215" s="1217"/>
      <c r="L215" s="1217"/>
      <c r="M215" s="1217"/>
      <c r="N215" s="1217"/>
    </row>
    <row r="216" spans="1:16" ht="27.6" customHeight="1">
      <c r="A216" s="435"/>
      <c r="B216" s="1217" t="s">
        <v>903</v>
      </c>
      <c r="C216" s="1217"/>
      <c r="D216" s="1217"/>
      <c r="E216" s="1217"/>
      <c r="F216" s="1217"/>
      <c r="G216" s="1217"/>
      <c r="H216" s="1217"/>
      <c r="I216" s="1217"/>
      <c r="J216" s="1217"/>
      <c r="K216" s="1217"/>
      <c r="L216" s="1217"/>
      <c r="M216" s="1217"/>
      <c r="N216" s="1217"/>
    </row>
    <row r="217" spans="1:16" ht="31.15" customHeight="1">
      <c r="A217" s="435"/>
      <c r="B217" s="1217" t="s">
        <v>904</v>
      </c>
      <c r="C217" s="1217"/>
      <c r="D217" s="1217"/>
      <c r="E217" s="1217"/>
      <c r="F217" s="1217"/>
      <c r="G217" s="1217"/>
      <c r="H217" s="1217"/>
      <c r="I217" s="1217"/>
      <c r="J217" s="1217"/>
      <c r="K217" s="1217"/>
      <c r="L217" s="1217"/>
      <c r="M217" s="1217"/>
      <c r="N217" s="1217"/>
    </row>
    <row r="218" spans="1:16" ht="33.75" customHeight="1"/>
    <row r="219" spans="1:16" ht="23.25" customHeight="1">
      <c r="A219" s="1221" t="s">
        <v>789</v>
      </c>
      <c r="B219" s="1221"/>
      <c r="C219" s="1221"/>
      <c r="D219" s="1221"/>
      <c r="E219" s="1221"/>
      <c r="F219" s="1221"/>
      <c r="G219" s="1221"/>
      <c r="H219" s="1221"/>
      <c r="I219" s="1221"/>
      <c r="P219" s="409" t="s">
        <v>186</v>
      </c>
    </row>
    <row r="220" spans="1:16" ht="12.75" customHeight="1"/>
    <row r="221" spans="1:16" ht="54.75" customHeight="1">
      <c r="A221" s="524" t="s">
        <v>724</v>
      </c>
      <c r="B221" s="524" t="s">
        <v>534</v>
      </c>
      <c r="C221" s="524" t="s">
        <v>469</v>
      </c>
      <c r="D221" s="524" t="s">
        <v>535</v>
      </c>
      <c r="E221" s="609" t="s">
        <v>470</v>
      </c>
      <c r="F221" s="524" t="s">
        <v>471</v>
      </c>
      <c r="G221" s="524" t="s">
        <v>538</v>
      </c>
      <c r="H221" s="524" t="s">
        <v>254</v>
      </c>
      <c r="I221" s="524" t="s">
        <v>255</v>
      </c>
      <c r="J221" s="1239" t="s">
        <v>983</v>
      </c>
      <c r="K221" s="1240"/>
      <c r="L221" s="1240"/>
      <c r="M221" s="1240"/>
      <c r="N221" s="1241"/>
    </row>
    <row r="222" spans="1:16" ht="30" customHeight="1">
      <c r="A222" s="610">
        <v>1</v>
      </c>
      <c r="B222" s="611" t="s">
        <v>954</v>
      </c>
      <c r="C222" s="610">
        <v>0.4</v>
      </c>
      <c r="D222" s="610" t="s">
        <v>202</v>
      </c>
      <c r="E222" s="610">
        <v>5</v>
      </c>
      <c r="F222" s="612">
        <f>'Bang gia'!Q9</f>
        <v>15000000</v>
      </c>
      <c r="G222" s="612">
        <f>F222/E222/500</f>
        <v>6000</v>
      </c>
      <c r="H222" s="613">
        <v>0.15</v>
      </c>
      <c r="I222" s="612">
        <f>G222*H222</f>
        <v>900</v>
      </c>
      <c r="J222" s="614"/>
      <c r="K222" s="615"/>
      <c r="L222" s="615"/>
      <c r="M222" s="615"/>
      <c r="N222" s="616"/>
    </row>
    <row r="223" spans="1:16" ht="30" customHeight="1">
      <c r="A223" s="533">
        <v>2</v>
      </c>
      <c r="B223" s="585" t="s">
        <v>964</v>
      </c>
      <c r="C223" s="586">
        <v>0.6</v>
      </c>
      <c r="D223" s="533" t="s">
        <v>202</v>
      </c>
      <c r="E223" s="533">
        <v>10</v>
      </c>
      <c r="F223" s="535">
        <f>'Bang gia'!Q21</f>
        <v>5800000</v>
      </c>
      <c r="G223" s="535">
        <f>F223/E223/500</f>
        <v>1160</v>
      </c>
      <c r="H223" s="539">
        <v>1.4999999999999999E-2</v>
      </c>
      <c r="I223" s="535">
        <f>G223*H223</f>
        <v>17.399999999999999</v>
      </c>
      <c r="J223" s="617"/>
      <c r="K223" s="618"/>
      <c r="L223" s="618"/>
      <c r="M223" s="618"/>
      <c r="N223" s="619"/>
    </row>
    <row r="224" spans="1:16" ht="30" customHeight="1">
      <c r="A224" s="533">
        <v>3</v>
      </c>
      <c r="B224" s="534" t="s">
        <v>473</v>
      </c>
      <c r="C224" s="533">
        <v>2.2000000000000002</v>
      </c>
      <c r="D224" s="533" t="s">
        <v>202</v>
      </c>
      <c r="E224" s="533">
        <v>10</v>
      </c>
      <c r="F224" s="535">
        <f>'Bang gia'!Q11</f>
        <v>14500000</v>
      </c>
      <c r="G224" s="535">
        <f>F224/E224/500</f>
        <v>2900</v>
      </c>
      <c r="H224" s="539">
        <v>0.05</v>
      </c>
      <c r="I224" s="535">
        <f>G224*H224</f>
        <v>145</v>
      </c>
      <c r="J224" s="617"/>
      <c r="K224" s="618"/>
      <c r="L224" s="618"/>
      <c r="M224" s="618"/>
      <c r="N224" s="619"/>
    </row>
    <row r="225" spans="1:14" ht="30" customHeight="1">
      <c r="A225" s="533">
        <v>4</v>
      </c>
      <c r="B225" s="534" t="s">
        <v>575</v>
      </c>
      <c r="C225" s="533">
        <v>1.5</v>
      </c>
      <c r="D225" s="533" t="s">
        <v>202</v>
      </c>
      <c r="E225" s="533">
        <v>10</v>
      </c>
      <c r="F225" s="535">
        <f>'Bang gia'!Q12</f>
        <v>72000000</v>
      </c>
      <c r="G225" s="535">
        <f>F225/E225/500</f>
        <v>14400</v>
      </c>
      <c r="H225" s="539">
        <v>0.05</v>
      </c>
      <c r="I225" s="535">
        <f>G225*H225</f>
        <v>720</v>
      </c>
      <c r="J225" s="620"/>
      <c r="K225" s="621"/>
      <c r="L225" s="621"/>
      <c r="M225" s="621"/>
      <c r="N225" s="622"/>
    </row>
    <row r="226" spans="1:14" ht="30" customHeight="1">
      <c r="A226" s="545"/>
      <c r="B226" s="543" t="s">
        <v>475</v>
      </c>
      <c r="C226" s="543"/>
      <c r="D226" s="545"/>
      <c r="E226" s="545"/>
      <c r="F226" s="623"/>
      <c r="G226" s="545"/>
      <c r="H226" s="576"/>
      <c r="I226" s="577">
        <f>SUM(I222:I225)</f>
        <v>1782.4</v>
      </c>
      <c r="J226" s="573"/>
      <c r="K226" s="574"/>
      <c r="L226" s="574"/>
      <c r="M226" s="574"/>
      <c r="N226" s="575"/>
    </row>
    <row r="228" spans="1:14">
      <c r="A228" s="624" t="s">
        <v>983</v>
      </c>
    </row>
    <row r="229" spans="1:14" ht="85.5" customHeight="1">
      <c r="B229" s="1238" t="s">
        <v>404</v>
      </c>
      <c r="C229" s="1238"/>
      <c r="D229" s="1238"/>
      <c r="E229" s="1238"/>
      <c r="F229" s="1238"/>
      <c r="G229" s="1238"/>
      <c r="H229" s="1238"/>
      <c r="I229" s="1238"/>
    </row>
  </sheetData>
  <mergeCells count="188">
    <mergeCell ref="F150:F152"/>
    <mergeCell ref="G167:G169"/>
    <mergeCell ref="E167:E169"/>
    <mergeCell ref="H151:I151"/>
    <mergeCell ref="H150:M150"/>
    <mergeCell ref="A165:N165"/>
    <mergeCell ref="B163:N163"/>
    <mergeCell ref="B167:B169"/>
    <mergeCell ref="A167:A169"/>
    <mergeCell ref="D167:D169"/>
    <mergeCell ref="H167:M167"/>
    <mergeCell ref="G150:G152"/>
    <mergeCell ref="D150:D152"/>
    <mergeCell ref="B162:N162"/>
    <mergeCell ref="N167:N169"/>
    <mergeCell ref="N150:N152"/>
    <mergeCell ref="E150:E152"/>
    <mergeCell ref="B180:N180"/>
    <mergeCell ref="B179:N179"/>
    <mergeCell ref="B181:N181"/>
    <mergeCell ref="J186:K186"/>
    <mergeCell ref="L186:M186"/>
    <mergeCell ref="C185:C187"/>
    <mergeCell ref="A183:N183"/>
    <mergeCell ref="A185:A187"/>
    <mergeCell ref="E185:E187"/>
    <mergeCell ref="G58:G60"/>
    <mergeCell ref="H58:M58"/>
    <mergeCell ref="C167:C169"/>
    <mergeCell ref="C150:C152"/>
    <mergeCell ref="L151:M151"/>
    <mergeCell ref="H168:I168"/>
    <mergeCell ref="D58:D60"/>
    <mergeCell ref="D75:D77"/>
    <mergeCell ref="E75:E77"/>
    <mergeCell ref="F75:F77"/>
    <mergeCell ref="F58:F60"/>
    <mergeCell ref="C22:C24"/>
    <mergeCell ref="A219:I219"/>
    <mergeCell ref="B71:N71"/>
    <mergeCell ref="B88:N88"/>
    <mergeCell ref="A56:N56"/>
    <mergeCell ref="A58:A60"/>
    <mergeCell ref="A73:N73"/>
    <mergeCell ref="L59:M59"/>
    <mergeCell ref="N58:N60"/>
    <mergeCell ref="G75:G77"/>
    <mergeCell ref="B229:I229"/>
    <mergeCell ref="B215:N215"/>
    <mergeCell ref="B216:N216"/>
    <mergeCell ref="B217:N217"/>
    <mergeCell ref="J221:N221"/>
    <mergeCell ref="N133:N135"/>
    <mergeCell ref="E112:E114"/>
    <mergeCell ref="B185:B187"/>
    <mergeCell ref="H134:I134"/>
    <mergeCell ref="H42:I42"/>
    <mergeCell ref="J42:K42"/>
    <mergeCell ref="G41:G43"/>
    <mergeCell ref="D41:D43"/>
    <mergeCell ref="E41:E43"/>
    <mergeCell ref="F41:F43"/>
    <mergeCell ref="A41:A43"/>
    <mergeCell ref="B41:B43"/>
    <mergeCell ref="L23:M23"/>
    <mergeCell ref="H5:I5"/>
    <mergeCell ref="G4:G6"/>
    <mergeCell ref="C4:C6"/>
    <mergeCell ref="G22:G24"/>
    <mergeCell ref="F4:F6"/>
    <mergeCell ref="L42:M42"/>
    <mergeCell ref="C41:C43"/>
    <mergeCell ref="C58:C60"/>
    <mergeCell ref="L5:M5"/>
    <mergeCell ref="H59:I59"/>
    <mergeCell ref="E58:E60"/>
    <mergeCell ref="J59:K59"/>
    <mergeCell ref="H41:M41"/>
    <mergeCell ref="B54:N54"/>
    <mergeCell ref="N41:N43"/>
    <mergeCell ref="B34:N34"/>
    <mergeCell ref="B36:N36"/>
    <mergeCell ref="H133:M133"/>
    <mergeCell ref="H113:I113"/>
    <mergeCell ref="J113:K113"/>
    <mergeCell ref="L113:M113"/>
    <mergeCell ref="A131:N131"/>
    <mergeCell ref="C133:C135"/>
    <mergeCell ref="B129:N129"/>
    <mergeCell ref="B126:N126"/>
    <mergeCell ref="B128:N128"/>
    <mergeCell ref="B112:B114"/>
    <mergeCell ref="J76:K76"/>
    <mergeCell ref="E133:E135"/>
    <mergeCell ref="D133:D135"/>
    <mergeCell ref="G133:G135"/>
    <mergeCell ref="J134:K134"/>
    <mergeCell ref="D92:D94"/>
    <mergeCell ref="B107:N107"/>
    <mergeCell ref="D112:D114"/>
    <mergeCell ref="C112:C114"/>
    <mergeCell ref="B92:B94"/>
    <mergeCell ref="N92:N94"/>
    <mergeCell ref="E92:E94"/>
    <mergeCell ref="H112:M112"/>
    <mergeCell ref="F112:F114"/>
    <mergeCell ref="G112:G114"/>
    <mergeCell ref="F92:F94"/>
    <mergeCell ref="H93:I93"/>
    <mergeCell ref="N112:N114"/>
    <mergeCell ref="L93:M93"/>
    <mergeCell ref="B105:N105"/>
    <mergeCell ref="A75:A77"/>
    <mergeCell ref="B75:B77"/>
    <mergeCell ref="C75:C77"/>
    <mergeCell ref="A92:A94"/>
    <mergeCell ref="A90:N90"/>
    <mergeCell ref="N75:N77"/>
    <mergeCell ref="H76:I76"/>
    <mergeCell ref="L76:M76"/>
    <mergeCell ref="G92:G94"/>
    <mergeCell ref="H92:M92"/>
    <mergeCell ref="H75:M75"/>
    <mergeCell ref="A112:A114"/>
    <mergeCell ref="A22:A24"/>
    <mergeCell ref="B58:B60"/>
    <mergeCell ref="J93:K93"/>
    <mergeCell ref="A39:N39"/>
    <mergeCell ref="N22:N24"/>
    <mergeCell ref="J23:K23"/>
    <mergeCell ref="E22:E24"/>
    <mergeCell ref="F22:F24"/>
    <mergeCell ref="B37:N37"/>
    <mergeCell ref="A1:N1"/>
    <mergeCell ref="N4:N6"/>
    <mergeCell ref="A4:A6"/>
    <mergeCell ref="B4:B6"/>
    <mergeCell ref="D4:D6"/>
    <mergeCell ref="J5:K5"/>
    <mergeCell ref="E4:E6"/>
    <mergeCell ref="A3:N3"/>
    <mergeCell ref="D22:D24"/>
    <mergeCell ref="B16:N16"/>
    <mergeCell ref="B17:N17"/>
    <mergeCell ref="H4:M4"/>
    <mergeCell ref="H23:I23"/>
    <mergeCell ref="B18:N18"/>
    <mergeCell ref="B19:N19"/>
    <mergeCell ref="A21:N21"/>
    <mergeCell ref="B22:B24"/>
    <mergeCell ref="H22:M22"/>
    <mergeCell ref="B203:B205"/>
    <mergeCell ref="C203:C205"/>
    <mergeCell ref="D203:D205"/>
    <mergeCell ref="C92:C94"/>
    <mergeCell ref="A110:N110"/>
    <mergeCell ref="L204:M204"/>
    <mergeCell ref="G203:G205"/>
    <mergeCell ref="J168:K168"/>
    <mergeCell ref="F167:F169"/>
    <mergeCell ref="L168:M168"/>
    <mergeCell ref="B199:N199"/>
    <mergeCell ref="F185:F187"/>
    <mergeCell ref="N185:N187"/>
    <mergeCell ref="H186:I186"/>
    <mergeCell ref="D185:D187"/>
    <mergeCell ref="G185:G187"/>
    <mergeCell ref="H185:M185"/>
    <mergeCell ref="A148:N148"/>
    <mergeCell ref="J151:K151"/>
    <mergeCell ref="A133:A135"/>
    <mergeCell ref="A150:A152"/>
    <mergeCell ref="B145:I145"/>
    <mergeCell ref="B146:N146"/>
    <mergeCell ref="B150:B152"/>
    <mergeCell ref="B133:B135"/>
    <mergeCell ref="L134:M134"/>
    <mergeCell ref="F133:F135"/>
    <mergeCell ref="N203:N205"/>
    <mergeCell ref="H204:I204"/>
    <mergeCell ref="H203:M203"/>
    <mergeCell ref="B197:N197"/>
    <mergeCell ref="B198:N198"/>
    <mergeCell ref="E203:E205"/>
    <mergeCell ref="A201:N201"/>
    <mergeCell ref="F203:F205"/>
    <mergeCell ref="J204:K204"/>
    <mergeCell ref="A203:A205"/>
  </mergeCells>
  <phoneticPr fontId="5" type="noConversion"/>
  <printOptions horizontalCentered="1"/>
  <pageMargins left="0.74803149606299202" right="0.74803149606299202" top="0.66929133858267698" bottom="0.70866141732283505" header="0.31496062992126" footer="0.39370078740157499"/>
  <pageSetup paperSize="9" scale="80" firstPageNumber="164" orientation="landscape"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149"/>
  <sheetViews>
    <sheetView zoomScale="85" zoomScaleNormal="85" workbookViewId="0">
      <selection activeCell="J13" sqref="J13"/>
    </sheetView>
  </sheetViews>
  <sheetFormatPr defaultRowHeight="16.5"/>
  <cols>
    <col min="1" max="1" width="7.109375" style="409" customWidth="1"/>
    <col min="2" max="2" width="17" style="409" customWidth="1"/>
    <col min="3" max="3" width="8.109375" style="409" customWidth="1"/>
    <col min="4" max="4" width="9.44140625" style="409" customWidth="1"/>
    <col min="5" max="5" width="8.5546875" style="409" customWidth="1"/>
    <col min="6" max="6" width="10.77734375" style="409" customWidth="1"/>
    <col min="7" max="7" width="8.109375" style="409" customWidth="1"/>
    <col min="8" max="8" width="11.44140625" style="409" customWidth="1"/>
    <col min="9" max="9" width="8.21875" style="409" customWidth="1"/>
    <col min="10" max="10" width="10.21875" style="409" customWidth="1"/>
    <col min="11" max="11" width="11.88671875" style="409" customWidth="1"/>
    <col min="12" max="16384" width="8.88671875" style="527"/>
  </cols>
  <sheetData>
    <row r="1" spans="1:17" ht="24.75" customHeight="1">
      <c r="A1" s="1242" t="s">
        <v>434</v>
      </c>
      <c r="B1" s="1242"/>
      <c r="C1" s="1242"/>
      <c r="D1" s="1242"/>
      <c r="E1" s="1242"/>
      <c r="F1" s="1242"/>
      <c r="G1" s="1242"/>
      <c r="H1" s="1242"/>
      <c r="I1" s="1242"/>
      <c r="J1" s="1242"/>
      <c r="K1" s="1242"/>
    </row>
    <row r="2" spans="1:17" ht="12.75" customHeight="1">
      <c r="A2" s="528"/>
      <c r="B2" s="528"/>
      <c r="C2" s="528"/>
      <c r="D2" s="528"/>
      <c r="E2" s="528"/>
      <c r="F2" s="528"/>
      <c r="G2" s="528"/>
      <c r="H2" s="528"/>
      <c r="I2" s="528"/>
      <c r="J2" s="528"/>
    </row>
    <row r="3" spans="1:17" ht="43.5" customHeight="1">
      <c r="A3" s="1236" t="s">
        <v>454</v>
      </c>
      <c r="B3" s="1236"/>
      <c r="C3" s="1236"/>
      <c r="D3" s="1236"/>
      <c r="E3" s="1236"/>
      <c r="F3" s="1236"/>
      <c r="G3" s="1236"/>
      <c r="H3" s="1236"/>
      <c r="I3" s="1236"/>
      <c r="J3" s="1236"/>
      <c r="K3" s="1236"/>
    </row>
    <row r="4" spans="1:17" ht="6.75" customHeight="1">
      <c r="A4" s="529"/>
      <c r="B4" s="529"/>
      <c r="C4" s="530"/>
      <c r="D4" s="531"/>
      <c r="E4" s="529"/>
      <c r="F4" s="529"/>
      <c r="G4" s="529"/>
      <c r="H4" s="529"/>
      <c r="I4" s="532"/>
      <c r="J4" s="532"/>
    </row>
    <row r="5" spans="1:17" ht="19.5" customHeight="1">
      <c r="A5" s="1203" t="s">
        <v>724</v>
      </c>
      <c r="B5" s="1203" t="s">
        <v>534</v>
      </c>
      <c r="C5" s="1203" t="s">
        <v>535</v>
      </c>
      <c r="D5" s="1203" t="s">
        <v>253</v>
      </c>
      <c r="E5" s="1212" t="s">
        <v>539</v>
      </c>
      <c r="F5" s="1214"/>
      <c r="G5" s="1214"/>
      <c r="H5" s="1214"/>
      <c r="I5" s="1214"/>
      <c r="J5" s="1213"/>
      <c r="K5" s="1203" t="s">
        <v>320</v>
      </c>
    </row>
    <row r="6" spans="1:17" ht="38.25" customHeight="1">
      <c r="A6" s="1204"/>
      <c r="B6" s="1204"/>
      <c r="C6" s="1204"/>
      <c r="D6" s="1204"/>
      <c r="E6" s="1209" t="s">
        <v>540</v>
      </c>
      <c r="F6" s="1210"/>
      <c r="G6" s="1209" t="s">
        <v>790</v>
      </c>
      <c r="H6" s="1210"/>
      <c r="I6" s="1209" t="s">
        <v>318</v>
      </c>
      <c r="J6" s="1210"/>
      <c r="K6" s="1204"/>
    </row>
    <row r="7" spans="1:17" ht="20.100000000000001" customHeight="1">
      <c r="A7" s="1205"/>
      <c r="B7" s="1205"/>
      <c r="C7" s="1205"/>
      <c r="D7" s="1205"/>
      <c r="E7" s="423" t="s">
        <v>740</v>
      </c>
      <c r="F7" s="423" t="s">
        <v>472</v>
      </c>
      <c r="G7" s="423" t="s">
        <v>740</v>
      </c>
      <c r="H7" s="423" t="s">
        <v>472</v>
      </c>
      <c r="I7" s="423" t="s">
        <v>740</v>
      </c>
      <c r="J7" s="423" t="s">
        <v>472</v>
      </c>
      <c r="K7" s="1205"/>
    </row>
    <row r="8" spans="1:17" ht="27" customHeight="1">
      <c r="A8" s="533">
        <v>1</v>
      </c>
      <c r="B8" s="534" t="s">
        <v>386</v>
      </c>
      <c r="C8" s="533" t="s">
        <v>740</v>
      </c>
      <c r="D8" s="535">
        <f>'Bang gia'!E21</f>
        <v>1554</v>
      </c>
      <c r="E8" s="536">
        <v>0.20499999999999999</v>
      </c>
      <c r="F8" s="535">
        <f>D8*E8</f>
        <v>318.57</v>
      </c>
      <c r="G8" s="537">
        <v>2.7919999999999998</v>
      </c>
      <c r="H8" s="538">
        <f>D8*G8</f>
        <v>4338.768</v>
      </c>
      <c r="I8" s="539">
        <v>1.1659999999999999</v>
      </c>
      <c r="J8" s="540">
        <f>D8*I8</f>
        <v>1811.9639999999999</v>
      </c>
      <c r="K8" s="541">
        <f>F8+H8+J8</f>
        <v>6469.3019999999997</v>
      </c>
    </row>
    <row r="9" spans="1:17" ht="27" customHeight="1">
      <c r="A9" s="542"/>
      <c r="B9" s="543" t="s">
        <v>475</v>
      </c>
      <c r="C9" s="542"/>
      <c r="D9" s="542"/>
      <c r="E9" s="542"/>
      <c r="F9" s="544">
        <f>SUM(F8:F8)</f>
        <v>318.57</v>
      </c>
      <c r="G9" s="545"/>
      <c r="H9" s="546">
        <f>SUM(H8:H8)</f>
        <v>4338.768</v>
      </c>
      <c r="I9" s="545"/>
      <c r="J9" s="546">
        <f>SUM(J8:J8)</f>
        <v>1811.9639999999999</v>
      </c>
      <c r="K9" s="546">
        <f>SUM(K8:K8)</f>
        <v>6469.3019999999997</v>
      </c>
      <c r="M9" s="547">
        <f>F9/8000</f>
        <v>3.9821250000000002E-2</v>
      </c>
      <c r="N9" s="547"/>
      <c r="O9" s="547">
        <f>H9/8000</f>
        <v>0.54234599999999999</v>
      </c>
      <c r="P9" s="547"/>
      <c r="Q9" s="547">
        <f>J9/8000</f>
        <v>0.22649549999999999</v>
      </c>
    </row>
    <row r="10" spans="1:17" s="409" customFormat="1" ht="3.75" customHeight="1">
      <c r="A10" s="548"/>
      <c r="B10" s="549"/>
      <c r="C10" s="550"/>
      <c r="D10" s="551"/>
      <c r="E10" s="552"/>
      <c r="F10" s="552"/>
      <c r="G10" s="553"/>
      <c r="H10" s="553"/>
      <c r="I10" s="553"/>
      <c r="J10" s="553"/>
      <c r="K10" s="551"/>
    </row>
    <row r="11" spans="1:17" s="409" customFormat="1">
      <c r="A11" s="435"/>
      <c r="B11" s="554" t="s">
        <v>550</v>
      </c>
      <c r="C11" s="555"/>
      <c r="D11" s="449"/>
      <c r="E11" s="556"/>
      <c r="F11" s="556"/>
      <c r="G11" s="557"/>
      <c r="H11" s="557"/>
      <c r="I11" s="557"/>
      <c r="J11" s="557"/>
      <c r="K11" s="449"/>
    </row>
    <row r="12" spans="1:17" s="409" customFormat="1">
      <c r="A12" s="435"/>
      <c r="B12" s="558" t="s">
        <v>489</v>
      </c>
      <c r="C12" s="558"/>
      <c r="D12" s="558"/>
      <c r="E12" s="449"/>
      <c r="F12" s="559"/>
      <c r="G12" s="449"/>
      <c r="H12" s="556"/>
      <c r="I12" s="556"/>
      <c r="J12" s="557"/>
      <c r="K12" s="557"/>
    </row>
    <row r="13" spans="1:17" s="409" customFormat="1">
      <c r="A13" s="435"/>
      <c r="B13" s="560"/>
      <c r="C13" s="558"/>
      <c r="D13" s="558"/>
      <c r="E13" s="449"/>
      <c r="F13" s="559"/>
      <c r="G13" s="449"/>
      <c r="H13" s="556"/>
      <c r="I13" s="556"/>
      <c r="J13" s="557"/>
      <c r="K13" s="557"/>
    </row>
    <row r="14" spans="1:17" s="409" customFormat="1" ht="32.25" customHeight="1">
      <c r="A14" s="435"/>
      <c r="B14" s="1098"/>
      <c r="C14" s="1098"/>
      <c r="D14" s="1098"/>
      <c r="E14" s="1098"/>
      <c r="F14" s="1098"/>
      <c r="G14" s="1098"/>
      <c r="H14" s="1098"/>
      <c r="I14" s="1098"/>
      <c r="J14" s="1098"/>
      <c r="K14" s="1098"/>
    </row>
    <row r="15" spans="1:17" s="409" customFormat="1" ht="18" customHeight="1">
      <c r="B15" s="1098"/>
      <c r="C15" s="1098"/>
      <c r="D15" s="1098"/>
      <c r="E15" s="1098"/>
      <c r="F15" s="1098"/>
      <c r="G15" s="1098"/>
      <c r="H15" s="1098"/>
      <c r="I15" s="1098"/>
      <c r="J15" s="1098"/>
      <c r="K15" s="1098"/>
    </row>
    <row r="16" spans="1:17" s="409" customFormat="1" ht="8.25" customHeight="1">
      <c r="B16" s="558"/>
      <c r="C16" s="558"/>
      <c r="D16" s="449"/>
      <c r="E16" s="559"/>
      <c r="F16" s="449"/>
      <c r="G16" s="556"/>
      <c r="H16" s="556"/>
      <c r="I16" s="557"/>
      <c r="J16" s="557"/>
      <c r="K16" s="557"/>
    </row>
    <row r="17" spans="1:17" s="409" customFormat="1" ht="44.25" customHeight="1">
      <c r="A17" s="1236" t="s">
        <v>166</v>
      </c>
      <c r="B17" s="1236"/>
      <c r="C17" s="1236"/>
      <c r="D17" s="1236"/>
      <c r="E17" s="1236"/>
      <c r="F17" s="1236"/>
      <c r="G17" s="1236"/>
      <c r="H17" s="1236"/>
      <c r="I17" s="1236"/>
      <c r="J17" s="1236"/>
      <c r="K17" s="1236"/>
    </row>
    <row r="18" spans="1:17" s="409" customFormat="1" ht="5.25" customHeight="1">
      <c r="A18" s="529"/>
      <c r="B18" s="529"/>
      <c r="C18" s="530"/>
      <c r="D18" s="531"/>
      <c r="E18" s="529"/>
      <c r="F18" s="529"/>
      <c r="G18" s="529"/>
      <c r="H18" s="529"/>
      <c r="I18" s="532"/>
      <c r="J18" s="532"/>
    </row>
    <row r="19" spans="1:17" ht="19.5" customHeight="1">
      <c r="A19" s="1203" t="s">
        <v>724</v>
      </c>
      <c r="B19" s="1203" t="s">
        <v>534</v>
      </c>
      <c r="C19" s="1203" t="s">
        <v>535</v>
      </c>
      <c r="D19" s="1203" t="s">
        <v>253</v>
      </c>
      <c r="E19" s="1212" t="s">
        <v>539</v>
      </c>
      <c r="F19" s="1214"/>
      <c r="G19" s="1214"/>
      <c r="H19" s="1214"/>
      <c r="I19" s="1214"/>
      <c r="J19" s="1213"/>
      <c r="K19" s="1203" t="s">
        <v>769</v>
      </c>
    </row>
    <row r="20" spans="1:17" ht="39" customHeight="1">
      <c r="A20" s="1204"/>
      <c r="B20" s="1204"/>
      <c r="C20" s="1204"/>
      <c r="D20" s="1204"/>
      <c r="E20" s="1209" t="s">
        <v>488</v>
      </c>
      <c r="F20" s="1210"/>
      <c r="G20" s="1209" t="s">
        <v>791</v>
      </c>
      <c r="H20" s="1210"/>
      <c r="I20" s="1209" t="s">
        <v>319</v>
      </c>
      <c r="J20" s="1210"/>
      <c r="K20" s="1204"/>
    </row>
    <row r="21" spans="1:17" ht="20.100000000000001" customHeight="1">
      <c r="A21" s="1205"/>
      <c r="B21" s="1205"/>
      <c r="C21" s="1205"/>
      <c r="D21" s="1205"/>
      <c r="E21" s="524" t="s">
        <v>740</v>
      </c>
      <c r="F21" s="524" t="s">
        <v>497</v>
      </c>
      <c r="G21" s="524" t="s">
        <v>740</v>
      </c>
      <c r="H21" s="524" t="s">
        <v>497</v>
      </c>
      <c r="I21" s="524" t="s">
        <v>740</v>
      </c>
      <c r="J21" s="524" t="s">
        <v>497</v>
      </c>
      <c r="K21" s="1205"/>
    </row>
    <row r="22" spans="1:17" ht="25.15" customHeight="1">
      <c r="A22" s="533">
        <v>1</v>
      </c>
      <c r="B22" s="534" t="s">
        <v>386</v>
      </c>
      <c r="C22" s="533" t="s">
        <v>740</v>
      </c>
      <c r="D22" s="535">
        <f>'Bang gia'!E21</f>
        <v>1554</v>
      </c>
      <c r="E22" s="539">
        <v>0.125</v>
      </c>
      <c r="F22" s="535">
        <f>D22*E22</f>
        <v>194.25</v>
      </c>
      <c r="G22" s="537">
        <v>4.45</v>
      </c>
      <c r="H22" s="538">
        <f>D22*G22</f>
        <v>6915.3</v>
      </c>
      <c r="I22" s="539">
        <v>1.758</v>
      </c>
      <c r="J22" s="540">
        <f>D22*I22</f>
        <v>2731.9319999999998</v>
      </c>
      <c r="K22" s="541">
        <f>F22+H22+J22</f>
        <v>9841.482</v>
      </c>
    </row>
    <row r="23" spans="1:17" ht="25.15" customHeight="1">
      <c r="A23" s="542"/>
      <c r="B23" s="543" t="s">
        <v>475</v>
      </c>
      <c r="C23" s="542"/>
      <c r="D23" s="542"/>
      <c r="E23" s="542"/>
      <c r="F23" s="546">
        <f>SUM(F22:F22)</f>
        <v>194.25</v>
      </c>
      <c r="G23" s="546"/>
      <c r="H23" s="546">
        <f>SUM(H22:H22)</f>
        <v>6915.3</v>
      </c>
      <c r="I23" s="545"/>
      <c r="J23" s="546">
        <f>SUM(J22:J22)</f>
        <v>2731.9319999999998</v>
      </c>
      <c r="K23" s="546">
        <f>SUM(K22:K22)</f>
        <v>9841.482</v>
      </c>
      <c r="M23" s="547">
        <f>F23/5000</f>
        <v>3.8850000000000003E-2</v>
      </c>
      <c r="N23" s="547"/>
      <c r="O23" s="547">
        <f>H23/5000</f>
        <v>1.38306</v>
      </c>
      <c r="P23" s="547"/>
      <c r="Q23" s="547">
        <f>J23/5000</f>
        <v>0.54638639999999994</v>
      </c>
    </row>
    <row r="24" spans="1:17" ht="4.5" customHeight="1">
      <c r="A24" s="548"/>
      <c r="B24" s="549"/>
      <c r="C24" s="550"/>
      <c r="D24" s="551"/>
      <c r="E24" s="552"/>
      <c r="F24" s="552"/>
      <c r="G24" s="553"/>
      <c r="H24" s="553"/>
      <c r="I24" s="553"/>
      <c r="J24" s="553"/>
      <c r="K24" s="551"/>
    </row>
    <row r="25" spans="1:17">
      <c r="A25" s="435"/>
      <c r="B25" s="554" t="s">
        <v>550</v>
      </c>
      <c r="C25" s="555"/>
      <c r="D25" s="449"/>
      <c r="E25" s="556"/>
      <c r="F25" s="556"/>
      <c r="G25" s="557"/>
      <c r="H25" s="557"/>
      <c r="I25" s="557"/>
      <c r="J25" s="557"/>
      <c r="K25" s="449"/>
    </row>
    <row r="26" spans="1:17">
      <c r="A26" s="435"/>
      <c r="B26" s="558" t="s">
        <v>490</v>
      </c>
      <c r="C26" s="558"/>
      <c r="D26" s="558"/>
      <c r="E26" s="449"/>
      <c r="F26" s="559"/>
      <c r="G26" s="449"/>
      <c r="H26" s="556"/>
      <c r="I26" s="556"/>
      <c r="J26" s="557"/>
      <c r="K26" s="557"/>
    </row>
    <row r="27" spans="1:17">
      <c r="A27" s="435"/>
      <c r="B27" s="560"/>
      <c r="C27" s="558"/>
      <c r="D27" s="558"/>
      <c r="E27" s="449"/>
      <c r="F27" s="559"/>
      <c r="G27" s="449"/>
      <c r="H27" s="556"/>
      <c r="I27" s="556"/>
      <c r="J27" s="557"/>
      <c r="K27" s="557"/>
    </row>
    <row r="28" spans="1:17" ht="28.5" customHeight="1">
      <c r="A28" s="435"/>
      <c r="B28" s="1098"/>
      <c r="C28" s="1098"/>
      <c r="D28" s="1098"/>
      <c r="E28" s="1098"/>
      <c r="F28" s="1098"/>
      <c r="G28" s="1098"/>
      <c r="H28" s="1098"/>
      <c r="I28" s="1098"/>
      <c r="J28" s="1098"/>
      <c r="K28" s="1098"/>
    </row>
    <row r="29" spans="1:17" ht="31.5" customHeight="1">
      <c r="A29" s="1221" t="s">
        <v>578</v>
      </c>
      <c r="B29" s="1221"/>
      <c r="C29" s="1221"/>
      <c r="D29" s="1221"/>
      <c r="E29" s="1221"/>
      <c r="F29" s="1221"/>
      <c r="G29" s="1221"/>
      <c r="H29" s="1221"/>
      <c r="I29" s="1221"/>
      <c r="J29" s="1221"/>
      <c r="K29" s="1221"/>
    </row>
    <row r="30" spans="1:17" ht="10.5" customHeight="1">
      <c r="A30" s="435"/>
      <c r="B30" s="561"/>
      <c r="C30" s="555"/>
      <c r="D30" s="556"/>
      <c r="E30" s="435"/>
      <c r="F30" s="435"/>
      <c r="G30" s="561"/>
      <c r="H30" s="561"/>
      <c r="I30" s="562"/>
      <c r="J30" s="562"/>
      <c r="K30" s="449"/>
    </row>
    <row r="31" spans="1:17" ht="19.5" customHeight="1">
      <c r="A31" s="1203" t="s">
        <v>724</v>
      </c>
      <c r="B31" s="1203" t="s">
        <v>534</v>
      </c>
      <c r="C31" s="1203" t="s">
        <v>535</v>
      </c>
      <c r="D31" s="1203" t="s">
        <v>253</v>
      </c>
      <c r="E31" s="1212" t="s">
        <v>539</v>
      </c>
      <c r="F31" s="1214"/>
      <c r="G31" s="1214"/>
      <c r="H31" s="1214"/>
      <c r="I31" s="1214"/>
      <c r="J31" s="1213"/>
      <c r="K31" s="1203" t="s">
        <v>599</v>
      </c>
    </row>
    <row r="32" spans="1:17" ht="45" customHeight="1">
      <c r="A32" s="1204"/>
      <c r="B32" s="1204"/>
      <c r="C32" s="1204"/>
      <c r="D32" s="1204"/>
      <c r="E32" s="1212" t="s">
        <v>540</v>
      </c>
      <c r="F32" s="1213"/>
      <c r="G32" s="1212" t="s">
        <v>561</v>
      </c>
      <c r="H32" s="1213"/>
      <c r="I32" s="1212" t="s">
        <v>318</v>
      </c>
      <c r="J32" s="1213"/>
      <c r="K32" s="1204"/>
    </row>
    <row r="33" spans="1:16" ht="24" customHeight="1">
      <c r="A33" s="1205"/>
      <c r="B33" s="1205"/>
      <c r="C33" s="1205"/>
      <c r="D33" s="1205"/>
      <c r="E33" s="423" t="s">
        <v>740</v>
      </c>
      <c r="F33" s="423" t="s">
        <v>772</v>
      </c>
      <c r="G33" s="423" t="s">
        <v>740</v>
      </c>
      <c r="H33" s="423" t="s">
        <v>772</v>
      </c>
      <c r="I33" s="423" t="s">
        <v>740</v>
      </c>
      <c r="J33" s="423" t="s">
        <v>772</v>
      </c>
      <c r="K33" s="1205"/>
    </row>
    <row r="34" spans="1:16" ht="27.6" customHeight="1">
      <c r="A34" s="533">
        <v>1</v>
      </c>
      <c r="B34" s="534" t="s">
        <v>386</v>
      </c>
      <c r="C34" s="533" t="s">
        <v>740</v>
      </c>
      <c r="D34" s="535">
        <f>'Bang gia'!E21</f>
        <v>1554</v>
      </c>
      <c r="E34" s="539">
        <v>0.55400000000000005</v>
      </c>
      <c r="F34" s="535">
        <f>D34*E34</f>
        <v>860.91600000000005</v>
      </c>
      <c r="G34" s="537">
        <v>5.3849999999999998</v>
      </c>
      <c r="H34" s="538">
        <f>D34*G34</f>
        <v>8368.2899999999991</v>
      </c>
      <c r="I34" s="539"/>
      <c r="J34" s="540"/>
      <c r="K34" s="541">
        <f>F34+H34+J34</f>
        <v>9229.2059999999983</v>
      </c>
    </row>
    <row r="35" spans="1:16" ht="27.6" customHeight="1">
      <c r="A35" s="542"/>
      <c r="B35" s="543" t="s">
        <v>475</v>
      </c>
      <c r="C35" s="542"/>
      <c r="D35" s="542"/>
      <c r="E35" s="542"/>
      <c r="F35" s="544">
        <f>SUM(F34:F34)</f>
        <v>860.91600000000005</v>
      </c>
      <c r="G35" s="545"/>
      <c r="H35" s="546">
        <f>SUM(H34:H34)</f>
        <v>8368.2899999999991</v>
      </c>
      <c r="I35" s="545"/>
      <c r="J35" s="546"/>
      <c r="K35" s="546">
        <f>SUM(K34:K34)</f>
        <v>9229.2059999999983</v>
      </c>
      <c r="M35" s="563">
        <f>F35*1.3</f>
        <v>1119.1908000000001</v>
      </c>
      <c r="N35" s="563">
        <f>G35*1.3</f>
        <v>0</v>
      </c>
      <c r="O35" s="563">
        <f>H35*1.3</f>
        <v>10878.777</v>
      </c>
      <c r="P35" s="563">
        <f>I35*1.3</f>
        <v>0</v>
      </c>
    </row>
    <row r="36" spans="1:16">
      <c r="A36" s="548"/>
      <c r="B36" s="549"/>
      <c r="C36" s="550"/>
      <c r="D36" s="551"/>
      <c r="E36" s="552"/>
      <c r="F36" s="552"/>
      <c r="G36" s="553"/>
      <c r="H36" s="553"/>
      <c r="I36" s="553"/>
      <c r="J36" s="553"/>
      <c r="K36" s="551"/>
    </row>
    <row r="37" spans="1:16" ht="20.25" customHeight="1">
      <c r="A37" s="561"/>
      <c r="B37" s="554" t="s">
        <v>550</v>
      </c>
      <c r="C37" s="558"/>
      <c r="D37" s="449"/>
      <c r="E37" s="556"/>
      <c r="F37" s="556"/>
      <c r="G37" s="557"/>
      <c r="H37" s="557"/>
      <c r="I37" s="557"/>
      <c r="J37" s="557"/>
      <c r="K37" s="449"/>
    </row>
    <row r="38" spans="1:16" ht="20.25" customHeight="1">
      <c r="A38" s="561"/>
      <c r="B38" s="558" t="s">
        <v>492</v>
      </c>
      <c r="C38" s="558"/>
      <c r="D38" s="449"/>
      <c r="E38" s="556"/>
      <c r="F38" s="556"/>
      <c r="G38" s="557"/>
      <c r="H38" s="557"/>
      <c r="I38" s="557"/>
      <c r="J38" s="557"/>
      <c r="K38" s="449"/>
    </row>
    <row r="39" spans="1:16" ht="20.25" customHeight="1">
      <c r="A39" s="561"/>
      <c r="B39" s="560"/>
      <c r="C39" s="558"/>
      <c r="D39" s="449"/>
      <c r="E39" s="556"/>
      <c r="F39" s="556"/>
      <c r="G39" s="557"/>
      <c r="H39" s="557"/>
      <c r="I39" s="557"/>
      <c r="J39" s="557"/>
      <c r="K39" s="449"/>
    </row>
    <row r="40" spans="1:16" ht="22.5" customHeight="1">
      <c r="A40" s="561"/>
      <c r="B40" s="554"/>
      <c r="C40" s="558"/>
      <c r="D40" s="449"/>
      <c r="E40" s="556"/>
      <c r="F40" s="556"/>
      <c r="G40" s="557"/>
      <c r="H40" s="557"/>
      <c r="I40" s="557"/>
      <c r="J40" s="557"/>
      <c r="K40" s="449"/>
    </row>
    <row r="41" spans="1:16" ht="32.25" customHeight="1">
      <c r="A41" s="1221" t="s">
        <v>691</v>
      </c>
      <c r="B41" s="1221"/>
      <c r="C41" s="1221"/>
      <c r="D41" s="1221"/>
      <c r="E41" s="1221"/>
      <c r="F41" s="1221"/>
      <c r="G41" s="1221"/>
      <c r="H41" s="1221"/>
      <c r="I41" s="1221"/>
      <c r="J41" s="1221"/>
      <c r="K41" s="1221"/>
    </row>
    <row r="42" spans="1:16" ht="14.25" customHeight="1">
      <c r="A42" s="435"/>
      <c r="B42" s="561"/>
      <c r="C42" s="555"/>
      <c r="D42" s="556"/>
      <c r="E42" s="435"/>
      <c r="F42" s="435"/>
      <c r="G42" s="561"/>
      <c r="H42" s="561"/>
      <c r="I42" s="562"/>
      <c r="J42" s="562"/>
      <c r="K42" s="449"/>
    </row>
    <row r="43" spans="1:16" ht="19.5" customHeight="1">
      <c r="A43" s="1203" t="s">
        <v>724</v>
      </c>
      <c r="B43" s="1203" t="s">
        <v>534</v>
      </c>
      <c r="C43" s="1203" t="s">
        <v>535</v>
      </c>
      <c r="D43" s="1203" t="s">
        <v>253</v>
      </c>
      <c r="E43" s="1212" t="s">
        <v>539</v>
      </c>
      <c r="F43" s="1214"/>
      <c r="G43" s="1214"/>
      <c r="H43" s="1214"/>
      <c r="I43" s="1214"/>
      <c r="J43" s="1213"/>
      <c r="K43" s="1203" t="s">
        <v>269</v>
      </c>
    </row>
    <row r="44" spans="1:16" ht="45.75" customHeight="1">
      <c r="A44" s="1204"/>
      <c r="B44" s="1204"/>
      <c r="C44" s="1204"/>
      <c r="D44" s="1204"/>
      <c r="E44" s="1212" t="s">
        <v>164</v>
      </c>
      <c r="F44" s="1213"/>
      <c r="G44" s="1212" t="s">
        <v>140</v>
      </c>
      <c r="H44" s="1213"/>
      <c r="I44" s="1212" t="s">
        <v>317</v>
      </c>
      <c r="J44" s="1213"/>
      <c r="K44" s="1204"/>
    </row>
    <row r="45" spans="1:16" ht="20.100000000000001" customHeight="1">
      <c r="A45" s="1205"/>
      <c r="B45" s="1205"/>
      <c r="C45" s="1205"/>
      <c r="D45" s="1205"/>
      <c r="E45" s="423" t="s">
        <v>740</v>
      </c>
      <c r="F45" s="423" t="s">
        <v>772</v>
      </c>
      <c r="G45" s="423" t="s">
        <v>740</v>
      </c>
      <c r="H45" s="423" t="s">
        <v>772</v>
      </c>
      <c r="I45" s="423" t="s">
        <v>740</v>
      </c>
      <c r="J45" s="423" t="s">
        <v>772</v>
      </c>
      <c r="K45" s="1205"/>
    </row>
    <row r="46" spans="1:16" ht="27.6" customHeight="1">
      <c r="A46" s="533">
        <v>1</v>
      </c>
      <c r="B46" s="534" t="s">
        <v>386</v>
      </c>
      <c r="C46" s="533" t="s">
        <v>740</v>
      </c>
      <c r="D46" s="535">
        <f>'Bang gia'!E21</f>
        <v>1554</v>
      </c>
      <c r="E46" s="539">
        <v>0.17399999999999999</v>
      </c>
      <c r="F46" s="535">
        <f>D46*E46</f>
        <v>270.39599999999996</v>
      </c>
      <c r="G46" s="537">
        <v>5.7640000000000002</v>
      </c>
      <c r="H46" s="538">
        <f>D46*G46</f>
        <v>8957.2560000000012</v>
      </c>
      <c r="I46" s="539"/>
      <c r="J46" s="540"/>
      <c r="K46" s="541">
        <f>F46+H46+J46</f>
        <v>9227.6520000000019</v>
      </c>
    </row>
    <row r="47" spans="1:16" ht="27.6" customHeight="1">
      <c r="A47" s="542"/>
      <c r="B47" s="543" t="s">
        <v>475</v>
      </c>
      <c r="C47" s="542"/>
      <c r="D47" s="542"/>
      <c r="E47" s="542"/>
      <c r="F47" s="546">
        <f>SUM(F46:F46)</f>
        <v>270.39599999999996</v>
      </c>
      <c r="G47" s="546"/>
      <c r="H47" s="546">
        <f>SUM(H46:H46)</f>
        <v>8957.2560000000012</v>
      </c>
      <c r="I47" s="545"/>
      <c r="J47" s="546"/>
      <c r="K47" s="546">
        <f>SUM(K46:K46)</f>
        <v>9227.6520000000019</v>
      </c>
    </row>
    <row r="49" spans="1:13" ht="19.5" customHeight="1">
      <c r="B49" s="554" t="s">
        <v>550</v>
      </c>
    </row>
    <row r="50" spans="1:13" ht="20.25" customHeight="1">
      <c r="B50" s="558" t="s">
        <v>492</v>
      </c>
    </row>
    <row r="51" spans="1:13" ht="20.25" customHeight="1">
      <c r="B51" s="560"/>
    </row>
    <row r="52" spans="1:13" ht="20.25" customHeight="1">
      <c r="B52" s="560"/>
    </row>
    <row r="54" spans="1:13" ht="30.75" customHeight="1">
      <c r="A54" s="1221" t="s">
        <v>773</v>
      </c>
      <c r="B54" s="1221"/>
      <c r="C54" s="1221"/>
      <c r="D54" s="1221"/>
      <c r="E54" s="1221"/>
      <c r="F54" s="1221"/>
      <c r="G54" s="1221"/>
      <c r="H54" s="1221"/>
      <c r="I54" s="1221"/>
      <c r="J54" s="1221"/>
      <c r="K54" s="1221"/>
    </row>
    <row r="55" spans="1:13">
      <c r="A55" s="435"/>
      <c r="B55" s="561"/>
      <c r="C55" s="555"/>
      <c r="D55" s="556"/>
      <c r="E55" s="435"/>
      <c r="F55" s="435"/>
      <c r="G55" s="561"/>
      <c r="H55" s="561"/>
      <c r="I55" s="562"/>
      <c r="J55" s="562"/>
      <c r="K55" s="449"/>
    </row>
    <row r="56" spans="1:13" ht="22.5" customHeight="1">
      <c r="A56" s="1203" t="s">
        <v>724</v>
      </c>
      <c r="B56" s="1203" t="s">
        <v>534</v>
      </c>
      <c r="C56" s="1203" t="s">
        <v>535</v>
      </c>
      <c r="D56" s="1203" t="s">
        <v>253</v>
      </c>
      <c r="E56" s="1212" t="s">
        <v>539</v>
      </c>
      <c r="F56" s="1214"/>
      <c r="G56" s="1214"/>
      <c r="H56" s="1214"/>
      <c r="I56" s="1214"/>
      <c r="J56" s="1213"/>
      <c r="K56" s="1203" t="s">
        <v>269</v>
      </c>
    </row>
    <row r="57" spans="1:13" ht="42.75" customHeight="1">
      <c r="A57" s="1204"/>
      <c r="B57" s="1204"/>
      <c r="C57" s="1204"/>
      <c r="D57" s="1204"/>
      <c r="E57" s="1212" t="s">
        <v>540</v>
      </c>
      <c r="F57" s="1213"/>
      <c r="G57" s="1212" t="s">
        <v>477</v>
      </c>
      <c r="H57" s="1213"/>
      <c r="I57" s="1212" t="s">
        <v>792</v>
      </c>
      <c r="J57" s="1213"/>
      <c r="K57" s="1204"/>
    </row>
    <row r="58" spans="1:13" ht="27" customHeight="1">
      <c r="A58" s="1205"/>
      <c r="B58" s="1205"/>
      <c r="C58" s="1205"/>
      <c r="D58" s="1205"/>
      <c r="E58" s="423" t="s">
        <v>740</v>
      </c>
      <c r="F58" s="423" t="s">
        <v>772</v>
      </c>
      <c r="G58" s="423" t="s">
        <v>740</v>
      </c>
      <c r="H58" s="423" t="s">
        <v>772</v>
      </c>
      <c r="I58" s="423" t="s">
        <v>740</v>
      </c>
      <c r="J58" s="423" t="s">
        <v>772</v>
      </c>
      <c r="K58" s="1205"/>
    </row>
    <row r="59" spans="1:13" ht="27" customHeight="1">
      <c r="A59" s="533">
        <v>1</v>
      </c>
      <c r="B59" s="534" t="s">
        <v>386</v>
      </c>
      <c r="C59" s="533" t="s">
        <v>740</v>
      </c>
      <c r="D59" s="535">
        <f>'Bang gia'!E21</f>
        <v>1554</v>
      </c>
      <c r="E59" s="539"/>
      <c r="F59" s="535"/>
      <c r="G59" s="537"/>
      <c r="H59" s="538"/>
      <c r="I59" s="539">
        <v>15.03</v>
      </c>
      <c r="J59" s="540">
        <f>D59*I59</f>
        <v>23356.62</v>
      </c>
      <c r="K59" s="541">
        <f>F59+H59+J59</f>
        <v>23356.62</v>
      </c>
    </row>
    <row r="60" spans="1:13" ht="27" customHeight="1">
      <c r="A60" s="542"/>
      <c r="B60" s="543" t="s">
        <v>475</v>
      </c>
      <c r="C60" s="542"/>
      <c r="D60" s="542"/>
      <c r="E60" s="542"/>
      <c r="F60" s="544"/>
      <c r="G60" s="545"/>
      <c r="H60" s="546"/>
      <c r="I60" s="545"/>
      <c r="J60" s="546">
        <f>SUM(J59:J59)</f>
        <v>23356.62</v>
      </c>
      <c r="K60" s="546">
        <f>SUM(K59:K59)</f>
        <v>23356.62</v>
      </c>
      <c r="M60" s="527">
        <f>J60*1.3</f>
        <v>30363.606</v>
      </c>
    </row>
    <row r="62" spans="1:13">
      <c r="B62" s="554" t="s">
        <v>550</v>
      </c>
    </row>
    <row r="63" spans="1:13" ht="19.5" customHeight="1">
      <c r="B63" s="558" t="s">
        <v>492</v>
      </c>
    </row>
    <row r="64" spans="1:13" ht="21" customHeight="1">
      <c r="B64" s="560"/>
    </row>
    <row r="65" spans="1:11" ht="41.25" customHeight="1"/>
    <row r="66" spans="1:11" ht="32.25" customHeight="1">
      <c r="A66" s="1221" t="s">
        <v>774</v>
      </c>
      <c r="B66" s="1221"/>
      <c r="C66" s="1221"/>
      <c r="D66" s="1221"/>
      <c r="E66" s="1221"/>
      <c r="F66" s="1221"/>
      <c r="G66" s="1221"/>
      <c r="H66" s="1221"/>
      <c r="I66" s="1221"/>
      <c r="J66" s="1221"/>
      <c r="K66" s="1221"/>
    </row>
    <row r="67" spans="1:11">
      <c r="A67" s="435"/>
      <c r="B67" s="561"/>
      <c r="C67" s="555"/>
      <c r="D67" s="556"/>
      <c r="E67" s="435"/>
      <c r="F67" s="435"/>
      <c r="G67" s="561"/>
      <c r="H67" s="561"/>
      <c r="I67" s="562"/>
      <c r="J67" s="562"/>
      <c r="K67" s="449"/>
    </row>
    <row r="68" spans="1:11" ht="23.25" customHeight="1">
      <c r="A68" s="1203" t="s">
        <v>724</v>
      </c>
      <c r="B68" s="1203" t="s">
        <v>534</v>
      </c>
      <c r="C68" s="1203" t="s">
        <v>535</v>
      </c>
      <c r="D68" s="1203" t="s">
        <v>253</v>
      </c>
      <c r="E68" s="1212" t="s">
        <v>539</v>
      </c>
      <c r="F68" s="1214"/>
      <c r="G68" s="1214"/>
      <c r="H68" s="1214"/>
      <c r="I68" s="1214"/>
      <c r="J68" s="1213"/>
      <c r="K68" s="1203" t="s">
        <v>498</v>
      </c>
    </row>
    <row r="69" spans="1:11" ht="45" customHeight="1">
      <c r="A69" s="1204"/>
      <c r="B69" s="1204"/>
      <c r="C69" s="1204"/>
      <c r="D69" s="1204"/>
      <c r="E69" s="1212" t="s">
        <v>540</v>
      </c>
      <c r="F69" s="1213"/>
      <c r="G69" s="1212" t="s">
        <v>561</v>
      </c>
      <c r="H69" s="1213"/>
      <c r="I69" s="1212" t="s">
        <v>542</v>
      </c>
      <c r="J69" s="1213"/>
      <c r="K69" s="1204"/>
    </row>
    <row r="70" spans="1:11" ht="28.5" customHeight="1">
      <c r="A70" s="1205"/>
      <c r="B70" s="1205"/>
      <c r="C70" s="1205"/>
      <c r="D70" s="1205"/>
      <c r="E70" s="423" t="s">
        <v>768</v>
      </c>
      <c r="F70" s="423" t="s">
        <v>472</v>
      </c>
      <c r="G70" s="423" t="s">
        <v>768</v>
      </c>
      <c r="H70" s="423" t="s">
        <v>472</v>
      </c>
      <c r="I70" s="423" t="s">
        <v>768</v>
      </c>
      <c r="J70" s="423" t="s">
        <v>472</v>
      </c>
      <c r="K70" s="1205"/>
    </row>
    <row r="71" spans="1:11" ht="28.5" customHeight="1">
      <c r="A71" s="533">
        <v>1</v>
      </c>
      <c r="B71" s="534" t="s">
        <v>386</v>
      </c>
      <c r="C71" s="533" t="s">
        <v>740</v>
      </c>
      <c r="D71" s="535">
        <f>'Bang gia'!E21</f>
        <v>1554</v>
      </c>
      <c r="E71" s="539">
        <v>3.6999999999999998E-2</v>
      </c>
      <c r="F71" s="535">
        <f>D71*E71</f>
        <v>57.497999999999998</v>
      </c>
      <c r="G71" s="537">
        <v>2.1219999999999999</v>
      </c>
      <c r="H71" s="538">
        <f>D71*G71</f>
        <v>3297.5879999999997</v>
      </c>
      <c r="I71" s="539">
        <v>1.204</v>
      </c>
      <c r="J71" s="540">
        <f>D71*I71</f>
        <v>1871.0159999999998</v>
      </c>
      <c r="K71" s="541">
        <f>F71+H71+J71</f>
        <v>5226.1019999999999</v>
      </c>
    </row>
    <row r="72" spans="1:11" ht="28.5" customHeight="1">
      <c r="A72" s="542"/>
      <c r="B72" s="543" t="s">
        <v>475</v>
      </c>
      <c r="C72" s="542"/>
      <c r="D72" s="542"/>
      <c r="E72" s="542"/>
      <c r="F72" s="546">
        <f>SUM(F71:F71)</f>
        <v>57.497999999999998</v>
      </c>
      <c r="G72" s="546"/>
      <c r="H72" s="546">
        <f>SUM(H71:H71)</f>
        <v>3297.5879999999997</v>
      </c>
      <c r="I72" s="545"/>
      <c r="J72" s="546">
        <f>SUM(J71:J71)</f>
        <v>1871.0159999999998</v>
      </c>
      <c r="K72" s="546">
        <f>SUM(K71:K71)</f>
        <v>5226.1019999999999</v>
      </c>
    </row>
    <row r="74" spans="1:11">
      <c r="B74" s="554" t="s">
        <v>550</v>
      </c>
    </row>
    <row r="75" spans="1:11">
      <c r="B75" s="558" t="s">
        <v>577</v>
      </c>
    </row>
    <row r="76" spans="1:11">
      <c r="B76" s="560"/>
    </row>
    <row r="77" spans="1:11" ht="13.5" customHeight="1"/>
    <row r="78" spans="1:11" ht="28.5" customHeight="1">
      <c r="A78" s="1221" t="s">
        <v>785</v>
      </c>
      <c r="B78" s="1221"/>
      <c r="C78" s="1221"/>
      <c r="D78" s="1221"/>
      <c r="E78" s="1221"/>
      <c r="F78" s="1221"/>
      <c r="G78" s="1221"/>
      <c r="H78" s="1221"/>
      <c r="I78" s="1221"/>
      <c r="J78" s="1221"/>
      <c r="K78" s="1221"/>
    </row>
    <row r="79" spans="1:11">
      <c r="A79" s="435"/>
      <c r="B79" s="561"/>
      <c r="C79" s="555"/>
      <c r="D79" s="556"/>
      <c r="E79" s="435"/>
      <c r="F79" s="435"/>
      <c r="G79" s="561"/>
      <c r="H79" s="561"/>
      <c r="I79" s="562"/>
      <c r="J79" s="562"/>
      <c r="K79" s="449"/>
    </row>
    <row r="80" spans="1:11" ht="24.75" customHeight="1">
      <c r="A80" s="1203" t="s">
        <v>724</v>
      </c>
      <c r="B80" s="1203" t="s">
        <v>534</v>
      </c>
      <c r="C80" s="1203" t="s">
        <v>535</v>
      </c>
      <c r="D80" s="1203" t="s">
        <v>253</v>
      </c>
      <c r="E80" s="1212" t="s">
        <v>539</v>
      </c>
      <c r="F80" s="1214"/>
      <c r="G80" s="1214"/>
      <c r="H80" s="1214"/>
      <c r="I80" s="1214"/>
      <c r="J80" s="1213"/>
      <c r="K80" s="1203" t="s">
        <v>769</v>
      </c>
    </row>
    <row r="81" spans="1:15" ht="44.25" customHeight="1">
      <c r="A81" s="1204"/>
      <c r="B81" s="1204"/>
      <c r="C81" s="1204"/>
      <c r="D81" s="1204"/>
      <c r="E81" s="1212" t="s">
        <v>488</v>
      </c>
      <c r="F81" s="1213"/>
      <c r="G81" s="1212" t="s">
        <v>140</v>
      </c>
      <c r="H81" s="1213"/>
      <c r="I81" s="1212" t="s">
        <v>542</v>
      </c>
      <c r="J81" s="1213"/>
      <c r="K81" s="1204"/>
    </row>
    <row r="82" spans="1:15" ht="20.100000000000001" customHeight="1">
      <c r="A82" s="1205"/>
      <c r="B82" s="1205"/>
      <c r="C82" s="1205"/>
      <c r="D82" s="1205"/>
      <c r="E82" s="524" t="s">
        <v>770</v>
      </c>
      <c r="F82" s="524" t="s">
        <v>497</v>
      </c>
      <c r="G82" s="524" t="s">
        <v>770</v>
      </c>
      <c r="H82" s="524" t="s">
        <v>497</v>
      </c>
      <c r="I82" s="524" t="s">
        <v>770</v>
      </c>
      <c r="J82" s="524" t="s">
        <v>497</v>
      </c>
      <c r="K82" s="1205"/>
    </row>
    <row r="83" spans="1:15" ht="28.5" customHeight="1">
      <c r="A83" s="533">
        <v>1</v>
      </c>
      <c r="B83" s="534" t="s">
        <v>386</v>
      </c>
      <c r="C83" s="533" t="s">
        <v>740</v>
      </c>
      <c r="D83" s="535">
        <f>'Bang gia'!E21</f>
        <v>1554</v>
      </c>
      <c r="E83" s="539"/>
      <c r="F83" s="535"/>
      <c r="G83" s="537">
        <v>1.044</v>
      </c>
      <c r="H83" s="538">
        <f>D83*G83</f>
        <v>1622.376</v>
      </c>
      <c r="I83" s="539">
        <v>0.158</v>
      </c>
      <c r="J83" s="540">
        <f>D83*I83</f>
        <v>245.53200000000001</v>
      </c>
      <c r="K83" s="541">
        <f>F83+H83+J83</f>
        <v>1867.9079999999999</v>
      </c>
    </row>
    <row r="84" spans="1:15" ht="28.5" customHeight="1">
      <c r="A84" s="542"/>
      <c r="B84" s="543" t="s">
        <v>475</v>
      </c>
      <c r="C84" s="542"/>
      <c r="D84" s="542"/>
      <c r="E84" s="542"/>
      <c r="F84" s="544"/>
      <c r="G84" s="545"/>
      <c r="H84" s="546">
        <f>SUM(H83:H83)</f>
        <v>1622.376</v>
      </c>
      <c r="I84" s="546"/>
      <c r="J84" s="546">
        <f>SUM(J83:J83)</f>
        <v>245.53200000000001</v>
      </c>
      <c r="K84" s="546">
        <f>SUM(K83:K83)</f>
        <v>1867.9079999999999</v>
      </c>
      <c r="M84" s="527">
        <f>H84/5000</f>
        <v>0.32447520000000002</v>
      </c>
      <c r="O84" s="527">
        <f>J84/5000</f>
        <v>4.9106400000000001E-2</v>
      </c>
    </row>
    <row r="85" spans="1:15" ht="10.5" customHeight="1"/>
    <row r="86" spans="1:15">
      <c r="B86" s="554" t="s">
        <v>550</v>
      </c>
    </row>
    <row r="87" spans="1:15">
      <c r="B87" s="558" t="s">
        <v>576</v>
      </c>
    </row>
    <row r="88" spans="1:15">
      <c r="B88" s="560"/>
    </row>
    <row r="89" spans="1:15" ht="36.75" customHeight="1"/>
    <row r="90" spans="1:15" ht="27" customHeight="1">
      <c r="A90" s="1243" t="s">
        <v>675</v>
      </c>
      <c r="B90" s="1243"/>
      <c r="C90" s="1243"/>
      <c r="D90" s="1243"/>
      <c r="E90" s="1243"/>
      <c r="F90" s="1243"/>
      <c r="G90" s="1243"/>
      <c r="H90" s="1243"/>
      <c r="I90" s="1243"/>
      <c r="J90" s="1243"/>
      <c r="K90" s="1243"/>
    </row>
    <row r="91" spans="1:15" ht="8.25" customHeight="1">
      <c r="A91" s="435" t="s">
        <v>19</v>
      </c>
      <c r="B91" s="561"/>
      <c r="C91" s="555"/>
      <c r="D91" s="556"/>
      <c r="E91" s="435"/>
      <c r="F91" s="435"/>
      <c r="G91" s="561"/>
      <c r="H91" s="561"/>
      <c r="I91" s="562"/>
      <c r="J91" s="562"/>
      <c r="K91" s="449"/>
    </row>
    <row r="92" spans="1:15" ht="29.25" customHeight="1">
      <c r="A92" s="1203" t="s">
        <v>724</v>
      </c>
      <c r="B92" s="1203" t="s">
        <v>534</v>
      </c>
      <c r="C92" s="1203" t="s">
        <v>535</v>
      </c>
      <c r="D92" s="1203" t="s">
        <v>253</v>
      </c>
      <c r="E92" s="1212" t="s">
        <v>539</v>
      </c>
      <c r="F92" s="1214"/>
      <c r="G92" s="1214"/>
      <c r="H92" s="1214"/>
      <c r="I92" s="1214"/>
      <c r="J92" s="1213"/>
      <c r="K92" s="1203" t="s">
        <v>270</v>
      </c>
    </row>
    <row r="93" spans="1:15" ht="46.5" customHeight="1">
      <c r="A93" s="1204"/>
      <c r="B93" s="1204"/>
      <c r="C93" s="1204"/>
      <c r="D93" s="1204"/>
      <c r="E93" s="1212" t="s">
        <v>540</v>
      </c>
      <c r="F93" s="1213"/>
      <c r="G93" s="1212" t="s">
        <v>140</v>
      </c>
      <c r="H93" s="1213"/>
      <c r="I93" s="1212" t="s">
        <v>542</v>
      </c>
      <c r="J93" s="1213"/>
      <c r="K93" s="1204"/>
    </row>
    <row r="94" spans="1:15" ht="30" customHeight="1">
      <c r="A94" s="1205"/>
      <c r="B94" s="1205"/>
      <c r="C94" s="1205"/>
      <c r="D94" s="1205"/>
      <c r="E94" s="423" t="s">
        <v>740</v>
      </c>
      <c r="F94" s="423" t="s">
        <v>772</v>
      </c>
      <c r="G94" s="423" t="s">
        <v>740</v>
      </c>
      <c r="H94" s="423" t="s">
        <v>772</v>
      </c>
      <c r="I94" s="423" t="s">
        <v>740</v>
      </c>
      <c r="J94" s="423" t="s">
        <v>772</v>
      </c>
      <c r="K94" s="1205"/>
    </row>
    <row r="95" spans="1:15" ht="30" customHeight="1">
      <c r="A95" s="533">
        <v>1</v>
      </c>
      <c r="B95" s="534" t="s">
        <v>386</v>
      </c>
      <c r="C95" s="533" t="s">
        <v>740</v>
      </c>
      <c r="D95" s="535">
        <f>'Bang gia'!E21</f>
        <v>1554</v>
      </c>
      <c r="E95" s="537"/>
      <c r="F95" s="538"/>
      <c r="G95" s="537">
        <v>9.3770000000000007</v>
      </c>
      <c r="H95" s="538">
        <f>D95*G95</f>
        <v>14571.858</v>
      </c>
      <c r="I95" s="539"/>
      <c r="J95" s="540"/>
      <c r="K95" s="541">
        <f>F95+H95+J95</f>
        <v>14571.858</v>
      </c>
    </row>
    <row r="96" spans="1:15" ht="30" customHeight="1">
      <c r="A96" s="542"/>
      <c r="B96" s="543" t="s">
        <v>475</v>
      </c>
      <c r="C96" s="542"/>
      <c r="D96" s="542"/>
      <c r="E96" s="542"/>
      <c r="F96" s="546"/>
      <c r="G96" s="546"/>
      <c r="H96" s="546">
        <f>SUM(H95:H95)</f>
        <v>14571.858</v>
      </c>
      <c r="I96" s="545"/>
      <c r="J96" s="546"/>
      <c r="K96" s="546">
        <f>SUM(K95:K95)</f>
        <v>14571.858</v>
      </c>
      <c r="M96" s="527">
        <f>H96*1.3</f>
        <v>18943.415400000002</v>
      </c>
    </row>
    <row r="98" spans="1:14">
      <c r="B98" s="554" t="s">
        <v>550</v>
      </c>
    </row>
    <row r="99" spans="1:14">
      <c r="B99" s="558" t="s">
        <v>492</v>
      </c>
    </row>
    <row r="100" spans="1:14">
      <c r="B100" s="560"/>
    </row>
    <row r="102" spans="1:14" ht="41.25" customHeight="1">
      <c r="A102" s="1221" t="s">
        <v>94</v>
      </c>
      <c r="B102" s="1221"/>
      <c r="C102" s="1221"/>
      <c r="D102" s="1221"/>
      <c r="E102" s="1221"/>
      <c r="F102" s="1221"/>
      <c r="G102" s="1221"/>
      <c r="H102" s="1221"/>
      <c r="I102" s="1221"/>
      <c r="J102" s="1221"/>
      <c r="K102" s="1221"/>
    </row>
    <row r="103" spans="1:14">
      <c r="A103" s="435"/>
      <c r="B103" s="561"/>
      <c r="C103" s="555"/>
      <c r="D103" s="556"/>
      <c r="E103" s="435"/>
      <c r="F103" s="435"/>
      <c r="G103" s="561"/>
      <c r="H103" s="561"/>
      <c r="I103" s="562"/>
      <c r="J103" s="562"/>
      <c r="K103" s="449"/>
    </row>
    <row r="104" spans="1:14" ht="21.75" customHeight="1">
      <c r="A104" s="1203" t="s">
        <v>724</v>
      </c>
      <c r="B104" s="1203" t="s">
        <v>534</v>
      </c>
      <c r="C104" s="1203" t="s">
        <v>535</v>
      </c>
      <c r="D104" s="1203" t="s">
        <v>253</v>
      </c>
      <c r="E104" s="1212" t="s">
        <v>539</v>
      </c>
      <c r="F104" s="1214"/>
      <c r="G104" s="1214"/>
      <c r="H104" s="1214"/>
      <c r="I104" s="1214"/>
      <c r="J104" s="1213"/>
      <c r="K104" s="1203" t="s">
        <v>271</v>
      </c>
    </row>
    <row r="105" spans="1:14" ht="45" customHeight="1">
      <c r="A105" s="1204"/>
      <c r="B105" s="1204"/>
      <c r="C105" s="1204"/>
      <c r="D105" s="1204"/>
      <c r="E105" s="1212" t="s">
        <v>540</v>
      </c>
      <c r="F105" s="1213"/>
      <c r="G105" s="1212" t="s">
        <v>140</v>
      </c>
      <c r="H105" s="1213"/>
      <c r="I105" s="1212" t="s">
        <v>542</v>
      </c>
      <c r="J105" s="1213"/>
      <c r="K105" s="1204"/>
    </row>
    <row r="106" spans="1:14" ht="21.75" customHeight="1">
      <c r="A106" s="1205"/>
      <c r="B106" s="1205"/>
      <c r="C106" s="1205"/>
      <c r="D106" s="1205"/>
      <c r="E106" s="423" t="s">
        <v>740</v>
      </c>
      <c r="F106" s="423" t="s">
        <v>772</v>
      </c>
      <c r="G106" s="423" t="s">
        <v>740</v>
      </c>
      <c r="H106" s="423" t="s">
        <v>772</v>
      </c>
      <c r="I106" s="423" t="s">
        <v>740</v>
      </c>
      <c r="J106" s="423" t="s">
        <v>772</v>
      </c>
      <c r="K106" s="1205"/>
    </row>
    <row r="107" spans="1:14" ht="28.15" customHeight="1">
      <c r="A107" s="533">
        <v>1</v>
      </c>
      <c r="B107" s="534" t="s">
        <v>386</v>
      </c>
      <c r="C107" s="533" t="s">
        <v>740</v>
      </c>
      <c r="D107" s="535">
        <f>'Bang gia'!E21</f>
        <v>1554</v>
      </c>
      <c r="E107" s="539"/>
      <c r="F107" s="538"/>
      <c r="G107" s="537"/>
      <c r="H107" s="538"/>
      <c r="I107" s="539">
        <v>12.502000000000001</v>
      </c>
      <c r="J107" s="540">
        <f>D107*I107</f>
        <v>19428.108</v>
      </c>
      <c r="K107" s="541">
        <f>F107+H107+J107</f>
        <v>19428.108</v>
      </c>
    </row>
    <row r="108" spans="1:14" ht="28.15" customHeight="1">
      <c r="A108" s="542"/>
      <c r="B108" s="543" t="s">
        <v>475</v>
      </c>
      <c r="C108" s="542"/>
      <c r="D108" s="542"/>
      <c r="E108" s="542"/>
      <c r="F108" s="546"/>
      <c r="G108" s="546"/>
      <c r="H108" s="546"/>
      <c r="I108" s="545"/>
      <c r="J108" s="546">
        <f>SUM(J107:J107)</f>
        <v>19428.108</v>
      </c>
      <c r="K108" s="546">
        <f>SUM(K107:K107)</f>
        <v>19428.108</v>
      </c>
      <c r="N108" s="527">
        <f>J108*13</f>
        <v>252565.40400000001</v>
      </c>
    </row>
    <row r="109" spans="1:14" ht="13.5" customHeight="1"/>
    <row r="110" spans="1:14" ht="21.75" customHeight="1">
      <c r="B110" s="554" t="s">
        <v>550</v>
      </c>
    </row>
    <row r="111" spans="1:14" ht="18.75" customHeight="1">
      <c r="B111" s="558" t="s">
        <v>492</v>
      </c>
    </row>
    <row r="112" spans="1:14" ht="18.75" customHeight="1">
      <c r="B112" s="560"/>
    </row>
    <row r="113" spans="1:11" ht="22.5" customHeight="1"/>
    <row r="114" spans="1:11" ht="18" customHeight="1">
      <c r="A114" s="1221" t="s">
        <v>786</v>
      </c>
      <c r="B114" s="1221"/>
      <c r="C114" s="1221"/>
      <c r="D114" s="1221"/>
      <c r="E114" s="1221"/>
      <c r="F114" s="1221"/>
      <c r="G114" s="1221"/>
      <c r="H114" s="1221"/>
      <c r="I114" s="1221"/>
      <c r="J114" s="1221"/>
      <c r="K114" s="1221"/>
    </row>
    <row r="115" spans="1:11" ht="18.75" customHeight="1">
      <c r="A115" s="435"/>
      <c r="B115" s="561"/>
      <c r="C115" s="555"/>
      <c r="D115" s="556"/>
      <c r="E115" s="435"/>
      <c r="F115" s="435"/>
      <c r="G115" s="561"/>
      <c r="H115" s="561"/>
      <c r="I115" s="562"/>
      <c r="J115" s="562"/>
      <c r="K115" s="449"/>
    </row>
    <row r="116" spans="1:11" ht="23.25" customHeight="1">
      <c r="A116" s="1203" t="s">
        <v>724</v>
      </c>
      <c r="B116" s="1203" t="s">
        <v>534</v>
      </c>
      <c r="C116" s="1203" t="s">
        <v>535</v>
      </c>
      <c r="D116" s="1203" t="s">
        <v>253</v>
      </c>
      <c r="E116" s="1212" t="s">
        <v>539</v>
      </c>
      <c r="F116" s="1214"/>
      <c r="G116" s="1214"/>
      <c r="H116" s="1214"/>
      <c r="I116" s="1214"/>
      <c r="J116" s="1213"/>
      <c r="K116" s="1203" t="s">
        <v>267</v>
      </c>
    </row>
    <row r="117" spans="1:11" ht="46.5" customHeight="1">
      <c r="A117" s="1204"/>
      <c r="B117" s="1204"/>
      <c r="C117" s="1204"/>
      <c r="D117" s="1204"/>
      <c r="E117" s="1212" t="s">
        <v>540</v>
      </c>
      <c r="F117" s="1213"/>
      <c r="G117" s="1212" t="s">
        <v>561</v>
      </c>
      <c r="H117" s="1213"/>
      <c r="I117" s="1212" t="s">
        <v>542</v>
      </c>
      <c r="J117" s="1213"/>
      <c r="K117" s="1204"/>
    </row>
    <row r="118" spans="1:11" ht="26.25" customHeight="1">
      <c r="A118" s="1205"/>
      <c r="B118" s="1205"/>
      <c r="C118" s="1205"/>
      <c r="D118" s="1205"/>
      <c r="E118" s="423" t="s">
        <v>771</v>
      </c>
      <c r="F118" s="423" t="s">
        <v>772</v>
      </c>
      <c r="G118" s="423" t="s">
        <v>771</v>
      </c>
      <c r="H118" s="423" t="s">
        <v>772</v>
      </c>
      <c r="I118" s="423" t="s">
        <v>771</v>
      </c>
      <c r="J118" s="423" t="s">
        <v>772</v>
      </c>
      <c r="K118" s="1205"/>
    </row>
    <row r="119" spans="1:11" ht="29.45" customHeight="1">
      <c r="A119" s="533">
        <v>1</v>
      </c>
      <c r="B119" s="534" t="s">
        <v>386</v>
      </c>
      <c r="C119" s="533" t="s">
        <v>740</v>
      </c>
      <c r="D119" s="535">
        <f>'Bang gia'!E21</f>
        <v>1554</v>
      </c>
      <c r="E119" s="539">
        <v>0.189</v>
      </c>
      <c r="F119" s="538">
        <f>D119*E119</f>
        <v>293.70600000000002</v>
      </c>
      <c r="G119" s="537">
        <v>8.1389999999999993</v>
      </c>
      <c r="H119" s="538">
        <f>D119*G119</f>
        <v>12648.005999999999</v>
      </c>
      <c r="I119" s="564"/>
      <c r="J119" s="540"/>
      <c r="K119" s="541">
        <f>F119+H119+J119</f>
        <v>12941.712</v>
      </c>
    </row>
    <row r="120" spans="1:11" ht="29.45" customHeight="1">
      <c r="A120" s="542"/>
      <c r="B120" s="543" t="s">
        <v>475</v>
      </c>
      <c r="C120" s="542"/>
      <c r="D120" s="542"/>
      <c r="E120" s="542"/>
      <c r="F120" s="546">
        <f>SUM(F119:F119)</f>
        <v>293.70600000000002</v>
      </c>
      <c r="G120" s="546"/>
      <c r="H120" s="546">
        <f>SUM(H119:H119)</f>
        <v>12648.005999999999</v>
      </c>
      <c r="I120" s="545"/>
      <c r="J120" s="546"/>
      <c r="K120" s="546">
        <f>SUM(K119:K119)</f>
        <v>12941.712</v>
      </c>
    </row>
    <row r="122" spans="1:11">
      <c r="B122" s="554" t="s">
        <v>550</v>
      </c>
    </row>
    <row r="123" spans="1:11">
      <c r="B123" s="558" t="s">
        <v>493</v>
      </c>
      <c r="C123" s="558"/>
      <c r="D123" s="558"/>
      <c r="E123" s="449"/>
      <c r="F123" s="559"/>
      <c r="G123" s="449"/>
      <c r="H123" s="556"/>
      <c r="I123" s="556"/>
      <c r="J123" s="557"/>
      <c r="K123" s="557"/>
    </row>
    <row r="124" spans="1:11">
      <c r="B124" s="560"/>
      <c r="C124" s="560"/>
      <c r="D124" s="560"/>
      <c r="E124" s="449"/>
      <c r="F124" s="559"/>
      <c r="G124" s="449"/>
      <c r="H124" s="556"/>
      <c r="I124" s="556"/>
      <c r="J124" s="557"/>
      <c r="K124" s="557"/>
    </row>
    <row r="125" spans="1:11" ht="30" customHeight="1">
      <c r="B125" s="1098"/>
      <c r="C125" s="1098"/>
      <c r="D125" s="1098"/>
      <c r="E125" s="1098"/>
      <c r="F125" s="1098"/>
      <c r="G125" s="1098"/>
      <c r="H125" s="1098"/>
      <c r="I125" s="1098"/>
      <c r="J125" s="1098"/>
      <c r="K125" s="1098"/>
    </row>
    <row r="126" spans="1:11">
      <c r="B126" s="565"/>
      <c r="C126" s="565"/>
      <c r="D126" s="565"/>
      <c r="E126" s="565"/>
      <c r="F126" s="565"/>
      <c r="G126" s="565"/>
      <c r="H126" s="565"/>
      <c r="I126" s="565"/>
      <c r="J126" s="565"/>
      <c r="K126" s="565"/>
    </row>
    <row r="127" spans="1:11" ht="28.9" customHeight="1">
      <c r="A127" s="1221" t="s">
        <v>787</v>
      </c>
      <c r="B127" s="1221"/>
      <c r="C127" s="1221"/>
      <c r="D127" s="1221"/>
      <c r="E127" s="1221"/>
      <c r="F127" s="1221"/>
      <c r="G127" s="1221"/>
      <c r="H127" s="1221"/>
      <c r="I127" s="1221"/>
      <c r="J127" s="1221"/>
      <c r="K127" s="1221"/>
    </row>
    <row r="128" spans="1:11" ht="9.75" customHeight="1">
      <c r="A128" s="435"/>
      <c r="B128" s="561"/>
      <c r="C128" s="555"/>
      <c r="D128" s="556"/>
      <c r="E128" s="435"/>
      <c r="F128" s="435"/>
      <c r="G128" s="561"/>
      <c r="H128" s="561"/>
      <c r="I128" s="562"/>
      <c r="J128" s="562"/>
      <c r="K128" s="449"/>
    </row>
    <row r="129" spans="1:11" ht="24" customHeight="1">
      <c r="A129" s="1203" t="s">
        <v>724</v>
      </c>
      <c r="B129" s="1203" t="s">
        <v>534</v>
      </c>
      <c r="C129" s="1203" t="s">
        <v>535</v>
      </c>
      <c r="D129" s="1203" t="s">
        <v>253</v>
      </c>
      <c r="E129" s="1212" t="s">
        <v>539</v>
      </c>
      <c r="F129" s="1214"/>
      <c r="G129" s="1214"/>
      <c r="H129" s="1214"/>
      <c r="I129" s="1214"/>
      <c r="J129" s="1213"/>
      <c r="K129" s="1203" t="s">
        <v>249</v>
      </c>
    </row>
    <row r="130" spans="1:11" ht="34.9" customHeight="1">
      <c r="A130" s="1204"/>
      <c r="B130" s="1204"/>
      <c r="C130" s="1204"/>
      <c r="D130" s="1204"/>
      <c r="E130" s="1212" t="s">
        <v>540</v>
      </c>
      <c r="F130" s="1213"/>
      <c r="G130" s="1212" t="s">
        <v>140</v>
      </c>
      <c r="H130" s="1213"/>
      <c r="I130" s="1212" t="s">
        <v>542</v>
      </c>
      <c r="J130" s="1213"/>
      <c r="K130" s="1204"/>
    </row>
    <row r="131" spans="1:11" ht="27" customHeight="1">
      <c r="A131" s="1205"/>
      <c r="B131" s="1205"/>
      <c r="C131" s="1205"/>
      <c r="D131" s="1205"/>
      <c r="E131" s="423" t="s">
        <v>740</v>
      </c>
      <c r="F131" s="423" t="s">
        <v>772</v>
      </c>
      <c r="G131" s="423" t="s">
        <v>740</v>
      </c>
      <c r="H131" s="423" t="s">
        <v>772</v>
      </c>
      <c r="I131" s="423" t="s">
        <v>740</v>
      </c>
      <c r="J131" s="423" t="s">
        <v>772</v>
      </c>
      <c r="K131" s="1205"/>
    </row>
    <row r="132" spans="1:11" ht="22.9" customHeight="1">
      <c r="A132" s="533">
        <v>1</v>
      </c>
      <c r="B132" s="534" t="s">
        <v>386</v>
      </c>
      <c r="C132" s="533" t="s">
        <v>740</v>
      </c>
      <c r="D132" s="535">
        <f>'Bang gia'!E21</f>
        <v>1554</v>
      </c>
      <c r="E132" s="566">
        <v>8.8999999999999996E-2</v>
      </c>
      <c r="F132" s="538">
        <f>D132*E132</f>
        <v>138.30599999999998</v>
      </c>
      <c r="G132" s="537">
        <v>8.25</v>
      </c>
      <c r="H132" s="538">
        <f>D132*G132</f>
        <v>12820.5</v>
      </c>
      <c r="I132" s="539"/>
      <c r="J132" s="540"/>
      <c r="K132" s="541">
        <f>F132+H132+J132</f>
        <v>12958.806</v>
      </c>
    </row>
    <row r="133" spans="1:11" ht="22.9" customHeight="1">
      <c r="A133" s="542"/>
      <c r="B133" s="543" t="s">
        <v>475</v>
      </c>
      <c r="C133" s="542"/>
      <c r="D133" s="542"/>
      <c r="E133" s="542"/>
      <c r="F133" s="546">
        <f>SUM(F132:F132)</f>
        <v>138.30599999999998</v>
      </c>
      <c r="G133" s="546"/>
      <c r="H133" s="546">
        <f>SUM(H132:H132)</f>
        <v>12820.5</v>
      </c>
      <c r="I133" s="545"/>
      <c r="J133" s="546"/>
      <c r="K133" s="546">
        <f>SUM(K132:K132)</f>
        <v>12958.806</v>
      </c>
    </row>
    <row r="134" spans="1:11" ht="19.5" customHeight="1">
      <c r="B134" s="554" t="s">
        <v>234</v>
      </c>
    </row>
    <row r="135" spans="1:11" ht="19.5" customHeight="1">
      <c r="B135" s="560"/>
    </row>
    <row r="136" spans="1:11" ht="22.5" customHeight="1">
      <c r="A136" s="1221" t="s">
        <v>788</v>
      </c>
      <c r="B136" s="1221"/>
      <c r="C136" s="1221"/>
      <c r="D136" s="1221"/>
      <c r="E136" s="1221"/>
      <c r="F136" s="1221"/>
      <c r="G136" s="1221"/>
      <c r="H136" s="1221"/>
      <c r="I136" s="1221"/>
      <c r="J136" s="1221"/>
      <c r="K136" s="1221"/>
    </row>
    <row r="137" spans="1:11" ht="11.25" customHeight="1">
      <c r="B137" s="561"/>
      <c r="C137" s="555"/>
      <c r="D137" s="556"/>
      <c r="E137" s="435"/>
      <c r="F137" s="435"/>
      <c r="G137" s="561"/>
      <c r="H137" s="561"/>
      <c r="I137" s="562"/>
      <c r="J137" s="562"/>
      <c r="K137" s="449"/>
    </row>
    <row r="138" spans="1:11" ht="26.25" customHeight="1">
      <c r="A138" s="1203" t="s">
        <v>724</v>
      </c>
      <c r="B138" s="1203" t="s">
        <v>534</v>
      </c>
      <c r="C138" s="1203" t="s">
        <v>535</v>
      </c>
      <c r="D138" s="1203" t="s">
        <v>253</v>
      </c>
      <c r="E138" s="1212" t="s">
        <v>539</v>
      </c>
      <c r="F138" s="1214"/>
      <c r="G138" s="1214"/>
      <c r="H138" s="1214"/>
      <c r="I138" s="1214"/>
      <c r="J138" s="1213"/>
      <c r="K138" s="1203" t="s">
        <v>271</v>
      </c>
    </row>
    <row r="139" spans="1:11" ht="35.450000000000003" customHeight="1">
      <c r="A139" s="1204"/>
      <c r="B139" s="1204"/>
      <c r="C139" s="1204"/>
      <c r="D139" s="1204"/>
      <c r="E139" s="1212" t="s">
        <v>540</v>
      </c>
      <c r="F139" s="1213"/>
      <c r="G139" s="1212" t="s">
        <v>485</v>
      </c>
      <c r="H139" s="1213"/>
      <c r="I139" s="1212" t="s">
        <v>542</v>
      </c>
      <c r="J139" s="1213"/>
      <c r="K139" s="1204"/>
    </row>
    <row r="140" spans="1:11" ht="23.45" customHeight="1">
      <c r="A140" s="1205"/>
      <c r="B140" s="1205"/>
      <c r="C140" s="1205"/>
      <c r="D140" s="1205"/>
      <c r="E140" s="423" t="s">
        <v>740</v>
      </c>
      <c r="F140" s="423" t="s">
        <v>772</v>
      </c>
      <c r="G140" s="423" t="s">
        <v>740</v>
      </c>
      <c r="H140" s="423" t="s">
        <v>772</v>
      </c>
      <c r="I140" s="423" t="s">
        <v>740</v>
      </c>
      <c r="J140" s="423" t="s">
        <v>772</v>
      </c>
      <c r="K140" s="1205"/>
    </row>
    <row r="141" spans="1:11" ht="30" customHeight="1">
      <c r="A141" s="533">
        <v>1</v>
      </c>
      <c r="B141" s="534" t="s">
        <v>386</v>
      </c>
      <c r="C141" s="533" t="s">
        <v>740</v>
      </c>
      <c r="D141" s="535">
        <f>'Bang gia'!E21</f>
        <v>1554</v>
      </c>
      <c r="E141" s="539"/>
      <c r="F141" s="538"/>
      <c r="G141" s="537"/>
      <c r="H141" s="538"/>
      <c r="I141" s="539">
        <v>11.997</v>
      </c>
      <c r="J141" s="540">
        <f>D141*I141</f>
        <v>18643.338</v>
      </c>
      <c r="K141" s="541">
        <f>F141+H141+J141</f>
        <v>18643.338</v>
      </c>
    </row>
    <row r="142" spans="1:11" ht="30" customHeight="1">
      <c r="A142" s="542"/>
      <c r="B142" s="543" t="s">
        <v>475</v>
      </c>
      <c r="C142" s="542"/>
      <c r="D142" s="542"/>
      <c r="E142" s="542"/>
      <c r="F142" s="546"/>
      <c r="G142" s="546"/>
      <c r="H142" s="546"/>
      <c r="I142" s="545"/>
      <c r="J142" s="546">
        <f>SUM(J141:J141)</f>
        <v>18643.338</v>
      </c>
      <c r="K142" s="546">
        <f>SUM(K141:K141)</f>
        <v>18643.338</v>
      </c>
    </row>
    <row r="143" spans="1:11" ht="22.15" customHeight="1">
      <c r="B143" s="554" t="s">
        <v>494</v>
      </c>
    </row>
    <row r="145" spans="1:11" ht="27.75" customHeight="1">
      <c r="A145" s="1221" t="s">
        <v>789</v>
      </c>
      <c r="B145" s="1221"/>
      <c r="C145" s="1221"/>
      <c r="D145" s="1221"/>
      <c r="E145" s="1221"/>
      <c r="F145" s="1221"/>
    </row>
    <row r="146" spans="1:11">
      <c r="A146" s="529"/>
      <c r="B146" s="529"/>
      <c r="C146" s="529"/>
      <c r="D146" s="530"/>
      <c r="E146" s="530"/>
      <c r="F146" s="567"/>
    </row>
    <row r="147" spans="1:11" ht="39" customHeight="1">
      <c r="A147" s="568" t="s">
        <v>724</v>
      </c>
      <c r="B147" s="568" t="s">
        <v>534</v>
      </c>
      <c r="C147" s="568" t="s">
        <v>535</v>
      </c>
      <c r="D147" s="568" t="s">
        <v>252</v>
      </c>
      <c r="E147" s="568" t="s">
        <v>250</v>
      </c>
      <c r="F147" s="568" t="s">
        <v>251</v>
      </c>
      <c r="G147" s="1239" t="s">
        <v>983</v>
      </c>
      <c r="H147" s="1240"/>
      <c r="I147" s="1240"/>
      <c r="J147" s="1240"/>
      <c r="K147" s="1241"/>
    </row>
    <row r="148" spans="1:11" ht="30" customHeight="1">
      <c r="A148" s="569"/>
      <c r="B148" s="570" t="s">
        <v>386</v>
      </c>
      <c r="C148" s="569" t="s">
        <v>740</v>
      </c>
      <c r="D148" s="571">
        <f>'Bang gia'!E21</f>
        <v>1554</v>
      </c>
      <c r="E148" s="572">
        <v>2.032</v>
      </c>
      <c r="F148" s="571">
        <f>D148*E148</f>
        <v>3157.7280000000001</v>
      </c>
      <c r="G148" s="573"/>
      <c r="H148" s="574"/>
      <c r="I148" s="574"/>
      <c r="J148" s="574"/>
      <c r="K148" s="575"/>
    </row>
    <row r="149" spans="1:11" ht="30" customHeight="1">
      <c r="A149" s="545"/>
      <c r="B149" s="543" t="s">
        <v>475</v>
      </c>
      <c r="C149" s="545"/>
      <c r="D149" s="545"/>
      <c r="E149" s="576"/>
      <c r="F149" s="577">
        <f>SUM(F148:F148)</f>
        <v>3157.7280000000001</v>
      </c>
      <c r="G149" s="573"/>
      <c r="H149" s="574"/>
      <c r="I149" s="574"/>
      <c r="J149" s="574"/>
      <c r="K149" s="575"/>
    </row>
  </sheetData>
  <mergeCells count="127">
    <mergeCell ref="K56:K58"/>
    <mergeCell ref="E57:F57"/>
    <mergeCell ref="A68:A70"/>
    <mergeCell ref="A56:A58"/>
    <mergeCell ref="K68:K70"/>
    <mergeCell ref="I69:J69"/>
    <mergeCell ref="E56:J56"/>
    <mergeCell ref="I57:J57"/>
    <mergeCell ref="E68:J68"/>
    <mergeCell ref="E69:F69"/>
    <mergeCell ref="G69:H69"/>
    <mergeCell ref="I32:J32"/>
    <mergeCell ref="G44:H44"/>
    <mergeCell ref="E44:F44"/>
    <mergeCell ref="E32:F32"/>
    <mergeCell ref="A80:A82"/>
    <mergeCell ref="B80:B82"/>
    <mergeCell ref="C80:C82"/>
    <mergeCell ref="B68:B70"/>
    <mergeCell ref="C68:C70"/>
    <mergeCell ref="A43:A45"/>
    <mergeCell ref="K31:K33"/>
    <mergeCell ref="A29:K29"/>
    <mergeCell ref="A31:A33"/>
    <mergeCell ref="A145:F145"/>
    <mergeCell ref="A19:A21"/>
    <mergeCell ref="B19:B21"/>
    <mergeCell ref="A136:K136"/>
    <mergeCell ref="A66:K66"/>
    <mergeCell ref="E43:J43"/>
    <mergeCell ref="G57:H57"/>
    <mergeCell ref="A41:K41"/>
    <mergeCell ref="D19:D21"/>
    <mergeCell ref="D31:D33"/>
    <mergeCell ref="G81:H81"/>
    <mergeCell ref="C43:C45"/>
    <mergeCell ref="C56:C58"/>
    <mergeCell ref="D68:D70"/>
    <mergeCell ref="G32:H32"/>
    <mergeCell ref="K19:K21"/>
    <mergeCell ref="B43:B45"/>
    <mergeCell ref="K43:K45"/>
    <mergeCell ref="K92:K94"/>
    <mergeCell ref="A92:A94"/>
    <mergeCell ref="E93:F93"/>
    <mergeCell ref="G93:H93"/>
    <mergeCell ref="A78:K78"/>
    <mergeCell ref="A90:K90"/>
    <mergeCell ref="D56:D58"/>
    <mergeCell ref="D43:D45"/>
    <mergeCell ref="B56:B58"/>
    <mergeCell ref="B116:B118"/>
    <mergeCell ref="A116:A118"/>
    <mergeCell ref="I20:J20"/>
    <mergeCell ref="B92:B94"/>
    <mergeCell ref="E20:F20"/>
    <mergeCell ref="B28:K28"/>
    <mergeCell ref="I93:J93"/>
    <mergeCell ref="E81:F81"/>
    <mergeCell ref="E92:J92"/>
    <mergeCell ref="E104:J104"/>
    <mergeCell ref="B31:B33"/>
    <mergeCell ref="D104:D106"/>
    <mergeCell ref="G20:H20"/>
    <mergeCell ref="A102:K102"/>
    <mergeCell ref="A17:K17"/>
    <mergeCell ref="B15:K15"/>
    <mergeCell ref="C19:C21"/>
    <mergeCell ref="C31:C33"/>
    <mergeCell ref="A54:K54"/>
    <mergeCell ref="E19:J19"/>
    <mergeCell ref="K129:K131"/>
    <mergeCell ref="E130:F130"/>
    <mergeCell ref="I130:J130"/>
    <mergeCell ref="A127:K127"/>
    <mergeCell ref="C129:C131"/>
    <mergeCell ref="G130:H130"/>
    <mergeCell ref="G6:H6"/>
    <mergeCell ref="E31:J31"/>
    <mergeCell ref="K116:K118"/>
    <mergeCell ref="A104:A106"/>
    <mergeCell ref="C104:C106"/>
    <mergeCell ref="I44:J44"/>
    <mergeCell ref="K104:K106"/>
    <mergeCell ref="E105:F105"/>
    <mergeCell ref="E117:F117"/>
    <mergeCell ref="B14:K14"/>
    <mergeCell ref="A1:K1"/>
    <mergeCell ref="K5:K7"/>
    <mergeCell ref="A5:A7"/>
    <mergeCell ref="B5:B7"/>
    <mergeCell ref="C5:C7"/>
    <mergeCell ref="A3:K3"/>
    <mergeCell ref="D5:D7"/>
    <mergeCell ref="I6:J6"/>
    <mergeCell ref="E5:J5"/>
    <mergeCell ref="E6:F6"/>
    <mergeCell ref="A138:A140"/>
    <mergeCell ref="K80:K82"/>
    <mergeCell ref="C92:C94"/>
    <mergeCell ref="D92:D94"/>
    <mergeCell ref="D80:D82"/>
    <mergeCell ref="E80:J80"/>
    <mergeCell ref="I81:J81"/>
    <mergeCell ref="D116:D118"/>
    <mergeCell ref="E138:J138"/>
    <mergeCell ref="B125:K125"/>
    <mergeCell ref="C138:C140"/>
    <mergeCell ref="B104:B106"/>
    <mergeCell ref="A114:K114"/>
    <mergeCell ref="I105:J105"/>
    <mergeCell ref="B129:B131"/>
    <mergeCell ref="I117:J117"/>
    <mergeCell ref="C116:C118"/>
    <mergeCell ref="G105:H105"/>
    <mergeCell ref="E116:J116"/>
    <mergeCell ref="G117:H117"/>
    <mergeCell ref="D138:D140"/>
    <mergeCell ref="K138:K140"/>
    <mergeCell ref="G147:K147"/>
    <mergeCell ref="A129:A131"/>
    <mergeCell ref="G139:H139"/>
    <mergeCell ref="I139:J139"/>
    <mergeCell ref="D129:D131"/>
    <mergeCell ref="E129:J129"/>
    <mergeCell ref="E139:F139"/>
    <mergeCell ref="B138:B140"/>
  </mergeCells>
  <phoneticPr fontId="5" type="noConversion"/>
  <printOptions horizontalCentered="1"/>
  <pageMargins left="0.99803149599999996" right="0.99803149599999996" top="0.59055118110236204" bottom="0.78740157480314998" header="0.31496062992126" footer="0.39370078740157499"/>
  <pageSetup paperSize="9" scale="90" firstPageNumber="171" orientation="landscape" useFirstPageNumber="1"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4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M54"/>
  <sheetViews>
    <sheetView workbookViewId="0">
      <selection activeCell="I12" sqref="I12"/>
    </sheetView>
  </sheetViews>
  <sheetFormatPr defaultRowHeight="16.5"/>
  <cols>
    <col min="1" max="1" width="6.21875" style="15" customWidth="1"/>
    <col min="2" max="2" width="19.44140625" style="15" customWidth="1"/>
    <col min="3" max="3" width="7.21875" style="15" customWidth="1"/>
    <col min="4" max="4" width="11.33203125" style="15" customWidth="1"/>
    <col min="5" max="6" width="9.44140625" style="15" customWidth="1"/>
    <col min="7" max="7" width="9.77734375" style="15" customWidth="1"/>
    <col min="8" max="8" width="9.21875" style="15" customWidth="1"/>
    <col min="9" max="9" width="10.6640625" style="15" customWidth="1"/>
    <col min="10" max="11" width="10" style="15" customWidth="1"/>
    <col min="12" max="16384" width="8.88671875" style="15"/>
  </cols>
  <sheetData>
    <row r="1" spans="1:11" ht="20.45" customHeight="1">
      <c r="A1" s="1048" t="s">
        <v>243</v>
      </c>
      <c r="B1" s="1048"/>
      <c r="C1" s="1048"/>
      <c r="D1" s="1048"/>
      <c r="E1" s="1048"/>
      <c r="F1" s="1048"/>
      <c r="G1" s="1048"/>
      <c r="H1" s="1048"/>
      <c r="I1" s="1048"/>
      <c r="J1" s="1048"/>
      <c r="K1" s="1048"/>
    </row>
    <row r="2" spans="1:11" ht="21" customHeight="1">
      <c r="A2" s="1047" t="s">
        <v>244</v>
      </c>
      <c r="B2" s="1047"/>
      <c r="C2" s="1047"/>
      <c r="D2" s="1047"/>
      <c r="E2" s="1047"/>
      <c r="F2" s="1047"/>
      <c r="G2" s="1047"/>
      <c r="H2" s="1047"/>
      <c r="I2" s="1047"/>
      <c r="J2" s="1047"/>
      <c r="K2" s="1047"/>
    </row>
    <row r="3" spans="1:11">
      <c r="A3" s="1011"/>
      <c r="B3" s="1011"/>
      <c r="C3" s="1012"/>
      <c r="D3" s="1012"/>
      <c r="E3" s="1012"/>
      <c r="F3" s="1012"/>
      <c r="G3" s="1012"/>
      <c r="H3" s="1012"/>
      <c r="I3" s="1013" t="s">
        <v>38</v>
      </c>
      <c r="J3" s="1014">
        <f>'He so chung'!D4</f>
        <v>1390000</v>
      </c>
      <c r="K3" s="1015" t="s">
        <v>996</v>
      </c>
    </row>
    <row r="4" spans="1:11" ht="7.5" customHeight="1">
      <c r="A4" s="1011"/>
      <c r="B4" s="1011"/>
      <c r="C4" s="1012"/>
      <c r="D4" s="1012"/>
      <c r="E4" s="1012"/>
      <c r="F4" s="1012"/>
      <c r="G4" s="1012"/>
      <c r="H4" s="1012"/>
      <c r="I4" s="1016"/>
      <c r="J4" s="1016"/>
      <c r="K4" s="1012"/>
    </row>
    <row r="5" spans="1:11" ht="47.25" customHeight="1">
      <c r="A5" s="1017" t="s">
        <v>997</v>
      </c>
      <c r="B5" s="1017" t="s">
        <v>998</v>
      </c>
      <c r="C5" s="1017" t="s">
        <v>999</v>
      </c>
      <c r="D5" s="1017" t="s">
        <v>759</v>
      </c>
      <c r="E5" s="1017" t="s">
        <v>760</v>
      </c>
      <c r="F5" s="1017" t="s">
        <v>761</v>
      </c>
      <c r="G5" s="1017" t="s">
        <v>762</v>
      </c>
      <c r="H5" s="1017" t="s">
        <v>763</v>
      </c>
      <c r="I5" s="1010" t="s">
        <v>259</v>
      </c>
      <c r="J5" s="1017" t="s">
        <v>764</v>
      </c>
      <c r="K5" s="1017" t="s">
        <v>765</v>
      </c>
    </row>
    <row r="6" spans="1:11" ht="16.350000000000001" customHeight="1">
      <c r="A6" s="1018" t="s">
        <v>1000</v>
      </c>
      <c r="B6" s="1019" t="s">
        <v>1001</v>
      </c>
      <c r="C6" s="1018"/>
      <c r="D6" s="1018"/>
      <c r="E6" s="1018"/>
      <c r="F6" s="1018"/>
      <c r="G6" s="1018"/>
      <c r="H6" s="1018"/>
      <c r="I6" s="1018"/>
      <c r="J6" s="1018"/>
      <c r="K6" s="1018"/>
    </row>
    <row r="7" spans="1:11" ht="16.350000000000001" customHeight="1">
      <c r="A7" s="1020">
        <v>1</v>
      </c>
      <c r="B7" s="1021" t="s">
        <v>1002</v>
      </c>
      <c r="C7" s="1022"/>
      <c r="D7" s="1023"/>
      <c r="E7" s="1023"/>
      <c r="F7" s="1023"/>
      <c r="G7" s="1023"/>
      <c r="H7" s="1023"/>
      <c r="I7" s="1023"/>
      <c r="J7" s="1023"/>
      <c r="K7" s="1023"/>
    </row>
    <row r="8" spans="1:11" ht="16.350000000000001" customHeight="1">
      <c r="A8" s="1024"/>
      <c r="B8" s="1025" t="s">
        <v>727</v>
      </c>
      <c r="C8" s="1025" t="s">
        <v>732</v>
      </c>
      <c r="D8" s="251" t="e">
        <f>$J$3*C8</f>
        <v>#VALUE!</v>
      </c>
      <c r="E8" s="251" t="e">
        <f>D8*'He so chung'!$D$5/100</f>
        <v>#VALUE!</v>
      </c>
      <c r="F8" s="251">
        <f>$J$3*'He so chung'!$D$6</f>
        <v>556000</v>
      </c>
      <c r="G8" s="251">
        <f>$J$3*'He so chung'!$D$7/5</f>
        <v>55600</v>
      </c>
      <c r="H8" s="251">
        <v>0</v>
      </c>
      <c r="I8" s="251" t="e">
        <f>D8*'He so chung'!$D$9/100</f>
        <v>#VALUE!</v>
      </c>
      <c r="J8" s="251" t="e">
        <f>D8+E8+F8+G8+H8+I8</f>
        <v>#VALUE!</v>
      </c>
      <c r="K8" s="1026" t="e">
        <f>J8/'He so chung'!$D$10</f>
        <v>#VALUE!</v>
      </c>
    </row>
    <row r="9" spans="1:11" ht="16.350000000000001" customHeight="1">
      <c r="A9" s="1024"/>
      <c r="B9" s="1025" t="s">
        <v>728</v>
      </c>
      <c r="C9" s="1025" t="s">
        <v>436</v>
      </c>
      <c r="D9" s="251" t="e">
        <f t="shared" ref="D9:D15" si="0">$J$3*C9</f>
        <v>#VALUE!</v>
      </c>
      <c r="E9" s="251" t="e">
        <f>D9*'He so chung'!$D$5/100</f>
        <v>#VALUE!</v>
      </c>
      <c r="F9" s="251">
        <f>$J$3*'He so chung'!$D$6</f>
        <v>556000</v>
      </c>
      <c r="G9" s="251">
        <f>$J$3*'He so chung'!$D$7/5</f>
        <v>55600</v>
      </c>
      <c r="H9" s="251">
        <v>0</v>
      </c>
      <c r="I9" s="251" t="e">
        <f>D9*'He so chung'!$D$9/100</f>
        <v>#VALUE!</v>
      </c>
      <c r="J9" s="251" t="e">
        <f t="shared" ref="J9:J15" si="1">D9+E9+F9+G9+H9+I9</f>
        <v>#VALUE!</v>
      </c>
      <c r="K9" s="1026" t="e">
        <f>J9/'He so chung'!$D$10</f>
        <v>#VALUE!</v>
      </c>
    </row>
    <row r="10" spans="1:11" ht="16.350000000000001" customHeight="1">
      <c r="A10" s="1024"/>
      <c r="B10" s="1025" t="s">
        <v>729</v>
      </c>
      <c r="C10" s="1025" t="s">
        <v>437</v>
      </c>
      <c r="D10" s="251" t="e">
        <f t="shared" si="0"/>
        <v>#VALUE!</v>
      </c>
      <c r="E10" s="251" t="e">
        <f>D10*'He so chung'!$D$5/100</f>
        <v>#VALUE!</v>
      </c>
      <c r="F10" s="251">
        <f>$J$3*'He so chung'!$D$6</f>
        <v>556000</v>
      </c>
      <c r="G10" s="251">
        <f>$J$3*'He so chung'!$D$7/5</f>
        <v>55600</v>
      </c>
      <c r="H10" s="251">
        <v>0</v>
      </c>
      <c r="I10" s="251" t="e">
        <f>D10*'He so chung'!$D$9/100</f>
        <v>#VALUE!</v>
      </c>
      <c r="J10" s="251" t="e">
        <f t="shared" si="1"/>
        <v>#VALUE!</v>
      </c>
      <c r="K10" s="1026" t="e">
        <f>J10/'He so chung'!$D$10</f>
        <v>#VALUE!</v>
      </c>
    </row>
    <row r="11" spans="1:11" ht="16.350000000000001" customHeight="1">
      <c r="A11" s="1024"/>
      <c r="B11" s="1025" t="s">
        <v>730</v>
      </c>
      <c r="C11" s="1025" t="s">
        <v>438</v>
      </c>
      <c r="D11" s="251" t="e">
        <f t="shared" si="0"/>
        <v>#VALUE!</v>
      </c>
      <c r="E11" s="251" t="e">
        <f>D11*'He so chung'!$D$5/100</f>
        <v>#VALUE!</v>
      </c>
      <c r="F11" s="251">
        <f>$J$3*'He so chung'!$D$6</f>
        <v>556000</v>
      </c>
      <c r="G11" s="251">
        <f>$J$3*'He so chung'!$D$7/5</f>
        <v>55600</v>
      </c>
      <c r="H11" s="251">
        <v>0</v>
      </c>
      <c r="I11" s="251" t="e">
        <f>D11*'He so chung'!$D$9/100</f>
        <v>#VALUE!</v>
      </c>
      <c r="J11" s="251" t="e">
        <f t="shared" si="1"/>
        <v>#VALUE!</v>
      </c>
      <c r="K11" s="1026" t="e">
        <f>J11/'He so chung'!$D$10</f>
        <v>#VALUE!</v>
      </c>
    </row>
    <row r="12" spans="1:11" ht="16.350000000000001" customHeight="1">
      <c r="A12" s="1024"/>
      <c r="B12" s="1025" t="s">
        <v>731</v>
      </c>
      <c r="C12" s="1025" t="s">
        <v>439</v>
      </c>
      <c r="D12" s="251" t="e">
        <f t="shared" si="0"/>
        <v>#VALUE!</v>
      </c>
      <c r="E12" s="251" t="e">
        <f>D12*'He so chung'!$D$5/100</f>
        <v>#VALUE!</v>
      </c>
      <c r="F12" s="251">
        <f>$J$3*'He so chung'!$D$6</f>
        <v>556000</v>
      </c>
      <c r="G12" s="251">
        <f>$J$3*'He so chung'!$D$7/5</f>
        <v>55600</v>
      </c>
      <c r="H12" s="251">
        <v>0</v>
      </c>
      <c r="I12" s="251" t="e">
        <f>D12*'He so chung'!$D$9/100</f>
        <v>#VALUE!</v>
      </c>
      <c r="J12" s="251" t="e">
        <f t="shared" si="1"/>
        <v>#VALUE!</v>
      </c>
      <c r="K12" s="1026" t="e">
        <f>J12/'He so chung'!$D$10</f>
        <v>#VALUE!</v>
      </c>
    </row>
    <row r="13" spans="1:11" ht="16.350000000000001" customHeight="1">
      <c r="A13" s="1024"/>
      <c r="B13" s="1025" t="s">
        <v>188</v>
      </c>
      <c r="C13" s="1025" t="s">
        <v>440</v>
      </c>
      <c r="D13" s="251" t="e">
        <f t="shared" si="0"/>
        <v>#VALUE!</v>
      </c>
      <c r="E13" s="251" t="e">
        <f>D13*'He so chung'!$D$5/100</f>
        <v>#VALUE!</v>
      </c>
      <c r="F13" s="251">
        <f>$J$3*'He so chung'!$D$6</f>
        <v>556000</v>
      </c>
      <c r="G13" s="251">
        <f>$J$3*'He so chung'!$D$7/5</f>
        <v>55600</v>
      </c>
      <c r="H13" s="251">
        <v>0</v>
      </c>
      <c r="I13" s="251" t="e">
        <f>D13*'He so chung'!$D$9/100</f>
        <v>#VALUE!</v>
      </c>
      <c r="J13" s="251" t="e">
        <f t="shared" si="1"/>
        <v>#VALUE!</v>
      </c>
      <c r="K13" s="1026" t="e">
        <f>J13/'He so chung'!$D$10</f>
        <v>#VALUE!</v>
      </c>
    </row>
    <row r="14" spans="1:11" ht="16.350000000000001" customHeight="1">
      <c r="A14" s="1024"/>
      <c r="B14" s="1025" t="s">
        <v>189</v>
      </c>
      <c r="C14" s="1025" t="s">
        <v>441</v>
      </c>
      <c r="D14" s="251" t="e">
        <f t="shared" si="0"/>
        <v>#VALUE!</v>
      </c>
      <c r="E14" s="251" t="e">
        <f>D14*'He so chung'!$D$5/100</f>
        <v>#VALUE!</v>
      </c>
      <c r="F14" s="251">
        <f>$J$3*'He so chung'!$D$6</f>
        <v>556000</v>
      </c>
      <c r="G14" s="251">
        <f>$J$3*'He so chung'!$D$7/5</f>
        <v>55600</v>
      </c>
      <c r="H14" s="251">
        <v>0</v>
      </c>
      <c r="I14" s="251" t="e">
        <f>D14*'He so chung'!$D$9/100</f>
        <v>#VALUE!</v>
      </c>
      <c r="J14" s="251" t="e">
        <f t="shared" si="1"/>
        <v>#VALUE!</v>
      </c>
      <c r="K14" s="1026" t="e">
        <f>J14/'He so chung'!$D$10</f>
        <v>#VALUE!</v>
      </c>
    </row>
    <row r="15" spans="1:11" ht="16.350000000000001" customHeight="1">
      <c r="A15" s="1024"/>
      <c r="B15" s="1025" t="s">
        <v>190</v>
      </c>
      <c r="C15" s="1025" t="s">
        <v>442</v>
      </c>
      <c r="D15" s="251" t="e">
        <f t="shared" si="0"/>
        <v>#VALUE!</v>
      </c>
      <c r="E15" s="251" t="e">
        <f>D15*'He so chung'!$D$5/100</f>
        <v>#VALUE!</v>
      </c>
      <c r="F15" s="251">
        <f>$J$3*'He so chung'!$D$6</f>
        <v>556000</v>
      </c>
      <c r="G15" s="251">
        <f>$J$3*'He so chung'!$D$7/5</f>
        <v>55600</v>
      </c>
      <c r="H15" s="251">
        <v>0</v>
      </c>
      <c r="I15" s="251" t="e">
        <f>D15*'He so chung'!$D$9/100</f>
        <v>#VALUE!</v>
      </c>
      <c r="J15" s="251" t="e">
        <f t="shared" si="1"/>
        <v>#VALUE!</v>
      </c>
      <c r="K15" s="1026" t="e">
        <f>J15/'He so chung'!$D$10</f>
        <v>#VALUE!</v>
      </c>
    </row>
    <row r="16" spans="1:11" ht="16.350000000000001" customHeight="1">
      <c r="A16" s="1027">
        <v>2</v>
      </c>
      <c r="B16" s="1028" t="s">
        <v>1003</v>
      </c>
      <c r="C16" s="1025"/>
      <c r="D16" s="251"/>
      <c r="E16" s="251"/>
      <c r="F16" s="251"/>
      <c r="G16" s="251"/>
      <c r="H16" s="251"/>
      <c r="I16" s="251"/>
      <c r="J16" s="251"/>
      <c r="K16" s="1026"/>
    </row>
    <row r="17" spans="1:11" ht="16.350000000000001" customHeight="1">
      <c r="A17" s="1024"/>
      <c r="B17" s="1025" t="s">
        <v>729</v>
      </c>
      <c r="C17" s="1025" t="s">
        <v>443</v>
      </c>
      <c r="D17" s="251" t="e">
        <f t="shared" ref="D17:D26" si="2">$J$3*C17</f>
        <v>#VALUE!</v>
      </c>
      <c r="E17" s="251" t="e">
        <f>D17*'He so chung'!$D$5/100</f>
        <v>#VALUE!</v>
      </c>
      <c r="F17" s="251">
        <f>$J$3*'He so chung'!$D$6</f>
        <v>556000</v>
      </c>
      <c r="G17" s="251">
        <f>$J$3*'He so chung'!$D$7/5</f>
        <v>55600</v>
      </c>
      <c r="H17" s="251">
        <v>0</v>
      </c>
      <c r="I17" s="251" t="e">
        <f>D17*'He so chung'!$D$9/100</f>
        <v>#VALUE!</v>
      </c>
      <c r="J17" s="251" t="e">
        <f t="shared" ref="J17:J26" si="3">D17+E17+F17+G17+H17+I17</f>
        <v>#VALUE!</v>
      </c>
      <c r="K17" s="1026" t="e">
        <f>J17/'He so chung'!$D$10</f>
        <v>#VALUE!</v>
      </c>
    </row>
    <row r="18" spans="1:11" ht="16.350000000000001" customHeight="1">
      <c r="A18" s="1024"/>
      <c r="B18" s="1025" t="s">
        <v>730</v>
      </c>
      <c r="C18" s="1025" t="s">
        <v>444</v>
      </c>
      <c r="D18" s="251" t="e">
        <f t="shared" si="2"/>
        <v>#VALUE!</v>
      </c>
      <c r="E18" s="251" t="e">
        <f>D18*'He so chung'!$D$5/100</f>
        <v>#VALUE!</v>
      </c>
      <c r="F18" s="251">
        <f>$J$3*'He so chung'!$D$6</f>
        <v>556000</v>
      </c>
      <c r="G18" s="251">
        <f>$J$3*'He so chung'!$D$7/5</f>
        <v>55600</v>
      </c>
      <c r="H18" s="251">
        <v>0</v>
      </c>
      <c r="I18" s="251" t="e">
        <f>D18*'He so chung'!$D$9/100</f>
        <v>#VALUE!</v>
      </c>
      <c r="J18" s="251" t="e">
        <f t="shared" si="3"/>
        <v>#VALUE!</v>
      </c>
      <c r="K18" s="1026" t="e">
        <f>J18/'He so chung'!$D$10</f>
        <v>#VALUE!</v>
      </c>
    </row>
    <row r="19" spans="1:11" ht="16.350000000000001" customHeight="1">
      <c r="A19" s="1024"/>
      <c r="B19" s="1025" t="s">
        <v>731</v>
      </c>
      <c r="C19" s="1025" t="s">
        <v>445</v>
      </c>
      <c r="D19" s="251" t="e">
        <f t="shared" si="2"/>
        <v>#VALUE!</v>
      </c>
      <c r="E19" s="251" t="e">
        <f>D19*'He so chung'!$D$5/100</f>
        <v>#VALUE!</v>
      </c>
      <c r="F19" s="251">
        <f>$J$3*'He so chung'!$D$6</f>
        <v>556000</v>
      </c>
      <c r="G19" s="251">
        <f>$J$3*'He so chung'!$D$7/5</f>
        <v>55600</v>
      </c>
      <c r="H19" s="251">
        <v>0</v>
      </c>
      <c r="I19" s="251" t="e">
        <f>D19*'He so chung'!$D$9/100</f>
        <v>#VALUE!</v>
      </c>
      <c r="J19" s="251" t="e">
        <f t="shared" si="3"/>
        <v>#VALUE!</v>
      </c>
      <c r="K19" s="1026" t="e">
        <f>J19/'He so chung'!$D$10</f>
        <v>#VALUE!</v>
      </c>
    </row>
    <row r="20" spans="1:11" ht="16.350000000000001" customHeight="1">
      <c r="A20" s="1024"/>
      <c r="B20" s="1025" t="s">
        <v>188</v>
      </c>
      <c r="C20" s="1025" t="s">
        <v>446</v>
      </c>
      <c r="D20" s="251" t="e">
        <f t="shared" si="2"/>
        <v>#VALUE!</v>
      </c>
      <c r="E20" s="251" t="e">
        <f>D20*'He so chung'!$D$5/100</f>
        <v>#VALUE!</v>
      </c>
      <c r="F20" s="251">
        <f>$J$3*'He so chung'!$D$6</f>
        <v>556000</v>
      </c>
      <c r="G20" s="251">
        <f>$J$3*'He so chung'!$D$7/5</f>
        <v>55600</v>
      </c>
      <c r="H20" s="251">
        <v>0</v>
      </c>
      <c r="I20" s="251" t="e">
        <f>D20*'He so chung'!$D$9/100</f>
        <v>#VALUE!</v>
      </c>
      <c r="J20" s="251" t="e">
        <f t="shared" si="3"/>
        <v>#VALUE!</v>
      </c>
      <c r="K20" s="1026" t="e">
        <f>J20/'He so chung'!$D$10</f>
        <v>#VALUE!</v>
      </c>
    </row>
    <row r="21" spans="1:11" ht="16.350000000000001" customHeight="1">
      <c r="A21" s="1024"/>
      <c r="B21" s="1025" t="s">
        <v>189</v>
      </c>
      <c r="C21" s="1025" t="s">
        <v>447</v>
      </c>
      <c r="D21" s="251" t="e">
        <f t="shared" si="2"/>
        <v>#VALUE!</v>
      </c>
      <c r="E21" s="251" t="e">
        <f>D21*'He so chung'!$D$5/100</f>
        <v>#VALUE!</v>
      </c>
      <c r="F21" s="251">
        <f>$J$3*'He so chung'!$D$6</f>
        <v>556000</v>
      </c>
      <c r="G21" s="251">
        <f>$J$3*'He so chung'!$D$7/5</f>
        <v>55600</v>
      </c>
      <c r="H21" s="251">
        <v>0</v>
      </c>
      <c r="I21" s="251" t="e">
        <f>D21*'He so chung'!$D$9/100</f>
        <v>#VALUE!</v>
      </c>
      <c r="J21" s="251" t="e">
        <f t="shared" si="3"/>
        <v>#VALUE!</v>
      </c>
      <c r="K21" s="1026" t="e">
        <f>J21/'He so chung'!$D$10</f>
        <v>#VALUE!</v>
      </c>
    </row>
    <row r="22" spans="1:11" ht="16.350000000000001" customHeight="1">
      <c r="A22" s="1024"/>
      <c r="B22" s="1025" t="s">
        <v>190</v>
      </c>
      <c r="C22" s="1025" t="s">
        <v>448</v>
      </c>
      <c r="D22" s="251" t="e">
        <f t="shared" si="2"/>
        <v>#VALUE!</v>
      </c>
      <c r="E22" s="251" t="e">
        <f>D22*'He so chung'!$D$5/100</f>
        <v>#VALUE!</v>
      </c>
      <c r="F22" s="251">
        <f>$J$3*'He so chung'!$D$6</f>
        <v>556000</v>
      </c>
      <c r="G22" s="251">
        <f>$J$3*'He so chung'!$D$7/5</f>
        <v>55600</v>
      </c>
      <c r="H22" s="251">
        <v>0</v>
      </c>
      <c r="I22" s="251" t="e">
        <f>D22*'He so chung'!$D$9/100</f>
        <v>#VALUE!</v>
      </c>
      <c r="J22" s="251" t="e">
        <f t="shared" si="3"/>
        <v>#VALUE!</v>
      </c>
      <c r="K22" s="1026" t="e">
        <f>J22/'He so chung'!$D$10</f>
        <v>#VALUE!</v>
      </c>
    </row>
    <row r="23" spans="1:11" ht="16.350000000000001" customHeight="1">
      <c r="A23" s="1024"/>
      <c r="B23" s="1025" t="s">
        <v>193</v>
      </c>
      <c r="C23" s="1025" t="s">
        <v>449</v>
      </c>
      <c r="D23" s="251" t="e">
        <f t="shared" si="2"/>
        <v>#VALUE!</v>
      </c>
      <c r="E23" s="251" t="e">
        <f>D23*'He so chung'!$D$5/100</f>
        <v>#VALUE!</v>
      </c>
      <c r="F23" s="251">
        <f>$J$3*'He so chung'!$D$6</f>
        <v>556000</v>
      </c>
      <c r="G23" s="251">
        <f>$J$3*'He so chung'!$D$7/5</f>
        <v>55600</v>
      </c>
      <c r="H23" s="251">
        <v>0</v>
      </c>
      <c r="I23" s="251" t="e">
        <f>D23*'He so chung'!$D$9/100</f>
        <v>#VALUE!</v>
      </c>
      <c r="J23" s="251" t="e">
        <f t="shared" si="3"/>
        <v>#VALUE!</v>
      </c>
      <c r="K23" s="1026" t="e">
        <f>J23/'He so chung'!$D$10</f>
        <v>#VALUE!</v>
      </c>
    </row>
    <row r="24" spans="1:11" ht="16.350000000000001" customHeight="1">
      <c r="A24" s="1024"/>
      <c r="B24" s="1025" t="s">
        <v>194</v>
      </c>
      <c r="C24" s="1025" t="s">
        <v>439</v>
      </c>
      <c r="D24" s="251" t="e">
        <f t="shared" si="2"/>
        <v>#VALUE!</v>
      </c>
      <c r="E24" s="251" t="e">
        <f>D24*'He so chung'!$D$5/100</f>
        <v>#VALUE!</v>
      </c>
      <c r="F24" s="251">
        <f>$J$3*'He so chung'!$D$6</f>
        <v>556000</v>
      </c>
      <c r="G24" s="251">
        <f>$J$3*'He so chung'!$D$7/5</f>
        <v>55600</v>
      </c>
      <c r="H24" s="251">
        <v>0</v>
      </c>
      <c r="I24" s="251" t="e">
        <f>D24*'He so chung'!$D$9/100</f>
        <v>#VALUE!</v>
      </c>
      <c r="J24" s="251" t="e">
        <f t="shared" si="3"/>
        <v>#VALUE!</v>
      </c>
      <c r="K24" s="1026" t="e">
        <f>J24/'He so chung'!$D$10</f>
        <v>#VALUE!</v>
      </c>
    </row>
    <row r="25" spans="1:11" ht="16.350000000000001" customHeight="1">
      <c r="A25" s="1024"/>
      <c r="B25" s="1025" t="s">
        <v>195</v>
      </c>
      <c r="C25" s="1025" t="s">
        <v>450</v>
      </c>
      <c r="D25" s="251" t="e">
        <f t="shared" si="2"/>
        <v>#VALUE!</v>
      </c>
      <c r="E25" s="251" t="e">
        <f>D25*'He so chung'!$D$5/100</f>
        <v>#VALUE!</v>
      </c>
      <c r="F25" s="251">
        <f>$J$3*'He so chung'!$D$6</f>
        <v>556000</v>
      </c>
      <c r="G25" s="251">
        <f>$J$3*'He so chung'!$D$7/5</f>
        <v>55600</v>
      </c>
      <c r="H25" s="251">
        <v>0</v>
      </c>
      <c r="I25" s="251" t="e">
        <f>D25*'He so chung'!$D$9/100</f>
        <v>#VALUE!</v>
      </c>
      <c r="J25" s="251" t="e">
        <f t="shared" si="3"/>
        <v>#VALUE!</v>
      </c>
      <c r="K25" s="1026" t="e">
        <f>J25/'He so chung'!$D$10</f>
        <v>#VALUE!</v>
      </c>
    </row>
    <row r="26" spans="1:11" ht="16.350000000000001" customHeight="1">
      <c r="A26" s="1024"/>
      <c r="B26" s="1025" t="s">
        <v>196</v>
      </c>
      <c r="C26" s="1025" t="s">
        <v>451</v>
      </c>
      <c r="D26" s="251" t="e">
        <f t="shared" si="2"/>
        <v>#VALUE!</v>
      </c>
      <c r="E26" s="251" t="e">
        <f>D26*'He so chung'!$D$5/100</f>
        <v>#VALUE!</v>
      </c>
      <c r="F26" s="251">
        <f>$J$3*'He so chung'!$D$6</f>
        <v>556000</v>
      </c>
      <c r="G26" s="251">
        <f>$J$3*'He so chung'!$D$7/5</f>
        <v>55600</v>
      </c>
      <c r="H26" s="251">
        <v>0</v>
      </c>
      <c r="I26" s="251" t="e">
        <f>D26*'He so chung'!$D$9/100</f>
        <v>#VALUE!</v>
      </c>
      <c r="J26" s="251" t="e">
        <f t="shared" si="3"/>
        <v>#VALUE!</v>
      </c>
      <c r="K26" s="1026" t="e">
        <f>J26/'He so chung'!$D$10</f>
        <v>#VALUE!</v>
      </c>
    </row>
    <row r="27" spans="1:11" ht="16.350000000000001" customHeight="1">
      <c r="A27" s="1027">
        <v>3</v>
      </c>
      <c r="B27" s="1028" t="s">
        <v>1004</v>
      </c>
      <c r="C27" s="1025"/>
      <c r="D27" s="251"/>
      <c r="E27" s="251"/>
      <c r="F27" s="251"/>
      <c r="G27" s="251"/>
      <c r="H27" s="251"/>
      <c r="I27" s="251"/>
      <c r="J27" s="251"/>
      <c r="K27" s="1026"/>
    </row>
    <row r="28" spans="1:11" ht="16.350000000000001" customHeight="1">
      <c r="A28" s="1029"/>
      <c r="B28" s="1030" t="s">
        <v>729</v>
      </c>
      <c r="C28" s="1030" t="s">
        <v>452</v>
      </c>
      <c r="D28" s="1031" t="e">
        <f>$J$3*C28</f>
        <v>#VALUE!</v>
      </c>
      <c r="E28" s="1031" t="e">
        <f>D28*'He so chung'!$D$5/100</f>
        <v>#VALUE!</v>
      </c>
      <c r="F28" s="1031">
        <f>$J$3*'He so chung'!$D$6</f>
        <v>556000</v>
      </c>
      <c r="G28" s="1031"/>
      <c r="H28" s="1031">
        <v>0</v>
      </c>
      <c r="I28" s="1031" t="e">
        <f>D28*'He so chung'!$D$9/100</f>
        <v>#VALUE!</v>
      </c>
      <c r="J28" s="1031" t="e">
        <f>D28+E28+F28+G28+H28+I28</f>
        <v>#VALUE!</v>
      </c>
      <c r="K28" s="1032" t="e">
        <f>J28/'He so chung'!$D$10</f>
        <v>#VALUE!</v>
      </c>
    </row>
    <row r="29" spans="1:11" ht="15.75" customHeight="1">
      <c r="A29" s="1012"/>
      <c r="B29" s="1033"/>
      <c r="C29" s="1033"/>
      <c r="D29" s="1034"/>
      <c r="E29" s="1033"/>
      <c r="F29" s="1033"/>
      <c r="G29" s="1034"/>
      <c r="H29" s="1034"/>
      <c r="I29" s="1033"/>
      <c r="J29" s="1033"/>
      <c r="K29" s="1033"/>
    </row>
    <row r="30" spans="1:11" ht="15.75" customHeight="1">
      <c r="A30" s="1012"/>
      <c r="B30" s="1035"/>
      <c r="C30" s="1035"/>
      <c r="D30" s="1036"/>
      <c r="E30" s="1035"/>
      <c r="F30" s="1035"/>
      <c r="G30" s="1036"/>
      <c r="H30" s="1036"/>
      <c r="I30" s="1035"/>
      <c r="J30" s="1035"/>
      <c r="K30" s="1035"/>
    </row>
    <row r="31" spans="1:11" ht="49.5" customHeight="1">
      <c r="A31" s="1017" t="s">
        <v>997</v>
      </c>
      <c r="B31" s="1017" t="s">
        <v>998</v>
      </c>
      <c r="C31" s="1017" t="s">
        <v>999</v>
      </c>
      <c r="D31" s="1017" t="s">
        <v>759</v>
      </c>
      <c r="E31" s="1017" t="s">
        <v>760</v>
      </c>
      <c r="F31" s="1017" t="s">
        <v>761</v>
      </c>
      <c r="G31" s="1017" t="s">
        <v>762</v>
      </c>
      <c r="H31" s="1017" t="s">
        <v>763</v>
      </c>
      <c r="I31" s="1010" t="s">
        <v>259</v>
      </c>
      <c r="J31" s="1017" t="s">
        <v>764</v>
      </c>
      <c r="K31" s="1017" t="s">
        <v>765</v>
      </c>
    </row>
    <row r="32" spans="1:11" ht="18" customHeight="1">
      <c r="A32" s="1037" t="s">
        <v>1005</v>
      </c>
      <c r="B32" s="1038" t="s">
        <v>1006</v>
      </c>
      <c r="C32" s="1039"/>
      <c r="D32" s="1040"/>
      <c r="E32" s="1040"/>
      <c r="F32" s="1040"/>
      <c r="G32" s="1040"/>
      <c r="H32" s="1040"/>
      <c r="I32" s="1040"/>
      <c r="J32" s="1040"/>
      <c r="K32" s="1040"/>
    </row>
    <row r="33" spans="1:13" ht="18" customHeight="1">
      <c r="A33" s="1041">
        <v>1</v>
      </c>
      <c r="B33" s="1026" t="s">
        <v>1002</v>
      </c>
      <c r="C33" s="1042"/>
      <c r="D33" s="251"/>
      <c r="E33" s="1023"/>
      <c r="F33" s="1023"/>
      <c r="G33" s="251"/>
      <c r="H33" s="251"/>
      <c r="I33" s="1023"/>
      <c r="J33" s="1023"/>
      <c r="K33" s="1023"/>
    </row>
    <row r="34" spans="1:13" ht="18" customHeight="1">
      <c r="A34" s="1043"/>
      <c r="B34" s="1025" t="s">
        <v>727</v>
      </c>
      <c r="C34" s="1025" t="s">
        <v>732</v>
      </c>
      <c r="D34" s="251" t="e">
        <f t="shared" ref="D34:D41" si="4">$J$3*C34</f>
        <v>#VALUE!</v>
      </c>
      <c r="E34" s="251" t="e">
        <f>D34*'He so chung'!$D$5/100</f>
        <v>#VALUE!</v>
      </c>
      <c r="F34" s="251"/>
      <c r="G34" s="251">
        <f>$J$3*'He so chung'!$D$7/5</f>
        <v>55600</v>
      </c>
      <c r="H34" s="251"/>
      <c r="I34" s="251" t="e">
        <f>D34*'He so chung'!$D$9/100</f>
        <v>#VALUE!</v>
      </c>
      <c r="J34" s="251" t="e">
        <f t="shared" ref="J34:J41" si="5">D34+E34+G34+I34</f>
        <v>#VALUE!</v>
      </c>
      <c r="K34" s="1026" t="e">
        <f>J34/'He so chung'!$D$10</f>
        <v>#VALUE!</v>
      </c>
    </row>
    <row r="35" spans="1:13" ht="18" customHeight="1">
      <c r="A35" s="1043"/>
      <c r="B35" s="1025" t="s">
        <v>728</v>
      </c>
      <c r="C35" s="1025" t="s">
        <v>436</v>
      </c>
      <c r="D35" s="251" t="e">
        <f t="shared" si="4"/>
        <v>#VALUE!</v>
      </c>
      <c r="E35" s="251" t="e">
        <f>D35*'He so chung'!$D$5/100</f>
        <v>#VALUE!</v>
      </c>
      <c r="F35" s="251"/>
      <c r="G35" s="251">
        <f>$J$3*'He so chung'!$D$7/5</f>
        <v>55600</v>
      </c>
      <c r="H35" s="251"/>
      <c r="I35" s="251" t="e">
        <f>D35*'He so chung'!$D$9/100</f>
        <v>#VALUE!</v>
      </c>
      <c r="J35" s="251" t="e">
        <f t="shared" si="5"/>
        <v>#VALUE!</v>
      </c>
      <c r="K35" s="1026" t="e">
        <f>J35/'He so chung'!$D$10</f>
        <v>#VALUE!</v>
      </c>
      <c r="M35" s="1044"/>
    </row>
    <row r="36" spans="1:13" ht="18" customHeight="1">
      <c r="A36" s="1024"/>
      <c r="B36" s="1025" t="s">
        <v>729</v>
      </c>
      <c r="C36" s="1025" t="s">
        <v>437</v>
      </c>
      <c r="D36" s="251" t="e">
        <f t="shared" si="4"/>
        <v>#VALUE!</v>
      </c>
      <c r="E36" s="251" t="e">
        <f>D36*'He so chung'!$D$5/100</f>
        <v>#VALUE!</v>
      </c>
      <c r="F36" s="251"/>
      <c r="G36" s="251">
        <f>$J$3*'He so chung'!$D$7/5</f>
        <v>55600</v>
      </c>
      <c r="H36" s="251"/>
      <c r="I36" s="251" t="e">
        <f>D36*'He so chung'!$D$9/100</f>
        <v>#VALUE!</v>
      </c>
      <c r="J36" s="251" t="e">
        <f t="shared" si="5"/>
        <v>#VALUE!</v>
      </c>
      <c r="K36" s="1026" t="e">
        <f>J36/'He so chung'!$D$10</f>
        <v>#VALUE!</v>
      </c>
    </row>
    <row r="37" spans="1:13" ht="18" customHeight="1">
      <c r="A37" s="1024"/>
      <c r="B37" s="1025" t="s">
        <v>730</v>
      </c>
      <c r="C37" s="1025" t="s">
        <v>438</v>
      </c>
      <c r="D37" s="251" t="e">
        <f t="shared" si="4"/>
        <v>#VALUE!</v>
      </c>
      <c r="E37" s="251" t="e">
        <f>D37*'He so chung'!$D$5/100</f>
        <v>#VALUE!</v>
      </c>
      <c r="F37" s="251"/>
      <c r="G37" s="251">
        <f>$J$3*'He so chung'!$D$7/5</f>
        <v>55600</v>
      </c>
      <c r="H37" s="251"/>
      <c r="I37" s="251" t="e">
        <f>D37*'He so chung'!$D$9/100</f>
        <v>#VALUE!</v>
      </c>
      <c r="J37" s="251" t="e">
        <f t="shared" si="5"/>
        <v>#VALUE!</v>
      </c>
      <c r="K37" s="1026" t="e">
        <f>J37/'He so chung'!$D$10</f>
        <v>#VALUE!</v>
      </c>
    </row>
    <row r="38" spans="1:13" ht="18" customHeight="1">
      <c r="A38" s="1024"/>
      <c r="B38" s="1025" t="s">
        <v>731</v>
      </c>
      <c r="C38" s="1025" t="s">
        <v>439</v>
      </c>
      <c r="D38" s="251" t="e">
        <f t="shared" si="4"/>
        <v>#VALUE!</v>
      </c>
      <c r="E38" s="251" t="e">
        <f>D38*'He so chung'!$D$5/100</f>
        <v>#VALUE!</v>
      </c>
      <c r="F38" s="251"/>
      <c r="G38" s="251">
        <f>$J$3*'He so chung'!$D$7/5</f>
        <v>55600</v>
      </c>
      <c r="H38" s="251"/>
      <c r="I38" s="251" t="e">
        <f>D38*'He so chung'!$D$9/100</f>
        <v>#VALUE!</v>
      </c>
      <c r="J38" s="251" t="e">
        <f t="shared" si="5"/>
        <v>#VALUE!</v>
      </c>
      <c r="K38" s="1026" t="e">
        <f>J38/'He so chung'!$D$10</f>
        <v>#VALUE!</v>
      </c>
    </row>
    <row r="39" spans="1:13" ht="18" customHeight="1">
      <c r="A39" s="1024"/>
      <c r="B39" s="1025" t="s">
        <v>188</v>
      </c>
      <c r="C39" s="1025" t="s">
        <v>440</v>
      </c>
      <c r="D39" s="251" t="e">
        <f t="shared" si="4"/>
        <v>#VALUE!</v>
      </c>
      <c r="E39" s="251" t="e">
        <f>D39*'He so chung'!$D$5/100</f>
        <v>#VALUE!</v>
      </c>
      <c r="F39" s="251"/>
      <c r="G39" s="251">
        <f>$J$3*'He so chung'!$D$7/5</f>
        <v>55600</v>
      </c>
      <c r="H39" s="251"/>
      <c r="I39" s="251" t="e">
        <f>D39*'He so chung'!$D$9/100</f>
        <v>#VALUE!</v>
      </c>
      <c r="J39" s="251" t="e">
        <f t="shared" si="5"/>
        <v>#VALUE!</v>
      </c>
      <c r="K39" s="1026" t="e">
        <f>J39/'He so chung'!$D$10</f>
        <v>#VALUE!</v>
      </c>
    </row>
    <row r="40" spans="1:13" ht="18" customHeight="1">
      <c r="A40" s="1024"/>
      <c r="B40" s="1025" t="s">
        <v>189</v>
      </c>
      <c r="C40" s="1025" t="s">
        <v>441</v>
      </c>
      <c r="D40" s="251" t="e">
        <f t="shared" si="4"/>
        <v>#VALUE!</v>
      </c>
      <c r="E40" s="251" t="e">
        <f>D40*'He so chung'!$D$5/100</f>
        <v>#VALUE!</v>
      </c>
      <c r="F40" s="251"/>
      <c r="G40" s="251">
        <f>$J$3*'He so chung'!$D$7/5</f>
        <v>55600</v>
      </c>
      <c r="H40" s="251"/>
      <c r="I40" s="251" t="e">
        <f>D40*'He so chung'!$D$9/100</f>
        <v>#VALUE!</v>
      </c>
      <c r="J40" s="251" t="e">
        <f t="shared" si="5"/>
        <v>#VALUE!</v>
      </c>
      <c r="K40" s="1026" t="e">
        <f>J40/'He so chung'!$D$10</f>
        <v>#VALUE!</v>
      </c>
    </row>
    <row r="41" spans="1:13" ht="18" customHeight="1">
      <c r="A41" s="1024"/>
      <c r="B41" s="1025" t="s">
        <v>190</v>
      </c>
      <c r="C41" s="1025" t="s">
        <v>442</v>
      </c>
      <c r="D41" s="251" t="e">
        <f t="shared" si="4"/>
        <v>#VALUE!</v>
      </c>
      <c r="E41" s="251" t="e">
        <f>D41*'He so chung'!$D$5/100</f>
        <v>#VALUE!</v>
      </c>
      <c r="F41" s="251"/>
      <c r="G41" s="251">
        <f>$J$3*'He so chung'!$D$7/5</f>
        <v>55600</v>
      </c>
      <c r="H41" s="251"/>
      <c r="I41" s="251" t="e">
        <f>D41*'He so chung'!$D$9/100</f>
        <v>#VALUE!</v>
      </c>
      <c r="J41" s="251" t="e">
        <f t="shared" si="5"/>
        <v>#VALUE!</v>
      </c>
      <c r="K41" s="1026" t="e">
        <f>J41/'He so chung'!$D$10</f>
        <v>#VALUE!</v>
      </c>
    </row>
    <row r="42" spans="1:13" ht="18" customHeight="1">
      <c r="A42" s="1027">
        <v>2</v>
      </c>
      <c r="B42" s="1028" t="s">
        <v>1003</v>
      </c>
      <c r="C42" s="1025"/>
      <c r="D42" s="251"/>
      <c r="E42" s="251">
        <f>D42*'He so chung'!$D$5/100</f>
        <v>0</v>
      </c>
      <c r="F42" s="251"/>
      <c r="G42" s="251"/>
      <c r="H42" s="251"/>
      <c r="I42" s="251"/>
      <c r="J42" s="251"/>
      <c r="K42" s="1026"/>
    </row>
    <row r="43" spans="1:13" ht="18" customHeight="1">
      <c r="A43" s="1024"/>
      <c r="B43" s="1025" t="s">
        <v>729</v>
      </c>
      <c r="C43" s="1025" t="s">
        <v>443</v>
      </c>
      <c r="D43" s="251" t="e">
        <f t="shared" ref="D43:D52" si="6">$J$3*C43</f>
        <v>#VALUE!</v>
      </c>
      <c r="E43" s="251" t="e">
        <f>D43*'He so chung'!$D$5/100</f>
        <v>#VALUE!</v>
      </c>
      <c r="F43" s="251"/>
      <c r="G43" s="251">
        <f>$J$3*'He so chung'!$D$7/5</f>
        <v>55600</v>
      </c>
      <c r="H43" s="251"/>
      <c r="I43" s="251" t="e">
        <f>D43*'He so chung'!$D$9/100</f>
        <v>#VALUE!</v>
      </c>
      <c r="J43" s="251" t="e">
        <f t="shared" ref="J43:J52" si="7">D43+E43+G43+I43</f>
        <v>#VALUE!</v>
      </c>
      <c r="K43" s="1026" t="e">
        <f>J43/'He so chung'!$D$10</f>
        <v>#VALUE!</v>
      </c>
    </row>
    <row r="44" spans="1:13" ht="18" customHeight="1">
      <c r="A44" s="1024"/>
      <c r="B44" s="1025" t="s">
        <v>730</v>
      </c>
      <c r="C44" s="1025" t="s">
        <v>444</v>
      </c>
      <c r="D44" s="251" t="e">
        <f t="shared" si="6"/>
        <v>#VALUE!</v>
      </c>
      <c r="E44" s="251" t="e">
        <f>D44*'He so chung'!$D$5/100</f>
        <v>#VALUE!</v>
      </c>
      <c r="F44" s="251"/>
      <c r="G44" s="251">
        <f>$J$3*'He so chung'!$D$7/5</f>
        <v>55600</v>
      </c>
      <c r="H44" s="251"/>
      <c r="I44" s="251" t="e">
        <f>D44*'He so chung'!$D$9/100</f>
        <v>#VALUE!</v>
      </c>
      <c r="J44" s="251" t="e">
        <f t="shared" si="7"/>
        <v>#VALUE!</v>
      </c>
      <c r="K44" s="1026" t="e">
        <f>J44/'He so chung'!$D$10</f>
        <v>#VALUE!</v>
      </c>
    </row>
    <row r="45" spans="1:13" ht="18" customHeight="1">
      <c r="A45" s="1024"/>
      <c r="B45" s="1025" t="s">
        <v>731</v>
      </c>
      <c r="C45" s="1025" t="s">
        <v>445</v>
      </c>
      <c r="D45" s="251" t="e">
        <f t="shared" si="6"/>
        <v>#VALUE!</v>
      </c>
      <c r="E45" s="251" t="e">
        <f>D45*'He so chung'!$D$5/100</f>
        <v>#VALUE!</v>
      </c>
      <c r="F45" s="251"/>
      <c r="G45" s="251">
        <f>$J$3*'He so chung'!$D$7/5</f>
        <v>55600</v>
      </c>
      <c r="H45" s="251"/>
      <c r="I45" s="251" t="e">
        <f>D45*'He so chung'!$D$9/100</f>
        <v>#VALUE!</v>
      </c>
      <c r="J45" s="251" t="e">
        <f t="shared" si="7"/>
        <v>#VALUE!</v>
      </c>
      <c r="K45" s="1026" t="e">
        <f>J45/'He so chung'!$D$10</f>
        <v>#VALUE!</v>
      </c>
    </row>
    <row r="46" spans="1:13" ht="18" customHeight="1">
      <c r="A46" s="1024"/>
      <c r="B46" s="1025" t="s">
        <v>188</v>
      </c>
      <c r="C46" s="1025" t="s">
        <v>446</v>
      </c>
      <c r="D46" s="251" t="e">
        <f t="shared" si="6"/>
        <v>#VALUE!</v>
      </c>
      <c r="E46" s="251" t="e">
        <f>D46*'He so chung'!$D$5/100</f>
        <v>#VALUE!</v>
      </c>
      <c r="F46" s="251"/>
      <c r="G46" s="251">
        <f>$J$3*'He so chung'!$D$7/5</f>
        <v>55600</v>
      </c>
      <c r="H46" s="251"/>
      <c r="I46" s="251" t="e">
        <f>D46*'He so chung'!$D$9/100</f>
        <v>#VALUE!</v>
      </c>
      <c r="J46" s="251" t="e">
        <f t="shared" si="7"/>
        <v>#VALUE!</v>
      </c>
      <c r="K46" s="1026" t="e">
        <f>J46/'He so chung'!$D$10</f>
        <v>#VALUE!</v>
      </c>
    </row>
    <row r="47" spans="1:13" ht="18" customHeight="1">
      <c r="A47" s="1024"/>
      <c r="B47" s="1025" t="s">
        <v>189</v>
      </c>
      <c r="C47" s="1025" t="s">
        <v>447</v>
      </c>
      <c r="D47" s="251" t="e">
        <f t="shared" si="6"/>
        <v>#VALUE!</v>
      </c>
      <c r="E47" s="251" t="e">
        <f>D47*'He so chung'!$D$5/100</f>
        <v>#VALUE!</v>
      </c>
      <c r="F47" s="251"/>
      <c r="G47" s="251">
        <f>$J$3*'He so chung'!$D$7/5</f>
        <v>55600</v>
      </c>
      <c r="H47" s="251"/>
      <c r="I47" s="251" t="e">
        <f>D47*'He so chung'!$D$9/100</f>
        <v>#VALUE!</v>
      </c>
      <c r="J47" s="251" t="e">
        <f t="shared" si="7"/>
        <v>#VALUE!</v>
      </c>
      <c r="K47" s="1026" t="e">
        <f>J47/'He so chung'!$D$10</f>
        <v>#VALUE!</v>
      </c>
    </row>
    <row r="48" spans="1:13" ht="18" customHeight="1">
      <c r="A48" s="1024"/>
      <c r="B48" s="1025" t="s">
        <v>190</v>
      </c>
      <c r="C48" s="1025" t="s">
        <v>448</v>
      </c>
      <c r="D48" s="251" t="e">
        <f t="shared" si="6"/>
        <v>#VALUE!</v>
      </c>
      <c r="E48" s="251" t="e">
        <f>D48*'He so chung'!$D$5/100</f>
        <v>#VALUE!</v>
      </c>
      <c r="F48" s="251"/>
      <c r="G48" s="251">
        <f>$J$3*'He so chung'!$D$7/5</f>
        <v>55600</v>
      </c>
      <c r="H48" s="251"/>
      <c r="I48" s="251" t="e">
        <f>D48*'He so chung'!$D$9/100</f>
        <v>#VALUE!</v>
      </c>
      <c r="J48" s="251" t="e">
        <f t="shared" si="7"/>
        <v>#VALUE!</v>
      </c>
      <c r="K48" s="1026" t="e">
        <f>J48/'He so chung'!$D$10</f>
        <v>#VALUE!</v>
      </c>
    </row>
    <row r="49" spans="1:11" ht="18" customHeight="1">
      <c r="A49" s="1024"/>
      <c r="B49" s="1025" t="s">
        <v>193</v>
      </c>
      <c r="C49" s="1025" t="s">
        <v>449</v>
      </c>
      <c r="D49" s="251" t="e">
        <f t="shared" si="6"/>
        <v>#VALUE!</v>
      </c>
      <c r="E49" s="251" t="e">
        <f>D49*'He so chung'!$D$5/100</f>
        <v>#VALUE!</v>
      </c>
      <c r="F49" s="251"/>
      <c r="G49" s="251">
        <f>$J$3*'He so chung'!$D$7/5</f>
        <v>55600</v>
      </c>
      <c r="H49" s="251"/>
      <c r="I49" s="251" t="e">
        <f>D49*'He so chung'!$D$9/100</f>
        <v>#VALUE!</v>
      </c>
      <c r="J49" s="251" t="e">
        <f t="shared" si="7"/>
        <v>#VALUE!</v>
      </c>
      <c r="K49" s="1026" t="e">
        <f>J49/'He so chung'!$D$10</f>
        <v>#VALUE!</v>
      </c>
    </row>
    <row r="50" spans="1:11" ht="18" customHeight="1">
      <c r="A50" s="1024"/>
      <c r="B50" s="1025" t="s">
        <v>194</v>
      </c>
      <c r="C50" s="1025" t="s">
        <v>439</v>
      </c>
      <c r="D50" s="251" t="e">
        <f t="shared" si="6"/>
        <v>#VALUE!</v>
      </c>
      <c r="E50" s="251" t="e">
        <f>D50*'He so chung'!$D$5/100</f>
        <v>#VALUE!</v>
      </c>
      <c r="F50" s="251"/>
      <c r="G50" s="251">
        <f>$J$3*'He so chung'!$D$7/5</f>
        <v>55600</v>
      </c>
      <c r="H50" s="251"/>
      <c r="I50" s="251" t="e">
        <f>D50*'He so chung'!$D$9/100</f>
        <v>#VALUE!</v>
      </c>
      <c r="J50" s="251" t="e">
        <f t="shared" si="7"/>
        <v>#VALUE!</v>
      </c>
      <c r="K50" s="1026" t="e">
        <f>J50/'He so chung'!$D$10</f>
        <v>#VALUE!</v>
      </c>
    </row>
    <row r="51" spans="1:11" ht="18" customHeight="1">
      <c r="A51" s="1024"/>
      <c r="B51" s="1025" t="s">
        <v>195</v>
      </c>
      <c r="C51" s="1025" t="s">
        <v>450</v>
      </c>
      <c r="D51" s="251" t="e">
        <f t="shared" si="6"/>
        <v>#VALUE!</v>
      </c>
      <c r="E51" s="251" t="e">
        <f>D51*'He so chung'!$D$5/100</f>
        <v>#VALUE!</v>
      </c>
      <c r="F51" s="251"/>
      <c r="G51" s="251">
        <f>$J$3*'He so chung'!$D$7/5</f>
        <v>55600</v>
      </c>
      <c r="H51" s="251"/>
      <c r="I51" s="251" t="e">
        <f>D51*'He so chung'!$D$9/100</f>
        <v>#VALUE!</v>
      </c>
      <c r="J51" s="251" t="e">
        <f t="shared" si="7"/>
        <v>#VALUE!</v>
      </c>
      <c r="K51" s="1026" t="e">
        <f>J51/'He so chung'!$D$10</f>
        <v>#VALUE!</v>
      </c>
    </row>
    <row r="52" spans="1:11" ht="18" customHeight="1">
      <c r="A52" s="1024"/>
      <c r="B52" s="1025" t="s">
        <v>196</v>
      </c>
      <c r="C52" s="1025" t="s">
        <v>451</v>
      </c>
      <c r="D52" s="251" t="e">
        <f t="shared" si="6"/>
        <v>#VALUE!</v>
      </c>
      <c r="E52" s="251" t="e">
        <f>D52*'He so chung'!$D$5/100</f>
        <v>#VALUE!</v>
      </c>
      <c r="F52" s="251"/>
      <c r="G52" s="251">
        <f>$J$3*'He so chung'!$D$7/5</f>
        <v>55600</v>
      </c>
      <c r="H52" s="251"/>
      <c r="I52" s="251" t="e">
        <f>D52*'He so chung'!$D$9/100</f>
        <v>#VALUE!</v>
      </c>
      <c r="J52" s="251" t="e">
        <f t="shared" si="7"/>
        <v>#VALUE!</v>
      </c>
      <c r="K52" s="1026" t="e">
        <f>J52/'He so chung'!$D$10</f>
        <v>#VALUE!</v>
      </c>
    </row>
    <row r="53" spans="1:11" ht="18" customHeight="1">
      <c r="A53" s="1027">
        <v>3</v>
      </c>
      <c r="B53" s="1028" t="s">
        <v>1004</v>
      </c>
      <c r="C53" s="1025"/>
      <c r="D53" s="251"/>
      <c r="E53" s="251">
        <f>D53*'He so chung'!$D$5/100</f>
        <v>0</v>
      </c>
      <c r="F53" s="251"/>
      <c r="G53" s="251"/>
      <c r="H53" s="251"/>
      <c r="I53" s="251"/>
      <c r="J53" s="251"/>
      <c r="K53" s="1026"/>
    </row>
    <row r="54" spans="1:11" ht="18" customHeight="1">
      <c r="A54" s="1029"/>
      <c r="B54" s="1030" t="s">
        <v>729</v>
      </c>
      <c r="C54" s="1030" t="s">
        <v>452</v>
      </c>
      <c r="D54" s="1031" t="e">
        <f>$J$3*C54</f>
        <v>#VALUE!</v>
      </c>
      <c r="E54" s="1031" t="e">
        <f>D54*'He so chung'!$D$5/100</f>
        <v>#VALUE!</v>
      </c>
      <c r="F54" s="1031"/>
      <c r="G54" s="1031"/>
      <c r="H54" s="1031"/>
      <c r="I54" s="1031" t="e">
        <f>D54*'He so chung'!$D$9/100</f>
        <v>#VALUE!</v>
      </c>
      <c r="J54" s="1031" t="e">
        <f>D54+E54+G54+I54</f>
        <v>#VALUE!</v>
      </c>
      <c r="K54" s="1032" t="e">
        <f>J54/'He so chung'!$D$10</f>
        <v>#VALUE!</v>
      </c>
    </row>
  </sheetData>
  <mergeCells count="2">
    <mergeCell ref="A2:K2"/>
    <mergeCell ref="A1:K1"/>
  </mergeCells>
  <phoneticPr fontId="5" type="noConversion"/>
  <printOptions horizontalCentered="1"/>
  <pageMargins left="0.74803149606299202" right="0.74803149606299202" top="0.98425196850393704" bottom="0.93110236199999996" header="0.31496062992126" footer="0.39370078740157499"/>
  <pageSetup paperSize="9" firstPageNumber="233" orientation="landscape"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G28"/>
  <sheetViews>
    <sheetView zoomScaleNormal="100" workbookViewId="0">
      <selection activeCell="F18" sqref="F18"/>
    </sheetView>
  </sheetViews>
  <sheetFormatPr defaultRowHeight="16.5"/>
  <cols>
    <col min="1" max="1" width="7.21875" style="2" customWidth="1"/>
    <col min="2" max="2" width="34.44140625" customWidth="1"/>
    <col min="3" max="3" width="10" customWidth="1"/>
    <col min="4" max="4" width="9.88671875" customWidth="1"/>
    <col min="5" max="5" width="13.21875" customWidth="1"/>
    <col min="6" max="6" width="10.6640625" customWidth="1"/>
    <col min="7" max="7" width="13.77734375" customWidth="1"/>
  </cols>
  <sheetData>
    <row r="1" spans="1:7" ht="34.5" customHeight="1">
      <c r="A1" s="1049" t="s">
        <v>427</v>
      </c>
      <c r="B1" s="1049"/>
      <c r="C1" s="1049"/>
      <c r="D1" s="1049"/>
      <c r="E1" s="1049"/>
      <c r="F1" s="1049"/>
      <c r="G1" s="1049"/>
    </row>
    <row r="2" spans="1:7" ht="48" customHeight="1">
      <c r="A2" s="235" t="s">
        <v>979</v>
      </c>
      <c r="B2" s="236" t="s">
        <v>236</v>
      </c>
      <c r="C2" s="236" t="s">
        <v>237</v>
      </c>
      <c r="D2" s="236" t="s">
        <v>235</v>
      </c>
      <c r="E2" s="236" t="s">
        <v>238</v>
      </c>
      <c r="F2" s="236" t="s">
        <v>239</v>
      </c>
      <c r="G2" s="236" t="s">
        <v>983</v>
      </c>
    </row>
    <row r="3" spans="1:7" ht="18" customHeight="1">
      <c r="A3" s="59">
        <v>1</v>
      </c>
      <c r="B3" s="58" t="s">
        <v>72</v>
      </c>
      <c r="C3" s="59" t="s">
        <v>951</v>
      </c>
      <c r="D3" s="58">
        <v>10</v>
      </c>
      <c r="E3" s="62">
        <v>150000000</v>
      </c>
      <c r="F3" s="62">
        <f>E3/D3/250</f>
        <v>60000</v>
      </c>
      <c r="G3" s="282"/>
    </row>
    <row r="4" spans="1:7" ht="18" customHeight="1">
      <c r="A4" s="61">
        <v>2</v>
      </c>
      <c r="B4" s="60" t="s">
        <v>952</v>
      </c>
      <c r="C4" s="61" t="s">
        <v>951</v>
      </c>
      <c r="D4" s="60">
        <v>5</v>
      </c>
      <c r="E4" s="63">
        <v>15000000</v>
      </c>
      <c r="F4" s="63">
        <f>E4/D4/500</f>
        <v>6000</v>
      </c>
      <c r="G4" s="281"/>
    </row>
    <row r="5" spans="1:7" ht="18" customHeight="1">
      <c r="A5" s="61">
        <v>3</v>
      </c>
      <c r="B5" s="60" t="s">
        <v>953</v>
      </c>
      <c r="C5" s="61" t="s">
        <v>951</v>
      </c>
      <c r="D5" s="60">
        <v>10</v>
      </c>
      <c r="E5" s="63">
        <v>17000000</v>
      </c>
      <c r="F5" s="63">
        <f>E5/D5/250</f>
        <v>6800</v>
      </c>
      <c r="G5" s="281"/>
    </row>
    <row r="6" spans="1:7" ht="18" customHeight="1">
      <c r="A6" s="61">
        <v>4</v>
      </c>
      <c r="B6" s="60" t="s">
        <v>954</v>
      </c>
      <c r="C6" s="61" t="s">
        <v>951</v>
      </c>
      <c r="D6" s="60">
        <v>5</v>
      </c>
      <c r="E6" s="63">
        <v>15000000</v>
      </c>
      <c r="F6" s="63">
        <f t="shared" ref="F6:F11" si="0">E6/D6/500</f>
        <v>6000</v>
      </c>
      <c r="G6" s="281"/>
    </row>
    <row r="7" spans="1:7" ht="18" customHeight="1">
      <c r="A7" s="61">
        <v>5</v>
      </c>
      <c r="B7" s="60" t="s">
        <v>955</v>
      </c>
      <c r="C7" s="61" t="s">
        <v>951</v>
      </c>
      <c r="D7" s="60">
        <v>10</v>
      </c>
      <c r="E7" s="63">
        <v>105000000</v>
      </c>
      <c r="F7" s="63">
        <f t="shared" si="0"/>
        <v>21000</v>
      </c>
      <c r="G7" s="281"/>
    </row>
    <row r="8" spans="1:7" ht="18" customHeight="1">
      <c r="A8" s="61">
        <v>6</v>
      </c>
      <c r="B8" s="60" t="s">
        <v>245</v>
      </c>
      <c r="C8" s="61" t="s">
        <v>951</v>
      </c>
      <c r="D8" s="60">
        <v>10</v>
      </c>
      <c r="E8" s="63">
        <v>8000000</v>
      </c>
      <c r="F8" s="63">
        <f t="shared" si="0"/>
        <v>1600</v>
      </c>
      <c r="G8" s="281"/>
    </row>
    <row r="9" spans="1:7" ht="18" customHeight="1">
      <c r="A9" s="61">
        <v>7</v>
      </c>
      <c r="B9" s="60" t="s">
        <v>246</v>
      </c>
      <c r="C9" s="61" t="s">
        <v>951</v>
      </c>
      <c r="D9" s="60">
        <v>10</v>
      </c>
      <c r="E9" s="63">
        <v>14500000</v>
      </c>
      <c r="F9" s="63">
        <f t="shared" si="0"/>
        <v>2900</v>
      </c>
      <c r="G9" s="281"/>
    </row>
    <row r="10" spans="1:7" ht="18" customHeight="1">
      <c r="A10" s="61">
        <v>8</v>
      </c>
      <c r="B10" s="60" t="s">
        <v>957</v>
      </c>
      <c r="C10" s="61" t="s">
        <v>951</v>
      </c>
      <c r="D10" s="60">
        <v>10</v>
      </c>
      <c r="E10" s="63">
        <v>100000000</v>
      </c>
      <c r="F10" s="63">
        <f t="shared" si="0"/>
        <v>20000</v>
      </c>
      <c r="G10" s="281"/>
    </row>
    <row r="11" spans="1:7" ht="18" customHeight="1">
      <c r="A11" s="61">
        <v>9</v>
      </c>
      <c r="B11" s="60" t="s">
        <v>958</v>
      </c>
      <c r="C11" s="61" t="s">
        <v>385</v>
      </c>
      <c r="D11" s="60">
        <v>10</v>
      </c>
      <c r="E11" s="63">
        <v>6000000</v>
      </c>
      <c r="F11" s="63">
        <f t="shared" si="0"/>
        <v>1200</v>
      </c>
      <c r="G11" s="281"/>
    </row>
    <row r="12" spans="1:7" ht="18" customHeight="1">
      <c r="A12" s="61">
        <v>10</v>
      </c>
      <c r="B12" s="60" t="s">
        <v>73</v>
      </c>
      <c r="C12" s="61" t="s">
        <v>951</v>
      </c>
      <c r="D12" s="60">
        <v>10</v>
      </c>
      <c r="E12" s="63">
        <v>180000000</v>
      </c>
      <c r="F12" s="63">
        <f>E12/D12/250</f>
        <v>72000</v>
      </c>
      <c r="G12" s="281"/>
    </row>
    <row r="13" spans="1:7" ht="18" customHeight="1">
      <c r="A13" s="61">
        <v>11</v>
      </c>
      <c r="B13" s="60" t="s">
        <v>959</v>
      </c>
      <c r="C13" s="61" t="s">
        <v>202</v>
      </c>
      <c r="D13" s="60">
        <v>10</v>
      </c>
      <c r="E13" s="63">
        <v>900000000</v>
      </c>
      <c r="F13" s="63">
        <f>E13/D13/250</f>
        <v>360000</v>
      </c>
      <c r="G13" s="281"/>
    </row>
    <row r="14" spans="1:7" ht="18" customHeight="1">
      <c r="A14" s="61">
        <v>12</v>
      </c>
      <c r="B14" s="60" t="s">
        <v>960</v>
      </c>
      <c r="C14" s="61" t="s">
        <v>385</v>
      </c>
      <c r="D14" s="60">
        <v>10</v>
      </c>
      <c r="E14" s="63">
        <v>300000000</v>
      </c>
      <c r="F14" s="63">
        <f>E14/D14/250</f>
        <v>120000</v>
      </c>
      <c r="G14" s="281"/>
    </row>
    <row r="15" spans="1:7" ht="18" customHeight="1">
      <c r="A15" s="61">
        <v>13</v>
      </c>
      <c r="B15" s="60" t="s">
        <v>961</v>
      </c>
      <c r="C15" s="61" t="s">
        <v>385</v>
      </c>
      <c r="D15" s="60">
        <v>5</v>
      </c>
      <c r="E15" s="63">
        <v>13500000</v>
      </c>
      <c r="F15" s="63">
        <f>E15/D15/250</f>
        <v>10800</v>
      </c>
      <c r="G15" s="281"/>
    </row>
    <row r="16" spans="1:7" ht="18" customHeight="1">
      <c r="A16" s="61">
        <v>14</v>
      </c>
      <c r="B16" s="60" t="s">
        <v>962</v>
      </c>
      <c r="C16" s="61" t="s">
        <v>202</v>
      </c>
      <c r="D16" s="60">
        <v>10</v>
      </c>
      <c r="E16" s="63">
        <v>24800000</v>
      </c>
      <c r="F16" s="63">
        <f t="shared" ref="F16:F22" si="1">E16/D16/500</f>
        <v>4960</v>
      </c>
      <c r="G16" s="281"/>
    </row>
    <row r="17" spans="1:7" ht="18" customHeight="1">
      <c r="A17" s="61">
        <v>15</v>
      </c>
      <c r="B17" s="60" t="s">
        <v>963</v>
      </c>
      <c r="C17" s="61" t="s">
        <v>202</v>
      </c>
      <c r="D17" s="60">
        <v>10</v>
      </c>
      <c r="E17" s="63">
        <v>25000000</v>
      </c>
      <c r="F17" s="63">
        <f t="shared" si="1"/>
        <v>5000</v>
      </c>
      <c r="G17" s="281"/>
    </row>
    <row r="18" spans="1:7" ht="18" customHeight="1">
      <c r="A18" s="61">
        <v>16</v>
      </c>
      <c r="B18" s="60" t="s">
        <v>964</v>
      </c>
      <c r="C18" s="61" t="s">
        <v>202</v>
      </c>
      <c r="D18" s="60">
        <v>10</v>
      </c>
      <c r="E18" s="63">
        <v>5800000</v>
      </c>
      <c r="F18" s="63">
        <f t="shared" si="1"/>
        <v>1160</v>
      </c>
      <c r="G18" s="281"/>
    </row>
    <row r="19" spans="1:7" ht="18" customHeight="1">
      <c r="A19" s="61">
        <v>17</v>
      </c>
      <c r="B19" s="60" t="s">
        <v>573</v>
      </c>
      <c r="C19" s="61" t="s">
        <v>202</v>
      </c>
      <c r="D19" s="60">
        <v>10</v>
      </c>
      <c r="E19" s="63">
        <v>28500000</v>
      </c>
      <c r="F19" s="63">
        <f t="shared" si="1"/>
        <v>5700</v>
      </c>
      <c r="G19" s="281"/>
    </row>
    <row r="20" spans="1:7" ht="18" customHeight="1">
      <c r="A20" s="61">
        <v>18</v>
      </c>
      <c r="B20" s="60" t="s">
        <v>247</v>
      </c>
      <c r="C20" s="61" t="s">
        <v>202</v>
      </c>
      <c r="D20" s="60">
        <v>10</v>
      </c>
      <c r="E20" s="63">
        <v>2440000</v>
      </c>
      <c r="F20" s="63">
        <f t="shared" si="1"/>
        <v>488</v>
      </c>
      <c r="G20" s="281"/>
    </row>
    <row r="21" spans="1:7" ht="18" customHeight="1">
      <c r="A21" s="61">
        <v>19</v>
      </c>
      <c r="B21" s="286" t="s">
        <v>248</v>
      </c>
      <c r="C21" s="287" t="s">
        <v>389</v>
      </c>
      <c r="D21" s="286">
        <v>5</v>
      </c>
      <c r="E21" s="288">
        <v>2650000</v>
      </c>
      <c r="F21" s="63">
        <f t="shared" si="1"/>
        <v>1060</v>
      </c>
      <c r="G21" s="281"/>
    </row>
    <row r="22" spans="1:7" ht="18" customHeight="1">
      <c r="A22" s="61">
        <v>20</v>
      </c>
      <c r="B22" s="286" t="s">
        <v>390</v>
      </c>
      <c r="C22" s="287" t="s">
        <v>391</v>
      </c>
      <c r="D22" s="286">
        <v>10</v>
      </c>
      <c r="E22" s="288">
        <v>52500000</v>
      </c>
      <c r="F22" s="63">
        <f t="shared" si="1"/>
        <v>10500</v>
      </c>
      <c r="G22" s="281"/>
    </row>
    <row r="23" spans="1:7" ht="18" customHeight="1">
      <c r="A23" s="61">
        <v>21</v>
      </c>
      <c r="B23" s="60" t="s">
        <v>386</v>
      </c>
      <c r="C23" s="61" t="s">
        <v>740</v>
      </c>
      <c r="D23" s="60"/>
      <c r="E23" s="63">
        <v>1554</v>
      </c>
      <c r="F23" s="63">
        <v>1554</v>
      </c>
      <c r="G23" s="281"/>
    </row>
    <row r="24" spans="1:7" ht="18" customHeight="1">
      <c r="A24" s="247"/>
      <c r="B24" s="248"/>
      <c r="C24" s="248"/>
      <c r="D24" s="248"/>
      <c r="E24" s="248"/>
      <c r="F24" s="248"/>
      <c r="G24" s="255"/>
    </row>
    <row r="25" spans="1:7">
      <c r="A25" s="95"/>
      <c r="B25" s="50"/>
      <c r="C25" s="50"/>
      <c r="D25" s="50"/>
      <c r="E25" s="50"/>
      <c r="F25" s="50"/>
    </row>
    <row r="26" spans="1:7">
      <c r="A26" s="95"/>
      <c r="B26" s="50"/>
      <c r="C26" s="50"/>
      <c r="D26" s="50"/>
      <c r="E26" s="50"/>
      <c r="F26" s="50"/>
    </row>
    <row r="27" spans="1:7">
      <c r="A27" s="95"/>
      <c r="B27" s="50"/>
      <c r="C27" s="50"/>
      <c r="D27" s="50"/>
      <c r="E27" s="50"/>
      <c r="F27" s="50"/>
    </row>
    <row r="28" spans="1:7">
      <c r="A28" s="95"/>
      <c r="B28" s="50"/>
      <c r="C28" s="50"/>
      <c r="D28" s="50"/>
      <c r="E28" s="50"/>
      <c r="F28" s="50"/>
    </row>
  </sheetData>
  <mergeCells count="1">
    <mergeCell ref="A1:G1"/>
  </mergeCells>
  <phoneticPr fontId="45" type="noConversion"/>
  <printOptions horizontalCentered="1"/>
  <pageMargins left="1.041732283" right="0.94488188976377996" top="0.98425196850393704" bottom="0.98425196850393704" header="0.511811023622047" footer="0.511811023622047"/>
  <pageSetup paperSize="9" firstPageNumber="241" orientation="landscape"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F69"/>
  <sheetViews>
    <sheetView topLeftCell="A10" zoomScaleNormal="100" workbookViewId="0">
      <selection activeCell="D20" sqref="D20"/>
    </sheetView>
  </sheetViews>
  <sheetFormatPr defaultRowHeight="16.5"/>
  <cols>
    <col min="1" max="1" width="6.77734375" customWidth="1"/>
    <col min="2" max="2" width="38.21875" customWidth="1"/>
    <col min="3" max="3" width="12.88671875" customWidth="1"/>
    <col min="4" max="4" width="15.5546875" customWidth="1"/>
    <col min="5" max="5" width="16.77734375" style="258" customWidth="1"/>
  </cols>
  <sheetData>
    <row r="1" spans="1:6" ht="30.6" customHeight="1">
      <c r="A1" s="1050" t="s">
        <v>966</v>
      </c>
      <c r="B1" s="1050"/>
      <c r="C1" s="1050"/>
      <c r="D1" s="1050"/>
      <c r="E1" s="1050"/>
      <c r="F1" s="256"/>
    </row>
    <row r="2" spans="1:6" ht="9" customHeight="1"/>
    <row r="3" spans="1:6" ht="35.450000000000003" customHeight="1">
      <c r="A3" s="235" t="s">
        <v>979</v>
      </c>
      <c r="B3" s="236" t="s">
        <v>426</v>
      </c>
      <c r="C3" s="236" t="s">
        <v>237</v>
      </c>
      <c r="D3" s="236" t="s">
        <v>240</v>
      </c>
      <c r="E3" s="259" t="s">
        <v>983</v>
      </c>
    </row>
    <row r="4" spans="1:6" ht="20.25" customHeight="1">
      <c r="A4" s="27">
        <v>1</v>
      </c>
      <c r="B4" s="253" t="s">
        <v>643</v>
      </c>
      <c r="C4" s="27" t="s">
        <v>495</v>
      </c>
      <c r="D4" s="254">
        <v>12000</v>
      </c>
      <c r="E4" s="291"/>
    </row>
    <row r="5" spans="1:6" ht="20.25" customHeight="1">
      <c r="A5" s="29">
        <v>2</v>
      </c>
      <c r="B5" s="44" t="s">
        <v>1047</v>
      </c>
      <c r="C5" s="29" t="s">
        <v>495</v>
      </c>
      <c r="D5" s="249">
        <v>50000</v>
      </c>
      <c r="E5" s="290"/>
    </row>
    <row r="6" spans="1:6" ht="20.25" customHeight="1">
      <c r="A6" s="29">
        <v>3</v>
      </c>
      <c r="B6" s="44" t="s">
        <v>1050</v>
      </c>
      <c r="C6" s="29" t="s">
        <v>1051</v>
      </c>
      <c r="D6" s="249">
        <v>10000</v>
      </c>
      <c r="E6" s="290"/>
    </row>
    <row r="7" spans="1:6" ht="20.25" customHeight="1">
      <c r="A7" s="29">
        <v>4</v>
      </c>
      <c r="B7" s="44" t="s">
        <v>74</v>
      </c>
      <c r="C7" s="29" t="s">
        <v>1019</v>
      </c>
      <c r="D7" s="249">
        <v>5000</v>
      </c>
      <c r="E7" s="290"/>
    </row>
    <row r="8" spans="1:6" ht="20.25" customHeight="1">
      <c r="A8" s="29">
        <v>5</v>
      </c>
      <c r="B8" s="44" t="s">
        <v>1049</v>
      </c>
      <c r="C8" s="29" t="s">
        <v>495</v>
      </c>
      <c r="D8" s="249">
        <v>500</v>
      </c>
      <c r="E8" s="290"/>
    </row>
    <row r="9" spans="1:6" ht="20.25" customHeight="1">
      <c r="A9" s="29">
        <v>6</v>
      </c>
      <c r="B9" s="44" t="s">
        <v>1048</v>
      </c>
      <c r="C9" s="29" t="s">
        <v>495</v>
      </c>
      <c r="D9" s="249">
        <v>500</v>
      </c>
      <c r="E9" s="290"/>
    </row>
    <row r="10" spans="1:6" ht="20.25" customHeight="1">
      <c r="A10" s="29">
        <v>7</v>
      </c>
      <c r="B10" s="44" t="s">
        <v>644</v>
      </c>
      <c r="C10" s="36" t="s">
        <v>939</v>
      </c>
      <c r="D10" s="52">
        <v>2000</v>
      </c>
      <c r="E10" s="290"/>
    </row>
    <row r="11" spans="1:6" ht="20.25" customHeight="1">
      <c r="A11" s="29">
        <v>8</v>
      </c>
      <c r="B11" s="44" t="s">
        <v>1052</v>
      </c>
      <c r="C11" s="29" t="s">
        <v>495</v>
      </c>
      <c r="D11" s="249">
        <v>500</v>
      </c>
      <c r="E11" s="290"/>
    </row>
    <row r="12" spans="1:6" ht="20.25" customHeight="1">
      <c r="A12" s="29">
        <v>9</v>
      </c>
      <c r="B12" s="44" t="s">
        <v>75</v>
      </c>
      <c r="C12" s="36" t="s">
        <v>919</v>
      </c>
      <c r="D12" s="52">
        <v>2500</v>
      </c>
      <c r="E12" s="290"/>
    </row>
    <row r="13" spans="1:6" ht="20.25" customHeight="1">
      <c r="A13" s="29">
        <v>10</v>
      </c>
      <c r="B13" s="44" t="s">
        <v>76</v>
      </c>
      <c r="C13" s="36" t="s">
        <v>919</v>
      </c>
      <c r="D13" s="52">
        <v>15000</v>
      </c>
      <c r="E13" s="290"/>
    </row>
    <row r="14" spans="1:6" ht="20.25" customHeight="1">
      <c r="A14" s="29">
        <v>11</v>
      </c>
      <c r="B14" s="44" t="s">
        <v>77</v>
      </c>
      <c r="C14" s="36" t="s">
        <v>919</v>
      </c>
      <c r="D14" s="52">
        <v>18000</v>
      </c>
      <c r="E14" s="290"/>
    </row>
    <row r="15" spans="1:6" ht="20.25" customHeight="1">
      <c r="A15" s="29">
        <v>12</v>
      </c>
      <c r="B15" s="44" t="s">
        <v>415</v>
      </c>
      <c r="C15" s="36" t="s">
        <v>919</v>
      </c>
      <c r="D15" s="52">
        <v>5000</v>
      </c>
      <c r="E15" s="290"/>
    </row>
    <row r="16" spans="1:6" ht="20.25" customHeight="1">
      <c r="A16" s="29">
        <v>13</v>
      </c>
      <c r="B16" s="44" t="s">
        <v>645</v>
      </c>
      <c r="C16" s="29" t="s">
        <v>1083</v>
      </c>
      <c r="D16" s="249">
        <v>90000</v>
      </c>
      <c r="E16" s="290" t="s">
        <v>650</v>
      </c>
    </row>
    <row r="17" spans="1:5" ht="20.25" customHeight="1">
      <c r="A17" s="29">
        <v>14</v>
      </c>
      <c r="B17" s="44" t="s">
        <v>52</v>
      </c>
      <c r="C17" s="29" t="s">
        <v>951</v>
      </c>
      <c r="D17" s="249">
        <v>4000</v>
      </c>
      <c r="E17" s="290"/>
    </row>
    <row r="18" spans="1:5" s="1" customFormat="1" ht="20.25" customHeight="1">
      <c r="A18" s="29">
        <v>15</v>
      </c>
      <c r="B18" s="44" t="s">
        <v>651</v>
      </c>
      <c r="C18" s="29" t="s">
        <v>1083</v>
      </c>
      <c r="D18" s="249">
        <v>200000</v>
      </c>
      <c r="E18" s="290" t="s">
        <v>652</v>
      </c>
    </row>
    <row r="19" spans="1:5" ht="20.25" customHeight="1">
      <c r="A19" s="29">
        <v>16</v>
      </c>
      <c r="B19" s="44" t="s">
        <v>653</v>
      </c>
      <c r="C19" s="29" t="s">
        <v>1070</v>
      </c>
      <c r="D19" s="249">
        <v>78000</v>
      </c>
      <c r="E19" s="290" t="s">
        <v>654</v>
      </c>
    </row>
    <row r="20" spans="1:5" ht="20.25" customHeight="1">
      <c r="A20" s="29">
        <v>17</v>
      </c>
      <c r="B20" s="44" t="s">
        <v>1084</v>
      </c>
      <c r="C20" s="29" t="s">
        <v>202</v>
      </c>
      <c r="D20" s="249">
        <v>5000</v>
      </c>
      <c r="E20" s="290"/>
    </row>
    <row r="21" spans="1:5" ht="20.25" customHeight="1">
      <c r="A21" s="29">
        <v>18</v>
      </c>
      <c r="B21" s="44" t="s">
        <v>1054</v>
      </c>
      <c r="C21" s="29" t="s">
        <v>1055</v>
      </c>
      <c r="D21" s="249">
        <v>10000</v>
      </c>
      <c r="E21" s="290"/>
    </row>
    <row r="22" spans="1:5" ht="20.25" customHeight="1">
      <c r="A22" s="29">
        <v>19</v>
      </c>
      <c r="B22" s="44" t="s">
        <v>1053</v>
      </c>
      <c r="C22" s="29" t="s">
        <v>951</v>
      </c>
      <c r="D22" s="249">
        <v>10000</v>
      </c>
      <c r="E22" s="290"/>
    </row>
    <row r="23" spans="1:5" ht="21" customHeight="1">
      <c r="A23" s="29">
        <v>20</v>
      </c>
      <c r="B23" s="44" t="s">
        <v>55</v>
      </c>
      <c r="C23" s="29" t="s">
        <v>54</v>
      </c>
      <c r="D23" s="249">
        <v>50000</v>
      </c>
      <c r="E23" s="290"/>
    </row>
    <row r="24" spans="1:5" ht="18.600000000000001" customHeight="1">
      <c r="A24" s="118">
        <v>21</v>
      </c>
      <c r="B24" s="119" t="s">
        <v>1046</v>
      </c>
      <c r="C24" s="118" t="s">
        <v>740</v>
      </c>
      <c r="D24" s="97">
        <v>1755</v>
      </c>
      <c r="E24" s="292"/>
    </row>
    <row r="25" spans="1:5" ht="18.600000000000001" customHeight="1">
      <c r="A25" s="124">
        <v>22</v>
      </c>
      <c r="B25" s="42" t="s">
        <v>40</v>
      </c>
      <c r="C25" s="124" t="s">
        <v>1082</v>
      </c>
      <c r="D25" s="289">
        <v>17500</v>
      </c>
      <c r="E25" s="291"/>
    </row>
    <row r="26" spans="1:5" ht="18.600000000000001" customHeight="1">
      <c r="A26" s="29">
        <v>23</v>
      </c>
      <c r="B26" s="44" t="s">
        <v>60</v>
      </c>
      <c r="C26" s="29" t="s">
        <v>951</v>
      </c>
      <c r="D26" s="249">
        <v>2000</v>
      </c>
      <c r="E26" s="290"/>
    </row>
    <row r="27" spans="1:5" ht="18.600000000000001" customHeight="1">
      <c r="A27" s="29">
        <v>24</v>
      </c>
      <c r="B27" s="44" t="s">
        <v>562</v>
      </c>
      <c r="C27" s="36" t="s">
        <v>928</v>
      </c>
      <c r="D27" s="52">
        <v>300</v>
      </c>
      <c r="E27" s="290"/>
    </row>
    <row r="28" spans="1:5" ht="18.600000000000001" customHeight="1">
      <c r="A28" s="29">
        <v>25</v>
      </c>
      <c r="B28" s="44" t="s">
        <v>416</v>
      </c>
      <c r="C28" s="40" t="s">
        <v>928</v>
      </c>
      <c r="D28" s="252">
        <v>300</v>
      </c>
      <c r="E28" s="290"/>
    </row>
    <row r="29" spans="1:5" ht="18.600000000000001" customHeight="1">
      <c r="A29" s="29">
        <v>26</v>
      </c>
      <c r="B29" s="44" t="s">
        <v>1073</v>
      </c>
      <c r="C29" s="29" t="s">
        <v>1019</v>
      </c>
      <c r="D29" s="249">
        <v>20000</v>
      </c>
      <c r="E29" s="290"/>
    </row>
    <row r="30" spans="1:5" ht="18.600000000000001" customHeight="1">
      <c r="A30" s="29">
        <v>27</v>
      </c>
      <c r="B30" s="44" t="s">
        <v>1072</v>
      </c>
      <c r="C30" s="29" t="s">
        <v>1019</v>
      </c>
      <c r="D30" s="249">
        <v>20000</v>
      </c>
      <c r="E30" s="290"/>
    </row>
    <row r="31" spans="1:5" ht="18.600000000000001" customHeight="1">
      <c r="A31" s="29">
        <v>28</v>
      </c>
      <c r="B31" s="250" t="s">
        <v>1074</v>
      </c>
      <c r="C31" s="29" t="s">
        <v>1019</v>
      </c>
      <c r="D31" s="249">
        <v>500</v>
      </c>
      <c r="E31" s="290"/>
    </row>
    <row r="32" spans="1:5" ht="18.600000000000001" customHeight="1">
      <c r="A32" s="29">
        <v>29</v>
      </c>
      <c r="B32" s="44" t="s">
        <v>417</v>
      </c>
      <c r="C32" s="36" t="s">
        <v>921</v>
      </c>
      <c r="D32" s="52">
        <v>2000</v>
      </c>
      <c r="E32" s="290"/>
    </row>
    <row r="33" spans="1:5" ht="18.600000000000001" customHeight="1">
      <c r="A33" s="29">
        <v>30</v>
      </c>
      <c r="B33" s="44" t="s">
        <v>418</v>
      </c>
      <c r="C33" s="36" t="s">
        <v>921</v>
      </c>
      <c r="D33" s="52">
        <v>2000</v>
      </c>
      <c r="E33" s="290"/>
    </row>
    <row r="34" spans="1:5" ht="18.600000000000001" customHeight="1">
      <c r="A34" s="29">
        <v>31</v>
      </c>
      <c r="B34" s="44" t="s">
        <v>419</v>
      </c>
      <c r="C34" s="36" t="s">
        <v>931</v>
      </c>
      <c r="D34" s="52">
        <v>90000</v>
      </c>
      <c r="E34" s="290"/>
    </row>
    <row r="35" spans="1:5" ht="18.600000000000001" customHeight="1">
      <c r="A35" s="29">
        <v>32</v>
      </c>
      <c r="B35" s="44" t="s">
        <v>646</v>
      </c>
      <c r="C35" s="36" t="s">
        <v>931</v>
      </c>
      <c r="D35" s="52">
        <v>60000</v>
      </c>
      <c r="E35" s="290"/>
    </row>
    <row r="36" spans="1:5" ht="18.600000000000001" customHeight="1">
      <c r="A36" s="29">
        <v>33</v>
      </c>
      <c r="B36" s="44" t="s">
        <v>1057</v>
      </c>
      <c r="C36" s="29" t="s">
        <v>1058</v>
      </c>
      <c r="D36" s="249">
        <v>45000</v>
      </c>
      <c r="E36" s="290"/>
    </row>
    <row r="37" spans="1:5" ht="18.600000000000001" customHeight="1">
      <c r="A37" s="29">
        <v>34</v>
      </c>
      <c r="B37" s="44" t="s">
        <v>53</v>
      </c>
      <c r="C37" s="29" t="s">
        <v>54</v>
      </c>
      <c r="D37" s="249">
        <v>10000</v>
      </c>
      <c r="E37" s="290"/>
    </row>
    <row r="38" spans="1:5" ht="18.600000000000001" customHeight="1">
      <c r="A38" s="29">
        <v>35</v>
      </c>
      <c r="B38" s="44" t="s">
        <v>647</v>
      </c>
      <c r="C38" s="36" t="s">
        <v>929</v>
      </c>
      <c r="D38" s="52">
        <v>7000</v>
      </c>
      <c r="E38" s="290"/>
    </row>
    <row r="39" spans="1:5" ht="18.600000000000001" customHeight="1">
      <c r="A39" s="29">
        <v>36</v>
      </c>
      <c r="B39" s="44" t="s">
        <v>56</v>
      </c>
      <c r="C39" s="29" t="s">
        <v>57</v>
      </c>
      <c r="D39" s="249">
        <v>2000</v>
      </c>
      <c r="E39" s="290"/>
    </row>
    <row r="40" spans="1:5" ht="18.600000000000001" customHeight="1">
      <c r="A40" s="29">
        <v>37</v>
      </c>
      <c r="B40" s="44" t="s">
        <v>429</v>
      </c>
      <c r="C40" s="40" t="s">
        <v>945</v>
      </c>
      <c r="D40" s="252">
        <v>4500</v>
      </c>
      <c r="E40" s="290"/>
    </row>
    <row r="41" spans="1:5" ht="18.600000000000001" customHeight="1">
      <c r="A41" s="29">
        <v>38</v>
      </c>
      <c r="B41" s="44" t="s">
        <v>1056</v>
      </c>
      <c r="C41" s="29" t="s">
        <v>495</v>
      </c>
      <c r="D41" s="249">
        <v>8000</v>
      </c>
      <c r="E41" s="290"/>
    </row>
    <row r="42" spans="1:5" ht="18.600000000000001" customHeight="1">
      <c r="A42" s="29">
        <v>39</v>
      </c>
      <c r="B42" s="44" t="s">
        <v>420</v>
      </c>
      <c r="C42" s="40" t="s">
        <v>928</v>
      </c>
      <c r="D42" s="252">
        <v>1500</v>
      </c>
      <c r="E42" s="290"/>
    </row>
    <row r="43" spans="1:5" ht="18.600000000000001" customHeight="1">
      <c r="A43" s="29">
        <v>40</v>
      </c>
      <c r="B43" s="44" t="s">
        <v>39</v>
      </c>
      <c r="C43" s="29" t="s">
        <v>1083</v>
      </c>
      <c r="D43" s="249">
        <v>3150000</v>
      </c>
      <c r="E43" s="290"/>
    </row>
    <row r="44" spans="1:5" ht="18.600000000000001" customHeight="1">
      <c r="A44" s="29">
        <v>41</v>
      </c>
      <c r="B44" s="44" t="s">
        <v>421</v>
      </c>
      <c r="C44" s="36" t="s">
        <v>928</v>
      </c>
      <c r="D44" s="52">
        <v>300</v>
      </c>
      <c r="E44" s="290"/>
    </row>
    <row r="45" spans="1:5" ht="18.600000000000001" customHeight="1">
      <c r="A45" s="29">
        <v>42</v>
      </c>
      <c r="B45" s="44" t="s">
        <v>1061</v>
      </c>
      <c r="C45" s="29" t="s">
        <v>1062</v>
      </c>
      <c r="D45" s="249">
        <v>10000</v>
      </c>
      <c r="E45" s="290"/>
    </row>
    <row r="46" spans="1:5" ht="18.600000000000001" customHeight="1">
      <c r="A46" s="29">
        <v>43</v>
      </c>
      <c r="B46" s="44" t="s">
        <v>422</v>
      </c>
      <c r="C46" s="40" t="s">
        <v>921</v>
      </c>
      <c r="D46" s="252">
        <v>2400000</v>
      </c>
      <c r="E46" s="290"/>
    </row>
    <row r="47" spans="1:5" ht="18.600000000000001" customHeight="1">
      <c r="A47" s="29">
        <v>44</v>
      </c>
      <c r="B47" s="44" t="s">
        <v>65</v>
      </c>
      <c r="C47" s="34" t="s">
        <v>1060</v>
      </c>
      <c r="D47" s="251">
        <v>3350000</v>
      </c>
      <c r="E47" s="290"/>
    </row>
    <row r="48" spans="1:5" ht="18.600000000000001" customHeight="1">
      <c r="A48" s="29">
        <v>45</v>
      </c>
      <c r="B48" s="44" t="s">
        <v>1059</v>
      </c>
      <c r="C48" s="29" t="s">
        <v>1060</v>
      </c>
      <c r="D48" s="251">
        <v>1450000</v>
      </c>
      <c r="E48" s="290"/>
    </row>
    <row r="49" spans="1:5" ht="18.600000000000001" customHeight="1">
      <c r="A49" s="118">
        <v>46</v>
      </c>
      <c r="B49" s="119" t="s">
        <v>58</v>
      </c>
      <c r="C49" s="118" t="s">
        <v>59</v>
      </c>
      <c r="D49" s="257">
        <v>10000</v>
      </c>
      <c r="E49" s="292"/>
    </row>
    <row r="50" spans="1:5" ht="18.600000000000001" customHeight="1">
      <c r="A50" s="124">
        <v>47</v>
      </c>
      <c r="B50" s="42" t="s">
        <v>648</v>
      </c>
      <c r="C50" s="43" t="s">
        <v>925</v>
      </c>
      <c r="D50" s="51">
        <v>300000</v>
      </c>
      <c r="E50" s="291"/>
    </row>
    <row r="51" spans="1:5" ht="18.600000000000001" customHeight="1">
      <c r="A51" s="29">
        <v>48</v>
      </c>
      <c r="B51" s="250" t="s">
        <v>423</v>
      </c>
      <c r="C51" s="40" t="s">
        <v>921</v>
      </c>
      <c r="D51" s="252">
        <v>1250000</v>
      </c>
      <c r="E51" s="290"/>
    </row>
    <row r="52" spans="1:5" ht="18.600000000000001" customHeight="1">
      <c r="A52" s="29">
        <v>49</v>
      </c>
      <c r="B52" s="44" t="s">
        <v>1071</v>
      </c>
      <c r="C52" s="29" t="s">
        <v>951</v>
      </c>
      <c r="D52" s="249">
        <v>50000</v>
      </c>
      <c r="E52" s="290"/>
    </row>
    <row r="53" spans="1:5" ht="18.600000000000001" customHeight="1">
      <c r="A53" s="29">
        <v>50</v>
      </c>
      <c r="B53" s="44" t="s">
        <v>1063</v>
      </c>
      <c r="C53" s="29" t="s">
        <v>1021</v>
      </c>
      <c r="D53" s="249">
        <v>10000</v>
      </c>
      <c r="E53" s="290"/>
    </row>
    <row r="54" spans="1:5" ht="18.600000000000001" customHeight="1">
      <c r="A54" s="29">
        <v>51</v>
      </c>
      <c r="B54" s="44" t="s">
        <v>41</v>
      </c>
      <c r="C54" s="29" t="s">
        <v>1076</v>
      </c>
      <c r="D54" s="249">
        <v>14500</v>
      </c>
      <c r="E54" s="290" t="s">
        <v>655</v>
      </c>
    </row>
    <row r="55" spans="1:5" ht="18.600000000000001" customHeight="1">
      <c r="A55" s="29">
        <v>52</v>
      </c>
      <c r="B55" s="44" t="s">
        <v>424</v>
      </c>
      <c r="C55" s="36" t="s">
        <v>934</v>
      </c>
      <c r="D55" s="52">
        <v>10000</v>
      </c>
      <c r="E55" s="290"/>
    </row>
    <row r="56" spans="1:5" ht="18.600000000000001" customHeight="1">
      <c r="A56" s="29">
        <v>53</v>
      </c>
      <c r="B56" s="44" t="s">
        <v>1079</v>
      </c>
      <c r="C56" s="29" t="s">
        <v>1078</v>
      </c>
      <c r="D56" s="249">
        <v>5000</v>
      </c>
      <c r="E56" s="290"/>
    </row>
    <row r="57" spans="1:5" ht="18.600000000000001" customHeight="1">
      <c r="A57" s="29">
        <v>54</v>
      </c>
      <c r="B57" s="44" t="s">
        <v>1077</v>
      </c>
      <c r="C57" s="29" t="s">
        <v>1078</v>
      </c>
      <c r="D57" s="249">
        <v>5000</v>
      </c>
      <c r="E57" s="290"/>
    </row>
    <row r="58" spans="1:5" ht="18.600000000000001" customHeight="1">
      <c r="A58" s="29">
        <v>55</v>
      </c>
      <c r="B58" s="44" t="s">
        <v>1080</v>
      </c>
      <c r="C58" s="29" t="s">
        <v>1078</v>
      </c>
      <c r="D58" s="249">
        <v>5000</v>
      </c>
      <c r="E58" s="290"/>
    </row>
    <row r="59" spans="1:5" ht="18.600000000000001" customHeight="1">
      <c r="A59" s="29">
        <v>56</v>
      </c>
      <c r="B59" s="44" t="s">
        <v>1065</v>
      </c>
      <c r="C59" s="29" t="s">
        <v>1033</v>
      </c>
      <c r="D59" s="249">
        <v>10000</v>
      </c>
      <c r="E59" s="290"/>
    </row>
    <row r="60" spans="1:5" ht="18.600000000000001" customHeight="1">
      <c r="A60" s="29">
        <v>57</v>
      </c>
      <c r="B60" s="44" t="s">
        <v>1064</v>
      </c>
      <c r="C60" s="29" t="s">
        <v>1033</v>
      </c>
      <c r="D60" s="249">
        <v>5000</v>
      </c>
      <c r="E60" s="290"/>
    </row>
    <row r="61" spans="1:5" ht="18.600000000000001" customHeight="1">
      <c r="A61" s="29">
        <v>58</v>
      </c>
      <c r="B61" s="44" t="s">
        <v>1068</v>
      </c>
      <c r="C61" s="29" t="s">
        <v>1067</v>
      </c>
      <c r="D61" s="249">
        <v>150000</v>
      </c>
      <c r="E61" s="290"/>
    </row>
    <row r="62" spans="1:5" ht="18.600000000000001" customHeight="1">
      <c r="A62" s="29">
        <v>59</v>
      </c>
      <c r="B62" s="44" t="s">
        <v>1066</v>
      </c>
      <c r="C62" s="29" t="s">
        <v>1067</v>
      </c>
      <c r="D62" s="249">
        <v>200000</v>
      </c>
      <c r="E62" s="290"/>
    </row>
    <row r="63" spans="1:5" ht="18.600000000000001" customHeight="1">
      <c r="A63" s="29">
        <v>60</v>
      </c>
      <c r="B63" s="44" t="s">
        <v>649</v>
      </c>
      <c r="C63" s="29" t="s">
        <v>1033</v>
      </c>
      <c r="D63" s="249">
        <v>100000</v>
      </c>
      <c r="E63" s="290"/>
    </row>
    <row r="64" spans="1:5" ht="18.600000000000001" customHeight="1">
      <c r="A64" s="29">
        <v>61</v>
      </c>
      <c r="B64" s="250" t="s">
        <v>1075</v>
      </c>
      <c r="C64" s="29" t="s">
        <v>1076</v>
      </c>
      <c r="D64" s="249">
        <v>25000</v>
      </c>
      <c r="E64" s="290" t="s">
        <v>657</v>
      </c>
    </row>
    <row r="65" spans="1:5" ht="18.600000000000001" customHeight="1">
      <c r="A65" s="29">
        <v>62</v>
      </c>
      <c r="B65" s="44" t="s">
        <v>425</v>
      </c>
      <c r="C65" s="40" t="s">
        <v>919</v>
      </c>
      <c r="D65" s="252">
        <v>3000</v>
      </c>
      <c r="E65" s="290"/>
    </row>
    <row r="66" spans="1:5" ht="18.600000000000001" customHeight="1">
      <c r="A66" s="29">
        <v>63</v>
      </c>
      <c r="B66" s="44" t="s">
        <v>767</v>
      </c>
      <c r="C66" s="40" t="s">
        <v>919</v>
      </c>
      <c r="D66" s="252">
        <v>150000</v>
      </c>
      <c r="E66" s="290"/>
    </row>
    <row r="67" spans="1:5" ht="18.600000000000001" customHeight="1">
      <c r="A67" s="29">
        <v>64</v>
      </c>
      <c r="B67" s="44" t="s">
        <v>1069</v>
      </c>
      <c r="C67" s="29" t="s">
        <v>1070</v>
      </c>
      <c r="D67" s="249">
        <v>23027</v>
      </c>
      <c r="E67" s="290"/>
    </row>
    <row r="68" spans="1:5" ht="18.600000000000001" customHeight="1">
      <c r="A68" s="29">
        <v>65</v>
      </c>
      <c r="B68" s="44" t="s">
        <v>1081</v>
      </c>
      <c r="C68" s="29" t="s">
        <v>1082</v>
      </c>
      <c r="D68" s="249">
        <v>1185</v>
      </c>
      <c r="E68" s="290" t="s">
        <v>656</v>
      </c>
    </row>
    <row r="69" spans="1:5" ht="18.600000000000001" customHeight="1">
      <c r="A69" s="118"/>
      <c r="B69" s="255"/>
      <c r="C69" s="255"/>
      <c r="D69" s="255"/>
      <c r="E69" s="292"/>
    </row>
  </sheetData>
  <mergeCells count="1">
    <mergeCell ref="A1:E1"/>
  </mergeCells>
  <phoneticPr fontId="45" type="noConversion"/>
  <printOptions horizontalCentered="1"/>
  <pageMargins left="1.14173228346457" right="0.94488188976377996" top="0.98425196850393704" bottom="0.98425196850393704" header="0.511811023622047" footer="0.511811023622047"/>
  <pageSetup paperSize="9" firstPageNumber="238" orientation="landscape"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G79"/>
  <sheetViews>
    <sheetView zoomScaleNormal="100" workbookViewId="0">
      <selection activeCell="B19" sqref="B19"/>
    </sheetView>
  </sheetViews>
  <sheetFormatPr defaultRowHeight="16.5"/>
  <cols>
    <col min="1" max="1" width="7.77734375" style="229" customWidth="1"/>
    <col min="2" max="2" width="26" customWidth="1"/>
    <col min="3" max="3" width="9.21875" customWidth="1"/>
    <col min="4" max="4" width="9.6640625" style="220" customWidth="1"/>
    <col min="5" max="5" width="11.21875" customWidth="1"/>
    <col min="6" max="6" width="11.109375" customWidth="1"/>
    <col min="7" max="7" width="18.21875" customWidth="1"/>
  </cols>
  <sheetData>
    <row r="1" spans="1:7" s="11" customFormat="1" ht="21.75" customHeight="1">
      <c r="A1" s="1050" t="s">
        <v>71</v>
      </c>
      <c r="B1" s="1050"/>
      <c r="C1" s="1050"/>
      <c r="D1" s="1050"/>
      <c r="E1" s="1050"/>
      <c r="F1" s="1050"/>
      <c r="G1" s="1050"/>
    </row>
    <row r="2" spans="1:7" ht="9" customHeight="1"/>
    <row r="3" spans="1:7" ht="53.45" customHeight="1">
      <c r="A3" s="235" t="s">
        <v>979</v>
      </c>
      <c r="B3" s="236" t="s">
        <v>66</v>
      </c>
      <c r="C3" s="236" t="s">
        <v>981</v>
      </c>
      <c r="D3" s="236" t="s">
        <v>241</v>
      </c>
      <c r="E3" s="236" t="s">
        <v>242</v>
      </c>
      <c r="F3" s="236" t="s">
        <v>239</v>
      </c>
      <c r="G3" s="236" t="s">
        <v>983</v>
      </c>
    </row>
    <row r="4" spans="1:7" ht="17.25" customHeight="1">
      <c r="A4" s="231">
        <v>1</v>
      </c>
      <c r="B4" s="232" t="s">
        <v>412</v>
      </c>
      <c r="C4" s="233" t="s">
        <v>951</v>
      </c>
      <c r="D4" s="234">
        <v>48</v>
      </c>
      <c r="E4" s="123">
        <v>300000</v>
      </c>
      <c r="F4" s="219">
        <f t="shared" ref="F4:F36" si="0">E4/(D4*26)</f>
        <v>240.38461538461539</v>
      </c>
      <c r="G4" s="280"/>
    </row>
    <row r="5" spans="1:7" ht="17.25" customHeight="1">
      <c r="A5" s="230">
        <v>2</v>
      </c>
      <c r="B5" s="224" t="s">
        <v>544</v>
      </c>
      <c r="C5" s="222" t="s">
        <v>202</v>
      </c>
      <c r="D5" s="221">
        <v>12</v>
      </c>
      <c r="E5" s="37">
        <v>100000</v>
      </c>
      <c r="F5" s="37">
        <f t="shared" si="0"/>
        <v>320.5128205128205</v>
      </c>
      <c r="G5" s="281"/>
    </row>
    <row r="6" spans="1:7" ht="17.25" customHeight="1">
      <c r="A6" s="230">
        <v>3</v>
      </c>
      <c r="B6" s="223" t="s">
        <v>610</v>
      </c>
      <c r="C6" s="222" t="s">
        <v>951</v>
      </c>
      <c r="D6" s="221">
        <v>12</v>
      </c>
      <c r="E6" s="37">
        <v>80000</v>
      </c>
      <c r="F6" s="115">
        <f t="shared" si="0"/>
        <v>256.41025641025641</v>
      </c>
      <c r="G6" s="281"/>
    </row>
    <row r="7" spans="1:7" ht="17.25" customHeight="1">
      <c r="A7" s="230">
        <v>4</v>
      </c>
      <c r="B7" s="223" t="s">
        <v>609</v>
      </c>
      <c r="C7" s="222" t="s">
        <v>951</v>
      </c>
      <c r="D7" s="221">
        <v>18</v>
      </c>
      <c r="E7" s="37">
        <v>150000</v>
      </c>
      <c r="F7" s="115">
        <f t="shared" si="0"/>
        <v>320.5128205128205</v>
      </c>
      <c r="G7" s="281"/>
    </row>
    <row r="8" spans="1:7" ht="17.25" customHeight="1">
      <c r="A8" s="230">
        <v>5</v>
      </c>
      <c r="B8" s="223" t="s">
        <v>413</v>
      </c>
      <c r="C8" s="222" t="s">
        <v>951</v>
      </c>
      <c r="D8" s="221">
        <v>48</v>
      </c>
      <c r="E8" s="37">
        <v>1050000</v>
      </c>
      <c r="F8" s="115">
        <f t="shared" si="0"/>
        <v>841.34615384615381</v>
      </c>
      <c r="G8" s="281"/>
    </row>
    <row r="9" spans="1:7" ht="17.25" customHeight="1">
      <c r="A9" s="230">
        <v>6</v>
      </c>
      <c r="B9" s="223" t="s">
        <v>611</v>
      </c>
      <c r="C9" s="222" t="s">
        <v>951</v>
      </c>
      <c r="D9" s="221">
        <v>18</v>
      </c>
      <c r="E9" s="37">
        <v>180000</v>
      </c>
      <c r="F9" s="115">
        <f t="shared" si="0"/>
        <v>384.61538461538464</v>
      </c>
      <c r="G9" s="281"/>
    </row>
    <row r="10" spans="1:7" ht="17.25" customHeight="1">
      <c r="A10" s="230">
        <v>7</v>
      </c>
      <c r="B10" s="224" t="s">
        <v>209</v>
      </c>
      <c r="C10" s="222" t="s">
        <v>202</v>
      </c>
      <c r="D10" s="221">
        <v>12</v>
      </c>
      <c r="E10" s="37">
        <v>25000</v>
      </c>
      <c r="F10" s="37">
        <f t="shared" si="0"/>
        <v>80.128205128205124</v>
      </c>
      <c r="G10" s="281"/>
    </row>
    <row r="11" spans="1:7" ht="17.25" customHeight="1">
      <c r="A11" s="230">
        <v>8</v>
      </c>
      <c r="B11" s="224" t="s">
        <v>210</v>
      </c>
      <c r="C11" s="222" t="s">
        <v>202</v>
      </c>
      <c r="D11" s="221">
        <v>12</v>
      </c>
      <c r="E11" s="37">
        <v>35000</v>
      </c>
      <c r="F11" s="37">
        <f t="shared" si="0"/>
        <v>112.17948717948718</v>
      </c>
      <c r="G11" s="281"/>
    </row>
    <row r="12" spans="1:7" ht="17.25" customHeight="1">
      <c r="A12" s="230">
        <v>9</v>
      </c>
      <c r="B12" s="224" t="s">
        <v>208</v>
      </c>
      <c r="C12" s="222" t="s">
        <v>202</v>
      </c>
      <c r="D12" s="221">
        <v>12</v>
      </c>
      <c r="E12" s="37">
        <v>48000</v>
      </c>
      <c r="F12" s="37">
        <f t="shared" si="0"/>
        <v>153.84615384615384</v>
      </c>
      <c r="G12" s="281"/>
    </row>
    <row r="13" spans="1:7" ht="17.25" customHeight="1">
      <c r="A13" s="230">
        <v>10</v>
      </c>
      <c r="B13" s="224" t="s">
        <v>204</v>
      </c>
      <c r="C13" s="222" t="s">
        <v>202</v>
      </c>
      <c r="D13" s="221">
        <v>60</v>
      </c>
      <c r="E13" s="37">
        <v>754000</v>
      </c>
      <c r="F13" s="37">
        <f t="shared" si="0"/>
        <v>483.33333333333331</v>
      </c>
      <c r="G13" s="281"/>
    </row>
    <row r="14" spans="1:7" ht="17.25" customHeight="1">
      <c r="A14" s="230">
        <v>11</v>
      </c>
      <c r="B14" s="223" t="s">
        <v>1042</v>
      </c>
      <c r="C14" s="222" t="s">
        <v>951</v>
      </c>
      <c r="D14" s="221">
        <v>12</v>
      </c>
      <c r="E14" s="37">
        <v>230000</v>
      </c>
      <c r="F14" s="115">
        <f t="shared" si="0"/>
        <v>737.17948717948718</v>
      </c>
      <c r="G14" s="281"/>
    </row>
    <row r="15" spans="1:7" ht="17.25" customHeight="1">
      <c r="A15" s="230">
        <v>12</v>
      </c>
      <c r="B15" s="223" t="s">
        <v>612</v>
      </c>
      <c r="C15" s="222" t="s">
        <v>951</v>
      </c>
      <c r="D15" s="221">
        <v>12</v>
      </c>
      <c r="E15" s="37">
        <v>30000</v>
      </c>
      <c r="F15" s="115">
        <f t="shared" si="0"/>
        <v>96.15384615384616</v>
      </c>
      <c r="G15" s="281"/>
    </row>
    <row r="16" spans="1:7" ht="17.25" customHeight="1">
      <c r="A16" s="230">
        <v>13</v>
      </c>
      <c r="B16" s="223" t="s">
        <v>613</v>
      </c>
      <c r="C16" s="222" t="s">
        <v>385</v>
      </c>
      <c r="D16" s="221">
        <v>24</v>
      </c>
      <c r="E16" s="37">
        <v>120000</v>
      </c>
      <c r="F16" s="115">
        <f t="shared" si="0"/>
        <v>192.30769230769232</v>
      </c>
      <c r="G16" s="281"/>
    </row>
    <row r="17" spans="1:7" ht="17.25" customHeight="1">
      <c r="A17" s="230">
        <v>14</v>
      </c>
      <c r="B17" s="223" t="s">
        <v>614</v>
      </c>
      <c r="C17" s="222" t="s">
        <v>385</v>
      </c>
      <c r="D17" s="221">
        <v>24</v>
      </c>
      <c r="E17" s="37">
        <v>300000</v>
      </c>
      <c r="F17" s="115">
        <f t="shared" si="0"/>
        <v>480.76923076923077</v>
      </c>
      <c r="G17" s="281"/>
    </row>
    <row r="18" spans="1:7" ht="17.25" customHeight="1">
      <c r="A18" s="230">
        <v>15</v>
      </c>
      <c r="B18" s="223" t="s">
        <v>1044</v>
      </c>
      <c r="C18" s="222" t="s">
        <v>951</v>
      </c>
      <c r="D18" s="221">
        <v>36</v>
      </c>
      <c r="E18" s="37">
        <v>90000</v>
      </c>
      <c r="F18" s="115">
        <f t="shared" si="0"/>
        <v>96.15384615384616</v>
      </c>
      <c r="G18" s="281"/>
    </row>
    <row r="19" spans="1:7" s="297" customFormat="1">
      <c r="A19" s="230">
        <v>16</v>
      </c>
      <c r="B19" s="294" t="s">
        <v>658</v>
      </c>
      <c r="C19" s="293" t="s">
        <v>951</v>
      </c>
      <c r="D19" s="221">
        <v>36</v>
      </c>
      <c r="E19" s="295">
        <v>10000</v>
      </c>
      <c r="F19" s="296">
        <f t="shared" si="0"/>
        <v>10.683760683760683</v>
      </c>
      <c r="G19" s="298"/>
    </row>
    <row r="20" spans="1:7" ht="17.25" customHeight="1">
      <c r="A20" s="230">
        <v>17</v>
      </c>
      <c r="B20" s="225" t="s">
        <v>42</v>
      </c>
      <c r="C20" s="222" t="s">
        <v>951</v>
      </c>
      <c r="D20" s="221">
        <v>36</v>
      </c>
      <c r="E20" s="37">
        <v>30000</v>
      </c>
      <c r="F20" s="37">
        <f t="shared" si="0"/>
        <v>32.051282051282051</v>
      </c>
      <c r="G20" s="281"/>
    </row>
    <row r="21" spans="1:7" ht="17.25" customHeight="1">
      <c r="A21" s="230">
        <v>18</v>
      </c>
      <c r="B21" s="225" t="s">
        <v>43</v>
      </c>
      <c r="C21" s="222" t="s">
        <v>951</v>
      </c>
      <c r="D21" s="221">
        <v>24</v>
      </c>
      <c r="E21" s="37">
        <v>25000</v>
      </c>
      <c r="F21" s="37">
        <f t="shared" si="0"/>
        <v>40.064102564102562</v>
      </c>
      <c r="G21" s="281"/>
    </row>
    <row r="22" spans="1:7" ht="17.25" customHeight="1">
      <c r="A22" s="230">
        <v>19</v>
      </c>
      <c r="B22" s="223" t="s">
        <v>50</v>
      </c>
      <c r="C22" s="222" t="s">
        <v>951</v>
      </c>
      <c r="D22" s="221">
        <v>24</v>
      </c>
      <c r="E22" s="37">
        <v>20000</v>
      </c>
      <c r="F22" s="37">
        <f t="shared" si="0"/>
        <v>32.051282051282051</v>
      </c>
      <c r="G22" s="281"/>
    </row>
    <row r="23" spans="1:7" ht="17.25" customHeight="1">
      <c r="A23" s="230">
        <v>20</v>
      </c>
      <c r="B23" s="224" t="s">
        <v>382</v>
      </c>
      <c r="C23" s="222" t="s">
        <v>202</v>
      </c>
      <c r="D23" s="221">
        <v>12</v>
      </c>
      <c r="E23" s="37">
        <v>25000</v>
      </c>
      <c r="F23" s="37">
        <f t="shared" si="0"/>
        <v>80.128205128205124</v>
      </c>
      <c r="G23" s="281"/>
    </row>
    <row r="24" spans="1:7" ht="17.25" customHeight="1">
      <c r="A24" s="230">
        <v>21</v>
      </c>
      <c r="B24" s="224" t="s">
        <v>62</v>
      </c>
      <c r="C24" s="222" t="s">
        <v>202</v>
      </c>
      <c r="D24" s="221">
        <v>4</v>
      </c>
      <c r="E24" s="37">
        <v>100000</v>
      </c>
      <c r="F24" s="37">
        <f t="shared" si="0"/>
        <v>961.53846153846155</v>
      </c>
      <c r="G24" s="281"/>
    </row>
    <row r="25" spans="1:7" ht="17.25" customHeight="1">
      <c r="A25" s="230">
        <v>22</v>
      </c>
      <c r="B25" s="223" t="s">
        <v>615</v>
      </c>
      <c r="C25" s="222" t="s">
        <v>202</v>
      </c>
      <c r="D25" s="221">
        <v>12</v>
      </c>
      <c r="E25" s="37">
        <v>10000</v>
      </c>
      <c r="F25" s="115">
        <f t="shared" si="0"/>
        <v>32.051282051282051</v>
      </c>
      <c r="G25" s="281"/>
    </row>
    <row r="26" spans="1:7" ht="17.25" customHeight="1">
      <c r="A26" s="230">
        <v>23</v>
      </c>
      <c r="B26" s="223" t="s">
        <v>616</v>
      </c>
      <c r="C26" s="222" t="s">
        <v>951</v>
      </c>
      <c r="D26" s="221">
        <v>24</v>
      </c>
      <c r="E26" s="37">
        <v>15000</v>
      </c>
      <c r="F26" s="115">
        <f t="shared" si="0"/>
        <v>24.03846153846154</v>
      </c>
      <c r="G26" s="281"/>
    </row>
    <row r="27" spans="1:7" ht="17.25" customHeight="1">
      <c r="A27" s="244">
        <v>24</v>
      </c>
      <c r="B27" s="283" t="s">
        <v>617</v>
      </c>
      <c r="C27" s="245" t="s">
        <v>951</v>
      </c>
      <c r="D27" s="246">
        <v>24</v>
      </c>
      <c r="E27" s="117">
        <v>50000</v>
      </c>
      <c r="F27" s="116">
        <f t="shared" si="0"/>
        <v>80.128205128205124</v>
      </c>
      <c r="G27" s="255"/>
    </row>
    <row r="28" spans="1:7" ht="17.45" customHeight="1">
      <c r="A28" s="231">
        <v>25</v>
      </c>
      <c r="B28" s="232" t="s">
        <v>44</v>
      </c>
      <c r="C28" s="233" t="s">
        <v>951</v>
      </c>
      <c r="D28" s="234">
        <v>24</v>
      </c>
      <c r="E28" s="123">
        <v>20000</v>
      </c>
      <c r="F28" s="123">
        <f t="shared" si="0"/>
        <v>32.051282051282051</v>
      </c>
      <c r="G28" s="282"/>
    </row>
    <row r="29" spans="1:7" ht="17.45" customHeight="1">
      <c r="A29" s="230">
        <v>26</v>
      </c>
      <c r="B29" s="223" t="s">
        <v>618</v>
      </c>
      <c r="C29" s="222" t="s">
        <v>951</v>
      </c>
      <c r="D29" s="221">
        <v>24</v>
      </c>
      <c r="E29" s="37">
        <v>75000</v>
      </c>
      <c r="F29" s="115">
        <f t="shared" si="0"/>
        <v>120.19230769230769</v>
      </c>
      <c r="G29" s="281"/>
    </row>
    <row r="30" spans="1:7" ht="17.45" customHeight="1">
      <c r="A30" s="230">
        <v>27</v>
      </c>
      <c r="B30" s="223" t="s">
        <v>619</v>
      </c>
      <c r="C30" s="222" t="s">
        <v>951</v>
      </c>
      <c r="D30" s="221">
        <v>12</v>
      </c>
      <c r="E30" s="37">
        <v>60000</v>
      </c>
      <c r="F30" s="115">
        <f t="shared" si="0"/>
        <v>192.30769230769232</v>
      </c>
      <c r="G30" s="281"/>
    </row>
    <row r="31" spans="1:7" ht="17.45" customHeight="1">
      <c r="A31" s="230">
        <v>28</v>
      </c>
      <c r="B31" s="223" t="s">
        <v>620</v>
      </c>
      <c r="C31" s="222" t="s">
        <v>951</v>
      </c>
      <c r="D31" s="221">
        <v>24</v>
      </c>
      <c r="E31" s="37">
        <v>40000</v>
      </c>
      <c r="F31" s="115">
        <f t="shared" si="0"/>
        <v>64.102564102564102</v>
      </c>
      <c r="G31" s="281"/>
    </row>
    <row r="32" spans="1:7" ht="17.45" customHeight="1">
      <c r="A32" s="230">
        <v>29</v>
      </c>
      <c r="B32" s="223" t="s">
        <v>621</v>
      </c>
      <c r="C32" s="222" t="s">
        <v>951</v>
      </c>
      <c r="D32" s="221">
        <v>12</v>
      </c>
      <c r="E32" s="37">
        <v>40000</v>
      </c>
      <c r="F32" s="115">
        <f t="shared" si="0"/>
        <v>128.2051282051282</v>
      </c>
      <c r="G32" s="281"/>
    </row>
    <row r="33" spans="1:7" ht="17.45" customHeight="1">
      <c r="A33" s="230">
        <v>30</v>
      </c>
      <c r="B33" s="224" t="s">
        <v>63</v>
      </c>
      <c r="C33" s="222" t="s">
        <v>202</v>
      </c>
      <c r="D33" s="221">
        <v>72</v>
      </c>
      <c r="E33" s="37">
        <v>900000</v>
      </c>
      <c r="F33" s="37">
        <f t="shared" si="0"/>
        <v>480.76923076923077</v>
      </c>
      <c r="G33" s="281"/>
    </row>
    <row r="34" spans="1:7" ht="17.45" customHeight="1">
      <c r="A34" s="230">
        <v>31</v>
      </c>
      <c r="B34" s="224" t="s">
        <v>384</v>
      </c>
      <c r="C34" s="222" t="s">
        <v>385</v>
      </c>
      <c r="D34" s="221">
        <v>30</v>
      </c>
      <c r="E34" s="37">
        <v>65000</v>
      </c>
      <c r="F34" s="37">
        <f t="shared" si="0"/>
        <v>83.333333333333329</v>
      </c>
      <c r="G34" s="281"/>
    </row>
    <row r="35" spans="1:7" ht="17.45" customHeight="1">
      <c r="A35" s="230">
        <v>32</v>
      </c>
      <c r="B35" s="223" t="s">
        <v>622</v>
      </c>
      <c r="C35" s="222" t="s">
        <v>951</v>
      </c>
      <c r="D35" s="221">
        <v>12</v>
      </c>
      <c r="E35" s="37">
        <v>40000</v>
      </c>
      <c r="F35" s="115">
        <f t="shared" si="0"/>
        <v>128.2051282051282</v>
      </c>
      <c r="G35" s="281"/>
    </row>
    <row r="36" spans="1:7" ht="17.45" customHeight="1">
      <c r="A36" s="230">
        <v>33</v>
      </c>
      <c r="B36" s="224" t="s">
        <v>213</v>
      </c>
      <c r="C36" s="222" t="s">
        <v>381</v>
      </c>
      <c r="D36" s="221">
        <v>6</v>
      </c>
      <c r="E36" s="37">
        <v>18000</v>
      </c>
      <c r="F36" s="37">
        <f t="shared" si="0"/>
        <v>115.38461538461539</v>
      </c>
      <c r="G36" s="281"/>
    </row>
    <row r="37" spans="1:7" ht="17.45" customHeight="1">
      <c r="A37" s="230">
        <v>34</v>
      </c>
      <c r="B37" s="223" t="s">
        <v>1017</v>
      </c>
      <c r="C37" s="222" t="s">
        <v>951</v>
      </c>
      <c r="D37" s="221">
        <v>36</v>
      </c>
      <c r="E37" s="37">
        <v>150000</v>
      </c>
      <c r="F37" s="115">
        <f t="shared" ref="F37:F68" si="1">E37/(D37*26)</f>
        <v>160.25641025641025</v>
      </c>
      <c r="G37" s="281"/>
    </row>
    <row r="38" spans="1:7" ht="17.45" customHeight="1">
      <c r="A38" s="230">
        <v>35</v>
      </c>
      <c r="B38" s="223" t="s">
        <v>49</v>
      </c>
      <c r="C38" s="222" t="s">
        <v>951</v>
      </c>
      <c r="D38" s="221">
        <v>36</v>
      </c>
      <c r="E38" s="37">
        <v>50000</v>
      </c>
      <c r="F38" s="37">
        <f t="shared" si="1"/>
        <v>53.418803418803421</v>
      </c>
      <c r="G38" s="281"/>
    </row>
    <row r="39" spans="1:7" ht="17.45" customHeight="1">
      <c r="A39" s="230">
        <v>36</v>
      </c>
      <c r="B39" s="224" t="s">
        <v>201</v>
      </c>
      <c r="C39" s="222" t="s">
        <v>202</v>
      </c>
      <c r="D39" s="221">
        <v>36</v>
      </c>
      <c r="E39" s="37">
        <v>230000</v>
      </c>
      <c r="F39" s="37">
        <f t="shared" si="1"/>
        <v>245.72649572649573</v>
      </c>
      <c r="G39" s="281"/>
    </row>
    <row r="40" spans="1:7" ht="17.45" customHeight="1">
      <c r="A40" s="230">
        <v>37</v>
      </c>
      <c r="B40" s="223" t="s">
        <v>1018</v>
      </c>
      <c r="C40" s="222" t="s">
        <v>1019</v>
      </c>
      <c r="D40" s="221">
        <v>24</v>
      </c>
      <c r="E40" s="37">
        <v>60000</v>
      </c>
      <c r="F40" s="115">
        <f t="shared" si="1"/>
        <v>96.15384615384616</v>
      </c>
      <c r="G40" s="281"/>
    </row>
    <row r="41" spans="1:7" ht="17.45" customHeight="1">
      <c r="A41" s="230">
        <v>38</v>
      </c>
      <c r="B41" s="223" t="s">
        <v>1020</v>
      </c>
      <c r="C41" s="222" t="s">
        <v>1021</v>
      </c>
      <c r="D41" s="221">
        <v>6</v>
      </c>
      <c r="E41" s="37">
        <v>25000</v>
      </c>
      <c r="F41" s="115">
        <f t="shared" si="1"/>
        <v>160.25641025641025</v>
      </c>
      <c r="G41" s="281"/>
    </row>
    <row r="42" spans="1:7" ht="17.45" customHeight="1">
      <c r="A42" s="230">
        <v>39</v>
      </c>
      <c r="B42" s="284" t="s">
        <v>203</v>
      </c>
      <c r="C42" s="222" t="s">
        <v>202</v>
      </c>
      <c r="D42" s="221">
        <v>60</v>
      </c>
      <c r="E42" s="37">
        <v>360000</v>
      </c>
      <c r="F42" s="37">
        <f t="shared" si="1"/>
        <v>230.76923076923077</v>
      </c>
      <c r="G42" s="281"/>
    </row>
    <row r="43" spans="1:7" ht="17.45" customHeight="1">
      <c r="A43" s="230">
        <v>40</v>
      </c>
      <c r="B43" s="223" t="s">
        <v>1022</v>
      </c>
      <c r="C43" s="222" t="s">
        <v>1021</v>
      </c>
      <c r="D43" s="221">
        <v>12</v>
      </c>
      <c r="E43" s="37">
        <v>85000</v>
      </c>
      <c r="F43" s="115">
        <f t="shared" si="1"/>
        <v>272.43589743589746</v>
      </c>
      <c r="G43" s="281"/>
    </row>
    <row r="44" spans="1:7" ht="17.45" customHeight="1">
      <c r="A44" s="230">
        <v>41</v>
      </c>
      <c r="B44" s="223" t="s">
        <v>1024</v>
      </c>
      <c r="C44" s="222" t="s">
        <v>951</v>
      </c>
      <c r="D44" s="221">
        <v>48</v>
      </c>
      <c r="E44" s="37">
        <v>150000</v>
      </c>
      <c r="F44" s="115">
        <f t="shared" si="1"/>
        <v>120.19230769230769</v>
      </c>
      <c r="G44" s="281"/>
    </row>
    <row r="45" spans="1:7" ht="17.45" customHeight="1">
      <c r="A45" s="230">
        <v>42</v>
      </c>
      <c r="B45" s="223" t="s">
        <v>1023</v>
      </c>
      <c r="C45" s="222" t="s">
        <v>951</v>
      </c>
      <c r="D45" s="221">
        <v>48</v>
      </c>
      <c r="E45" s="37">
        <v>150000</v>
      </c>
      <c r="F45" s="115">
        <f t="shared" si="1"/>
        <v>120.19230769230769</v>
      </c>
      <c r="G45" s="281"/>
    </row>
    <row r="46" spans="1:7" ht="17.45" customHeight="1">
      <c r="A46" s="230">
        <v>43</v>
      </c>
      <c r="B46" s="224" t="s">
        <v>211</v>
      </c>
      <c r="C46" s="222" t="s">
        <v>202</v>
      </c>
      <c r="D46" s="221">
        <v>9</v>
      </c>
      <c r="E46" s="37">
        <v>15000</v>
      </c>
      <c r="F46" s="37">
        <f t="shared" si="1"/>
        <v>64.102564102564102</v>
      </c>
      <c r="G46" s="281"/>
    </row>
    <row r="47" spans="1:7" ht="17.45" customHeight="1">
      <c r="A47" s="230">
        <v>44</v>
      </c>
      <c r="B47" s="225" t="s">
        <v>46</v>
      </c>
      <c r="C47" s="222" t="s">
        <v>951</v>
      </c>
      <c r="D47" s="221">
        <v>6</v>
      </c>
      <c r="E47" s="37">
        <v>1000</v>
      </c>
      <c r="F47" s="37">
        <f t="shared" si="1"/>
        <v>6.4102564102564106</v>
      </c>
      <c r="G47" s="281"/>
    </row>
    <row r="48" spans="1:7" ht="17.45" customHeight="1">
      <c r="A48" s="230">
        <v>45</v>
      </c>
      <c r="B48" s="223" t="s">
        <v>1025</v>
      </c>
      <c r="C48" s="222" t="s">
        <v>951</v>
      </c>
      <c r="D48" s="221">
        <v>24</v>
      </c>
      <c r="E48" s="37">
        <v>30000</v>
      </c>
      <c r="F48" s="115">
        <f t="shared" si="1"/>
        <v>48.07692307692308</v>
      </c>
      <c r="G48" s="281"/>
    </row>
    <row r="49" spans="1:7" ht="17.45" customHeight="1">
      <c r="A49" s="230">
        <v>46</v>
      </c>
      <c r="B49" s="227" t="s">
        <v>632</v>
      </c>
      <c r="C49" s="226" t="s">
        <v>633</v>
      </c>
      <c r="D49" s="221">
        <v>48</v>
      </c>
      <c r="E49" s="40">
        <v>25000</v>
      </c>
      <c r="F49" s="37">
        <f t="shared" si="1"/>
        <v>20.032051282051281</v>
      </c>
      <c r="G49" s="281"/>
    </row>
    <row r="50" spans="1:7" ht="17.45" customHeight="1">
      <c r="A50" s="230">
        <v>47</v>
      </c>
      <c r="B50" s="224" t="s">
        <v>61</v>
      </c>
      <c r="C50" s="222" t="s">
        <v>202</v>
      </c>
      <c r="D50" s="221">
        <v>60</v>
      </c>
      <c r="E50" s="37">
        <v>2360000</v>
      </c>
      <c r="F50" s="37">
        <f t="shared" si="1"/>
        <v>1512.8205128205129</v>
      </c>
      <c r="G50" s="281"/>
    </row>
    <row r="51" spans="1:7" ht="17.45" customHeight="1">
      <c r="A51" s="230">
        <v>48</v>
      </c>
      <c r="B51" s="223" t="s">
        <v>1045</v>
      </c>
      <c r="C51" s="222" t="s">
        <v>202</v>
      </c>
      <c r="D51" s="221">
        <v>72</v>
      </c>
      <c r="E51" s="37">
        <v>3500000</v>
      </c>
      <c r="F51" s="115">
        <f>E51/(D51*26)</f>
        <v>1869.6581196581196</v>
      </c>
      <c r="G51" s="281"/>
    </row>
    <row r="52" spans="1:7" ht="17.45" customHeight="1">
      <c r="A52" s="244">
        <v>49</v>
      </c>
      <c r="B52" s="285" t="s">
        <v>257</v>
      </c>
      <c r="C52" s="245" t="s">
        <v>202</v>
      </c>
      <c r="D52" s="246">
        <v>60</v>
      </c>
      <c r="E52" s="117">
        <v>6519000</v>
      </c>
      <c r="F52" s="117">
        <f t="shared" si="1"/>
        <v>4178.8461538461543</v>
      </c>
      <c r="G52" s="255"/>
    </row>
    <row r="53" spans="1:7" ht="15.6" customHeight="1">
      <c r="A53" s="231">
        <v>50</v>
      </c>
      <c r="B53" s="243" t="s">
        <v>207</v>
      </c>
      <c r="C53" s="233" t="s">
        <v>202</v>
      </c>
      <c r="D53" s="234">
        <v>36</v>
      </c>
      <c r="E53" s="123">
        <v>270000</v>
      </c>
      <c r="F53" s="123">
        <f t="shared" si="1"/>
        <v>288.46153846153845</v>
      </c>
      <c r="G53" s="282"/>
    </row>
    <row r="54" spans="1:7" ht="15.6" customHeight="1">
      <c r="A54" s="230">
        <v>51</v>
      </c>
      <c r="B54" s="223" t="s">
        <v>47</v>
      </c>
      <c r="C54" s="222" t="s">
        <v>951</v>
      </c>
      <c r="D54" s="221">
        <v>36</v>
      </c>
      <c r="E54" s="37">
        <v>875000</v>
      </c>
      <c r="F54" s="37">
        <f t="shared" si="1"/>
        <v>934.82905982905982</v>
      </c>
      <c r="G54" s="281"/>
    </row>
    <row r="55" spans="1:7" ht="15.6" customHeight="1">
      <c r="A55" s="230">
        <v>52</v>
      </c>
      <c r="B55" s="223" t="s">
        <v>1026</v>
      </c>
      <c r="C55" s="222" t="s">
        <v>951</v>
      </c>
      <c r="D55" s="221">
        <v>12</v>
      </c>
      <c r="E55" s="37">
        <v>40000</v>
      </c>
      <c r="F55" s="115">
        <f t="shared" si="1"/>
        <v>128.2051282051282</v>
      </c>
      <c r="G55" s="281"/>
    </row>
    <row r="56" spans="1:7" ht="15.6" customHeight="1">
      <c r="A56" s="230">
        <v>53</v>
      </c>
      <c r="B56" s="223" t="s">
        <v>1043</v>
      </c>
      <c r="C56" s="222" t="s">
        <v>951</v>
      </c>
      <c r="D56" s="221">
        <v>48</v>
      </c>
      <c r="E56" s="37">
        <v>150000</v>
      </c>
      <c r="F56" s="115">
        <f t="shared" si="1"/>
        <v>120.19230769230769</v>
      </c>
      <c r="G56" s="281"/>
    </row>
    <row r="57" spans="1:7" ht="15.6" customHeight="1">
      <c r="A57" s="230">
        <v>54</v>
      </c>
      <c r="B57" s="223" t="s">
        <v>1027</v>
      </c>
      <c r="C57" s="222" t="s">
        <v>1028</v>
      </c>
      <c r="D57" s="221">
        <v>9</v>
      </c>
      <c r="E57" s="37">
        <v>50000</v>
      </c>
      <c r="F57" s="115">
        <f t="shared" si="1"/>
        <v>213.67521367521368</v>
      </c>
      <c r="G57" s="281"/>
    </row>
    <row r="58" spans="1:7" ht="15.6" customHeight="1">
      <c r="A58" s="230">
        <v>55</v>
      </c>
      <c r="B58" s="223" t="s">
        <v>1029</v>
      </c>
      <c r="C58" s="222" t="s">
        <v>1030</v>
      </c>
      <c r="D58" s="221">
        <v>9</v>
      </c>
      <c r="E58" s="37">
        <v>20000</v>
      </c>
      <c r="F58" s="115">
        <f t="shared" si="1"/>
        <v>85.470085470085465</v>
      </c>
      <c r="G58" s="281"/>
    </row>
    <row r="59" spans="1:7" ht="15.6" customHeight="1">
      <c r="A59" s="230">
        <v>56</v>
      </c>
      <c r="B59" s="223" t="s">
        <v>1031</v>
      </c>
      <c r="C59" s="222" t="s">
        <v>951</v>
      </c>
      <c r="D59" s="221">
        <v>24</v>
      </c>
      <c r="E59" s="37">
        <v>60000</v>
      </c>
      <c r="F59" s="115">
        <f t="shared" si="1"/>
        <v>96.15384615384616</v>
      </c>
      <c r="G59" s="281"/>
    </row>
    <row r="60" spans="1:7" ht="15.6" customHeight="1">
      <c r="A60" s="230">
        <v>57</v>
      </c>
      <c r="B60" s="223" t="s">
        <v>502</v>
      </c>
      <c r="C60" s="222" t="s">
        <v>951</v>
      </c>
      <c r="D60" s="221">
        <v>24</v>
      </c>
      <c r="E60" s="37">
        <v>50000</v>
      </c>
      <c r="F60" s="115">
        <f t="shared" si="1"/>
        <v>80.128205128205124</v>
      </c>
      <c r="G60" s="281"/>
    </row>
    <row r="61" spans="1:7" ht="15.6" customHeight="1">
      <c r="A61" s="230">
        <v>58</v>
      </c>
      <c r="B61" s="223" t="s">
        <v>414</v>
      </c>
      <c r="C61" s="222" t="s">
        <v>951</v>
      </c>
      <c r="D61" s="221">
        <v>60</v>
      </c>
      <c r="E61" s="37">
        <v>750000</v>
      </c>
      <c r="F61" s="115">
        <f t="shared" si="1"/>
        <v>480.76923076923077</v>
      </c>
      <c r="G61" s="281"/>
    </row>
    <row r="62" spans="1:7" ht="15.6" customHeight="1">
      <c r="A62" s="230">
        <v>59</v>
      </c>
      <c r="B62" s="223" t="s">
        <v>48</v>
      </c>
      <c r="C62" s="222" t="s">
        <v>951</v>
      </c>
      <c r="D62" s="221">
        <v>24</v>
      </c>
      <c r="E62" s="37">
        <v>12000</v>
      </c>
      <c r="F62" s="37">
        <f t="shared" si="1"/>
        <v>19.23076923076923</v>
      </c>
      <c r="G62" s="281"/>
    </row>
    <row r="63" spans="1:7" ht="15.6" customHeight="1">
      <c r="A63" s="230">
        <v>60</v>
      </c>
      <c r="B63" s="223" t="s">
        <v>1032</v>
      </c>
      <c r="C63" s="222" t="s">
        <v>1019</v>
      </c>
      <c r="D63" s="221">
        <v>9</v>
      </c>
      <c r="E63" s="37">
        <v>150000</v>
      </c>
      <c r="F63" s="115">
        <f t="shared" si="1"/>
        <v>641.02564102564099</v>
      </c>
      <c r="G63" s="281"/>
    </row>
    <row r="64" spans="1:7" ht="15.6" customHeight="1">
      <c r="A64" s="230">
        <v>61</v>
      </c>
      <c r="B64" s="224" t="s">
        <v>383</v>
      </c>
      <c r="C64" s="222" t="s">
        <v>202</v>
      </c>
      <c r="D64" s="221">
        <v>36</v>
      </c>
      <c r="E64" s="37">
        <v>870000</v>
      </c>
      <c r="F64" s="37">
        <f t="shared" si="1"/>
        <v>929.48717948717945</v>
      </c>
      <c r="G64" s="281"/>
    </row>
    <row r="65" spans="1:7" ht="15.6" customHeight="1">
      <c r="A65" s="230">
        <v>62</v>
      </c>
      <c r="B65" s="114" t="s">
        <v>428</v>
      </c>
      <c r="C65" s="226" t="s">
        <v>633</v>
      </c>
      <c r="D65" s="221">
        <v>60</v>
      </c>
      <c r="E65" s="37">
        <v>25000</v>
      </c>
      <c r="F65" s="115">
        <f t="shared" si="1"/>
        <v>16.025641025641026</v>
      </c>
      <c r="G65" s="281"/>
    </row>
    <row r="66" spans="1:7" ht="15.6" customHeight="1">
      <c r="A66" s="230">
        <v>63</v>
      </c>
      <c r="B66" s="223" t="s">
        <v>1034</v>
      </c>
      <c r="C66" s="222" t="s">
        <v>1021</v>
      </c>
      <c r="D66" s="221">
        <v>48</v>
      </c>
      <c r="E66" s="37">
        <v>15000</v>
      </c>
      <c r="F66" s="115">
        <f t="shared" si="1"/>
        <v>12.01923076923077</v>
      </c>
      <c r="G66" s="281"/>
    </row>
    <row r="67" spans="1:7" ht="15.6" customHeight="1">
      <c r="A67" s="230">
        <v>64</v>
      </c>
      <c r="B67" s="223" t="s">
        <v>1036</v>
      </c>
      <c r="C67" s="222" t="s">
        <v>951</v>
      </c>
      <c r="D67" s="221">
        <v>24</v>
      </c>
      <c r="E67" s="37">
        <v>60000</v>
      </c>
      <c r="F67" s="115">
        <f t="shared" si="1"/>
        <v>96.15384615384616</v>
      </c>
      <c r="G67" s="281"/>
    </row>
    <row r="68" spans="1:7" ht="15.6" customHeight="1">
      <c r="A68" s="230">
        <v>65</v>
      </c>
      <c r="B68" s="223" t="s">
        <v>51</v>
      </c>
      <c r="C68" s="222" t="s">
        <v>951</v>
      </c>
      <c r="D68" s="221">
        <v>24</v>
      </c>
      <c r="E68" s="37">
        <v>30000</v>
      </c>
      <c r="F68" s="37">
        <f t="shared" si="1"/>
        <v>48.07692307692308</v>
      </c>
      <c r="G68" s="281"/>
    </row>
    <row r="69" spans="1:7" ht="15.6" customHeight="1">
      <c r="A69" s="230">
        <v>66</v>
      </c>
      <c r="B69" s="223" t="s">
        <v>1037</v>
      </c>
      <c r="C69" s="222" t="s">
        <v>951</v>
      </c>
      <c r="D69" s="221">
        <v>36</v>
      </c>
      <c r="E69" s="37">
        <v>95000</v>
      </c>
      <c r="F69" s="115">
        <f t="shared" ref="F69:F78" si="2">E69/(D69*26)</f>
        <v>101.4957264957265</v>
      </c>
      <c r="G69" s="281"/>
    </row>
    <row r="70" spans="1:7" ht="15.6" customHeight="1">
      <c r="A70" s="230">
        <v>67</v>
      </c>
      <c r="B70" s="223" t="s">
        <v>1035</v>
      </c>
      <c r="C70" s="222" t="s">
        <v>951</v>
      </c>
      <c r="D70" s="221">
        <v>60</v>
      </c>
      <c r="E70" s="37">
        <v>60000</v>
      </c>
      <c r="F70" s="115">
        <f t="shared" si="2"/>
        <v>38.46153846153846</v>
      </c>
      <c r="G70" s="281"/>
    </row>
    <row r="71" spans="1:7" ht="15.6" customHeight="1">
      <c r="A71" s="230">
        <v>68</v>
      </c>
      <c r="B71" s="224" t="s">
        <v>206</v>
      </c>
      <c r="C71" s="222" t="s">
        <v>202</v>
      </c>
      <c r="D71" s="221">
        <v>24</v>
      </c>
      <c r="E71" s="37">
        <v>15000</v>
      </c>
      <c r="F71" s="37">
        <f t="shared" si="2"/>
        <v>24.03846153846154</v>
      </c>
      <c r="G71" s="281"/>
    </row>
    <row r="72" spans="1:7" ht="15.6" customHeight="1">
      <c r="A72" s="230">
        <v>69</v>
      </c>
      <c r="B72" s="223" t="s">
        <v>45</v>
      </c>
      <c r="C72" s="222" t="s">
        <v>951</v>
      </c>
      <c r="D72" s="221">
        <v>2</v>
      </c>
      <c r="E72" s="37">
        <v>850000</v>
      </c>
      <c r="F72" s="37">
        <f t="shared" si="2"/>
        <v>16346.153846153846</v>
      </c>
      <c r="G72" s="281"/>
    </row>
    <row r="73" spans="1:7" ht="15.6" customHeight="1">
      <c r="A73" s="230">
        <v>70</v>
      </c>
      <c r="B73" s="223" t="s">
        <v>1038</v>
      </c>
      <c r="C73" s="222" t="s">
        <v>951</v>
      </c>
      <c r="D73" s="221">
        <v>12</v>
      </c>
      <c r="E73" s="37">
        <v>15000</v>
      </c>
      <c r="F73" s="115">
        <f t="shared" si="2"/>
        <v>48.07692307692308</v>
      </c>
      <c r="G73" s="281"/>
    </row>
    <row r="74" spans="1:7" ht="15.6" customHeight="1">
      <c r="A74" s="230">
        <v>71</v>
      </c>
      <c r="B74" s="224" t="s">
        <v>205</v>
      </c>
      <c r="C74" s="222" t="s">
        <v>202</v>
      </c>
      <c r="D74" s="221">
        <v>60</v>
      </c>
      <c r="E74" s="37">
        <v>2331000</v>
      </c>
      <c r="F74" s="37">
        <f t="shared" si="2"/>
        <v>1494.2307692307693</v>
      </c>
      <c r="G74" s="281"/>
    </row>
    <row r="75" spans="1:7" ht="15.6" customHeight="1">
      <c r="A75" s="230">
        <v>72</v>
      </c>
      <c r="B75" s="223" t="s">
        <v>1039</v>
      </c>
      <c r="C75" s="222" t="s">
        <v>951</v>
      </c>
      <c r="D75" s="221">
        <v>12</v>
      </c>
      <c r="E75" s="37">
        <v>30000</v>
      </c>
      <c r="F75" s="115">
        <f t="shared" si="2"/>
        <v>96.15384615384616</v>
      </c>
      <c r="G75" s="281"/>
    </row>
    <row r="76" spans="1:7" ht="15.6" customHeight="1">
      <c r="A76" s="230">
        <v>73</v>
      </c>
      <c r="B76" s="228" t="s">
        <v>64</v>
      </c>
      <c r="C76" s="226" t="s">
        <v>951</v>
      </c>
      <c r="D76" s="221">
        <v>24</v>
      </c>
      <c r="E76" s="40">
        <v>150000</v>
      </c>
      <c r="F76" s="37">
        <f t="shared" si="2"/>
        <v>240.38461538461539</v>
      </c>
      <c r="G76" s="281"/>
    </row>
    <row r="77" spans="1:7" ht="15.6" customHeight="1">
      <c r="A77" s="230">
        <v>74</v>
      </c>
      <c r="B77" s="223" t="s">
        <v>1040</v>
      </c>
      <c r="C77" s="222" t="s">
        <v>951</v>
      </c>
      <c r="D77" s="221">
        <v>12</v>
      </c>
      <c r="E77" s="37">
        <v>60000</v>
      </c>
      <c r="F77" s="115">
        <f t="shared" si="2"/>
        <v>192.30769230769232</v>
      </c>
      <c r="G77" s="281"/>
    </row>
    <row r="78" spans="1:7" ht="15.6" customHeight="1">
      <c r="A78" s="230">
        <v>75</v>
      </c>
      <c r="B78" s="223" t="s">
        <v>1041</v>
      </c>
      <c r="C78" s="222" t="s">
        <v>951</v>
      </c>
      <c r="D78" s="221">
        <v>12</v>
      </c>
      <c r="E78" s="37">
        <v>60000</v>
      </c>
      <c r="F78" s="115">
        <f t="shared" si="2"/>
        <v>192.30769230769232</v>
      </c>
      <c r="G78" s="281"/>
    </row>
    <row r="79" spans="1:7" ht="15.6" customHeight="1">
      <c r="A79" s="237"/>
      <c r="B79" s="238"/>
      <c r="C79" s="239"/>
      <c r="D79" s="240"/>
      <c r="E79" s="241"/>
      <c r="F79" s="242"/>
      <c r="G79" s="255"/>
    </row>
  </sheetData>
  <mergeCells count="1">
    <mergeCell ref="A1:G1"/>
  </mergeCells>
  <phoneticPr fontId="45" type="noConversion"/>
  <printOptions horizontalCentered="1"/>
  <pageMargins left="1.14173228346457" right="0.94488188976377996" top="0.98425196850393704" bottom="0.98425196850393704" header="0.511811023622047" footer="0.511811023622047"/>
  <pageSetup paperSize="9" firstPageNumber="235" orientation="landscape"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R53"/>
  <sheetViews>
    <sheetView topLeftCell="C25" zoomScale="80" zoomScaleNormal="80" workbookViewId="0">
      <selection activeCell="N44" sqref="N44"/>
    </sheetView>
  </sheetViews>
  <sheetFormatPr defaultRowHeight="16.5"/>
  <cols>
    <col min="1" max="1" width="4.88671875" customWidth="1"/>
    <col min="2" max="2" width="13.33203125" customWidth="1"/>
    <col min="3" max="3" width="6.21875" style="2" customWidth="1"/>
    <col min="4" max="4" width="14" customWidth="1"/>
    <col min="5" max="5" width="10.5546875" customWidth="1"/>
    <col min="6" max="6" width="6.6640625" hidden="1" customWidth="1"/>
    <col min="7" max="7" width="8.44140625" hidden="1" customWidth="1"/>
    <col min="9" max="10" width="8.6640625" customWidth="1"/>
    <col min="11" max="11" width="8.77734375" customWidth="1"/>
    <col min="12" max="12" width="10.6640625" customWidth="1"/>
    <col min="13" max="13" width="10.109375" customWidth="1"/>
    <col min="14" max="14" width="11.33203125" customWidth="1"/>
    <col min="15" max="15" width="9.44140625" customWidth="1"/>
  </cols>
  <sheetData>
    <row r="1" spans="1:18" ht="32.25" customHeight="1">
      <c r="A1" s="1064" t="s">
        <v>314</v>
      </c>
      <c r="B1" s="1064"/>
      <c r="C1" s="1064"/>
      <c r="D1" s="1064"/>
      <c r="E1" s="1064"/>
      <c r="F1" s="1064"/>
      <c r="G1" s="1064"/>
      <c r="H1" s="1064"/>
      <c r="I1" s="1064"/>
      <c r="J1" s="1064"/>
      <c r="K1" s="1064"/>
      <c r="L1" s="1064"/>
      <c r="M1" s="1064"/>
      <c r="N1" s="1064"/>
      <c r="O1" s="1064"/>
      <c r="Q1" s="125">
        <v>0</v>
      </c>
      <c r="R1" s="125">
        <v>650000</v>
      </c>
    </row>
    <row r="2" spans="1:18" ht="18.75" customHeight="1">
      <c r="A2" s="126"/>
      <c r="B2" s="126"/>
      <c r="C2" s="127"/>
      <c r="D2" s="126"/>
      <c r="E2" s="126"/>
      <c r="F2" s="126"/>
      <c r="G2" s="126"/>
      <c r="H2" s="126"/>
      <c r="I2" s="126"/>
      <c r="J2" s="126"/>
      <c r="K2" s="126"/>
      <c r="L2" s="126"/>
      <c r="M2" s="128"/>
      <c r="N2" s="1053" t="s">
        <v>500</v>
      </c>
      <c r="O2" s="1053"/>
    </row>
    <row r="3" spans="1:18" ht="16.5" customHeight="1">
      <c r="A3" s="1054" t="s">
        <v>979</v>
      </c>
      <c r="B3" s="1051" t="s">
        <v>272</v>
      </c>
      <c r="C3" s="1051" t="s">
        <v>273</v>
      </c>
      <c r="D3" s="1051" t="s">
        <v>315</v>
      </c>
      <c r="E3" s="1058" t="s">
        <v>683</v>
      </c>
      <c r="F3" s="1059"/>
      <c r="G3" s="1059"/>
      <c r="H3" s="1059"/>
      <c r="I3" s="1059"/>
      <c r="J3" s="1059"/>
      <c r="K3" s="1059"/>
      <c r="L3" s="1060"/>
      <c r="M3" s="1051" t="s">
        <v>275</v>
      </c>
      <c r="N3" s="1051" t="s">
        <v>276</v>
      </c>
      <c r="O3" s="1051" t="s">
        <v>277</v>
      </c>
      <c r="P3" s="129" t="s">
        <v>278</v>
      </c>
      <c r="Q3" s="129" t="s">
        <v>278</v>
      </c>
      <c r="R3" s="130" t="s">
        <v>279</v>
      </c>
    </row>
    <row r="4" spans="1:18">
      <c r="A4" s="1055"/>
      <c r="B4" s="1057"/>
      <c r="C4" s="1057"/>
      <c r="D4" s="1057"/>
      <c r="E4" s="1061"/>
      <c r="F4" s="1062"/>
      <c r="G4" s="1062"/>
      <c r="H4" s="1062"/>
      <c r="I4" s="1062"/>
      <c r="J4" s="1062"/>
      <c r="K4" s="1062"/>
      <c r="L4" s="1063"/>
      <c r="M4" s="1057"/>
      <c r="N4" s="1057"/>
      <c r="O4" s="1057"/>
      <c r="P4" s="131" t="s">
        <v>280</v>
      </c>
      <c r="Q4" s="131" t="s">
        <v>281</v>
      </c>
      <c r="R4" s="132" t="s">
        <v>282</v>
      </c>
    </row>
    <row r="5" spans="1:18" ht="16.5" customHeight="1">
      <c r="A5" s="1055"/>
      <c r="B5" s="1057"/>
      <c r="C5" s="1057"/>
      <c r="D5" s="1057"/>
      <c r="E5" s="1051" t="s">
        <v>283</v>
      </c>
      <c r="F5" s="1051" t="s">
        <v>284</v>
      </c>
      <c r="G5" s="133" t="s">
        <v>285</v>
      </c>
      <c r="H5" s="1051" t="s">
        <v>286</v>
      </c>
      <c r="I5" s="1051" t="s">
        <v>976</v>
      </c>
      <c r="J5" s="1051" t="s">
        <v>977</v>
      </c>
      <c r="K5" s="1051" t="s">
        <v>287</v>
      </c>
      <c r="L5" s="1051" t="s">
        <v>288</v>
      </c>
      <c r="M5" s="1057"/>
      <c r="N5" s="1057"/>
      <c r="O5" s="1057"/>
      <c r="P5" s="173">
        <f>$R$1*0.1/26*1.25*1</f>
        <v>3125</v>
      </c>
      <c r="Q5" s="173">
        <f>$R$1*0.1/26*1.25*0.25</f>
        <v>781.25</v>
      </c>
      <c r="R5" s="174"/>
    </row>
    <row r="6" spans="1:18">
      <c r="A6" s="1056"/>
      <c r="B6" s="1052"/>
      <c r="C6" s="1052"/>
      <c r="D6" s="1052"/>
      <c r="E6" s="1052"/>
      <c r="F6" s="1052"/>
      <c r="G6" s="175">
        <f>$Q$1</f>
        <v>0</v>
      </c>
      <c r="H6" s="1052"/>
      <c r="I6" s="1052"/>
      <c r="J6" s="1052"/>
      <c r="K6" s="1052"/>
      <c r="L6" s="1052"/>
      <c r="M6" s="1052"/>
      <c r="N6" s="1052"/>
      <c r="O6" s="1052"/>
      <c r="P6" s="176">
        <f>$R$1*0.1/26*1*1</f>
        <v>2500</v>
      </c>
      <c r="Q6" s="176">
        <f>$R$1*0.1/26*1*0.2</f>
        <v>500</v>
      </c>
      <c r="R6" s="177"/>
    </row>
    <row r="7" spans="1:18" ht="22.5" customHeight="1">
      <c r="A7" s="16"/>
      <c r="B7" s="139" t="s">
        <v>1001</v>
      </c>
      <c r="C7" s="139"/>
      <c r="D7" s="139"/>
      <c r="E7" s="140">
        <v>974554.21875</v>
      </c>
      <c r="F7" s="140"/>
      <c r="G7" s="141">
        <f>P7*$Q$1*10</f>
        <v>0</v>
      </c>
      <c r="H7" s="140">
        <v>405.68180153846168</v>
      </c>
      <c r="I7" s="140">
        <v>259.00992000000002</v>
      </c>
      <c r="J7" s="140">
        <v>3195.9296000000004</v>
      </c>
      <c r="K7" s="141">
        <v>0</v>
      </c>
      <c r="L7" s="140">
        <f>SUM(E7:K7)</f>
        <v>978414.84007153846</v>
      </c>
      <c r="M7" s="140">
        <f>L7*0.25</f>
        <v>244603.71001788462</v>
      </c>
      <c r="N7" s="142">
        <f>M7+L7</f>
        <v>1223018.5500894231</v>
      </c>
      <c r="O7" s="140">
        <f>P7+Q7</f>
        <v>29882.8125</v>
      </c>
      <c r="P7" s="143">
        <f>R7*P5</f>
        <v>23906.25</v>
      </c>
      <c r="Q7" s="143">
        <f>R7*Q5</f>
        <v>5976.5625</v>
      </c>
      <c r="R7" s="144">
        <v>7.6499999999999995</v>
      </c>
    </row>
    <row r="8" spans="1:18" ht="22.5" customHeight="1">
      <c r="A8" s="18">
        <v>1</v>
      </c>
      <c r="B8" s="18" t="s">
        <v>289</v>
      </c>
      <c r="C8" s="18" t="s">
        <v>481</v>
      </c>
      <c r="D8" s="18" t="s">
        <v>290</v>
      </c>
      <c r="E8" s="145">
        <v>117334.125</v>
      </c>
      <c r="F8" s="145"/>
      <c r="G8" s="141">
        <f>P8*$Q$1*10</f>
        <v>0</v>
      </c>
      <c r="H8" s="145">
        <v>60.620696538461544</v>
      </c>
      <c r="I8" s="145">
        <v>1257.5692799999999</v>
      </c>
      <c r="J8" s="145">
        <v>321.99679999999995</v>
      </c>
      <c r="K8" s="145">
        <v>351.25376000000006</v>
      </c>
      <c r="L8" s="145">
        <f>SUM(E8:K8)</f>
        <v>119325.56553653846</v>
      </c>
      <c r="M8" s="145">
        <f>L8*0.2</f>
        <v>23865.113107307694</v>
      </c>
      <c r="N8" s="146">
        <f>M8+L8</f>
        <v>143190.67864384616</v>
      </c>
      <c r="O8" s="145">
        <f>P8+Q8</f>
        <v>4049.9999999999995</v>
      </c>
      <c r="P8" s="143">
        <f>P6*R8</f>
        <v>3374.9999999999995</v>
      </c>
      <c r="Q8" s="143">
        <f>Q6*R8</f>
        <v>674.99999999999989</v>
      </c>
      <c r="R8" s="144">
        <v>1.3499999999999999</v>
      </c>
    </row>
    <row r="9" spans="1:18" ht="22.5" customHeight="1">
      <c r="A9" s="147"/>
      <c r="B9" s="148" t="s">
        <v>288</v>
      </c>
      <c r="C9" s="147"/>
      <c r="D9" s="147"/>
      <c r="E9" s="149">
        <f t="shared" ref="E9:M9" si="0">E7+E8</f>
        <v>1091888.34375</v>
      </c>
      <c r="F9" s="149"/>
      <c r="G9" s="162">
        <f t="shared" si="0"/>
        <v>0</v>
      </c>
      <c r="H9" s="149">
        <f t="shared" si="0"/>
        <v>466.30249807692326</v>
      </c>
      <c r="I9" s="149">
        <f t="shared" si="0"/>
        <v>1516.5791999999999</v>
      </c>
      <c r="J9" s="149">
        <f t="shared" si="0"/>
        <v>3517.9264000000003</v>
      </c>
      <c r="K9" s="156">
        <f t="shared" si="0"/>
        <v>351.25376000000006</v>
      </c>
      <c r="L9" s="149">
        <f t="shared" si="0"/>
        <v>1097740.4056080768</v>
      </c>
      <c r="M9" s="149">
        <f t="shared" si="0"/>
        <v>268468.82312519231</v>
      </c>
      <c r="N9" s="149">
        <f>N7+N8</f>
        <v>1366209.2287332693</v>
      </c>
      <c r="O9" s="151">
        <f>O7+O8</f>
        <v>33932.8125</v>
      </c>
      <c r="P9" s="143"/>
      <c r="Q9" s="143"/>
      <c r="R9" s="144"/>
    </row>
    <row r="10" spans="1:18" ht="22.5" customHeight="1">
      <c r="A10" s="139"/>
      <c r="B10" s="139" t="s">
        <v>1001</v>
      </c>
      <c r="C10" s="139"/>
      <c r="D10" s="152"/>
      <c r="E10" s="140">
        <v>1156471.0062499999</v>
      </c>
      <c r="F10" s="140"/>
      <c r="G10" s="153">
        <f>P10*$Q$1*10</f>
        <v>0</v>
      </c>
      <c r="H10" s="140">
        <v>481.40907115897454</v>
      </c>
      <c r="I10" s="140">
        <v>307.35843840000007</v>
      </c>
      <c r="J10" s="140">
        <v>3792.5031253333341</v>
      </c>
      <c r="K10" s="160">
        <v>0</v>
      </c>
      <c r="L10" s="140">
        <f t="shared" ref="L10:L22" si="1">SUM(E10:K10)</f>
        <v>1161052.2768848923</v>
      </c>
      <c r="M10" s="140">
        <f>L10*0.25</f>
        <v>290263.06922122306</v>
      </c>
      <c r="N10" s="142">
        <f>M10+L10</f>
        <v>1451315.3461061153</v>
      </c>
      <c r="O10" s="140">
        <f>P10+Q10</f>
        <v>35460.937499999993</v>
      </c>
      <c r="P10" s="143">
        <f>P5*R10</f>
        <v>28368.749999999996</v>
      </c>
      <c r="Q10" s="143">
        <f>Q5*R10</f>
        <v>7092.1874999999991</v>
      </c>
      <c r="R10" s="144">
        <v>9.0779999999999994</v>
      </c>
    </row>
    <row r="11" spans="1:18" ht="22.5" customHeight="1">
      <c r="A11" s="18">
        <v>2</v>
      </c>
      <c r="B11" s="18" t="s">
        <v>289</v>
      </c>
      <c r="C11" s="18" t="s">
        <v>481</v>
      </c>
      <c r="D11" s="18" t="s">
        <v>291</v>
      </c>
      <c r="E11" s="145">
        <v>139236.495</v>
      </c>
      <c r="F11" s="145"/>
      <c r="G11" s="141">
        <f>P11*$Q$1*10</f>
        <v>0</v>
      </c>
      <c r="H11" s="145">
        <v>71.936559892307699</v>
      </c>
      <c r="I11" s="145">
        <v>1492.3155456</v>
      </c>
      <c r="J11" s="145">
        <v>382.10286933333333</v>
      </c>
      <c r="K11" s="145">
        <v>416.82112853333342</v>
      </c>
      <c r="L11" s="145">
        <f t="shared" si="1"/>
        <v>141599.67110335897</v>
      </c>
      <c r="M11" s="145">
        <f>L11*0.2</f>
        <v>28319.934220671796</v>
      </c>
      <c r="N11" s="146">
        <f>M11+L11</f>
        <v>169919.60532403077</v>
      </c>
      <c r="O11" s="145">
        <f>P11+Q11</f>
        <v>4805.9999999999991</v>
      </c>
      <c r="P11" s="143">
        <f>P6*R11</f>
        <v>4004.9999999999995</v>
      </c>
      <c r="Q11" s="143">
        <f>Q6*R11</f>
        <v>800.99999999999989</v>
      </c>
      <c r="R11" s="144">
        <v>1.6019999999999999</v>
      </c>
    </row>
    <row r="12" spans="1:18" ht="22.5" customHeight="1">
      <c r="A12" s="101"/>
      <c r="B12" s="154" t="s">
        <v>288</v>
      </c>
      <c r="C12" s="101"/>
      <c r="D12" s="155"/>
      <c r="E12" s="156">
        <f t="shared" ref="E12:M12" si="2">E10+E11</f>
        <v>1295707.5012499997</v>
      </c>
      <c r="F12" s="156"/>
      <c r="G12" s="157">
        <f>G10+G11</f>
        <v>0</v>
      </c>
      <c r="H12" s="156">
        <f t="shared" si="2"/>
        <v>553.34563105128223</v>
      </c>
      <c r="I12" s="156">
        <f t="shared" si="2"/>
        <v>1799.673984</v>
      </c>
      <c r="J12" s="156">
        <f t="shared" si="2"/>
        <v>4174.6059946666674</v>
      </c>
      <c r="K12" s="156">
        <f t="shared" si="2"/>
        <v>416.82112853333342</v>
      </c>
      <c r="L12" s="156">
        <f t="shared" si="2"/>
        <v>1302651.9479882512</v>
      </c>
      <c r="M12" s="156">
        <f t="shared" si="2"/>
        <v>318583.00344189483</v>
      </c>
      <c r="N12" s="156">
        <f>N10+N11</f>
        <v>1621234.9514301461</v>
      </c>
      <c r="O12" s="158">
        <f>O10+O11</f>
        <v>40266.937499999993</v>
      </c>
      <c r="P12" s="143"/>
      <c r="Q12" s="143"/>
      <c r="R12" s="144"/>
    </row>
    <row r="13" spans="1:18" ht="22.5" customHeight="1">
      <c r="A13" s="16"/>
      <c r="B13" s="16" t="s">
        <v>1001</v>
      </c>
      <c r="C13" s="16"/>
      <c r="D13" s="16"/>
      <c r="E13" s="159">
        <v>1227938.315625</v>
      </c>
      <c r="F13" s="159"/>
      <c r="G13" s="160">
        <f>P13*$Q$1*10</f>
        <v>0</v>
      </c>
      <c r="H13" s="159">
        <v>511.1590699384617</v>
      </c>
      <c r="I13" s="159">
        <v>326.35249920000001</v>
      </c>
      <c r="J13" s="159">
        <v>4026.8712960000007</v>
      </c>
      <c r="K13" s="141">
        <v>0</v>
      </c>
      <c r="L13" s="159">
        <f t="shared" si="1"/>
        <v>1232802.6984901384</v>
      </c>
      <c r="M13" s="159">
        <f>L13*0.25</f>
        <v>308200.6746225346</v>
      </c>
      <c r="N13" s="161">
        <f>M13+L13</f>
        <v>1541003.3731126729</v>
      </c>
      <c r="O13" s="159">
        <f>P13+Q13</f>
        <v>37652.343749999993</v>
      </c>
      <c r="P13" s="143">
        <f>P5*R13</f>
        <v>30121.874999999996</v>
      </c>
      <c r="Q13" s="143">
        <f>Q5*R13</f>
        <v>7530.4687499999991</v>
      </c>
      <c r="R13" s="144">
        <v>9.6389999999999993</v>
      </c>
    </row>
    <row r="14" spans="1:18" ht="22.5" customHeight="1">
      <c r="A14" s="18">
        <v>3</v>
      </c>
      <c r="B14" s="18" t="s">
        <v>289</v>
      </c>
      <c r="C14" s="18" t="s">
        <v>481</v>
      </c>
      <c r="D14" s="18" t="s">
        <v>300</v>
      </c>
      <c r="E14" s="145">
        <v>147840.9975</v>
      </c>
      <c r="F14" s="145"/>
      <c r="G14" s="141">
        <f>P14*$Q$1*10</f>
        <v>0</v>
      </c>
      <c r="H14" s="145">
        <v>76.382077638461553</v>
      </c>
      <c r="I14" s="145">
        <v>1584.5372927999999</v>
      </c>
      <c r="J14" s="145">
        <v>405.71596799999992</v>
      </c>
      <c r="K14" s="145">
        <v>442.5797376000001</v>
      </c>
      <c r="L14" s="145">
        <f t="shared" si="1"/>
        <v>150350.21257603847</v>
      </c>
      <c r="M14" s="145">
        <f>L14*0.2</f>
        <v>30070.042515207693</v>
      </c>
      <c r="N14" s="146">
        <f>M14+L14</f>
        <v>180420.25509124616</v>
      </c>
      <c r="O14" s="145">
        <f>P14+Q14</f>
        <v>5103</v>
      </c>
      <c r="P14" s="143">
        <f>P6*R14</f>
        <v>4252.5</v>
      </c>
      <c r="Q14" s="143">
        <f>Q6*R14</f>
        <v>850.49999999999989</v>
      </c>
      <c r="R14" s="144">
        <v>1.7009999999999998</v>
      </c>
    </row>
    <row r="15" spans="1:18" ht="22.5" customHeight="1">
      <c r="A15" s="147"/>
      <c r="B15" s="148" t="s">
        <v>288</v>
      </c>
      <c r="C15" s="147"/>
      <c r="D15" s="147"/>
      <c r="E15" s="149">
        <f t="shared" ref="E15:M15" si="3">E13+E14</f>
        <v>1375779.3131250001</v>
      </c>
      <c r="F15" s="149"/>
      <c r="G15" s="162">
        <f>G13+G14</f>
        <v>0</v>
      </c>
      <c r="H15" s="149">
        <f t="shared" si="3"/>
        <v>587.54114757692321</v>
      </c>
      <c r="I15" s="149">
        <f t="shared" si="3"/>
        <v>1910.8897919999999</v>
      </c>
      <c r="J15" s="149">
        <f t="shared" si="3"/>
        <v>4432.5872640000007</v>
      </c>
      <c r="K15" s="149">
        <f t="shared" si="3"/>
        <v>442.5797376000001</v>
      </c>
      <c r="L15" s="149">
        <f t="shared" si="3"/>
        <v>1383152.9110661768</v>
      </c>
      <c r="M15" s="149">
        <f t="shared" si="3"/>
        <v>338270.71713774232</v>
      </c>
      <c r="N15" s="149">
        <f>N13+N14</f>
        <v>1721423.6282039192</v>
      </c>
      <c r="O15" s="151">
        <f>O13+O14</f>
        <v>42755.343749999993</v>
      </c>
      <c r="P15" s="143"/>
      <c r="Q15" s="143"/>
      <c r="R15" s="144"/>
    </row>
    <row r="16" spans="1:18" ht="22.5" customHeight="1">
      <c r="A16" s="139"/>
      <c r="B16" s="139" t="s">
        <v>1001</v>
      </c>
      <c r="C16" s="139"/>
      <c r="D16" s="139"/>
      <c r="E16" s="140">
        <v>1500813.4968749997</v>
      </c>
      <c r="F16" s="140"/>
      <c r="G16" s="153">
        <f>P16*$Q$1*10</f>
        <v>0</v>
      </c>
      <c r="H16" s="140">
        <v>624.74997436923104</v>
      </c>
      <c r="I16" s="140">
        <v>398.87527680000005</v>
      </c>
      <c r="J16" s="140">
        <v>4921.731584000001</v>
      </c>
      <c r="K16" s="140">
        <v>0</v>
      </c>
      <c r="L16" s="140">
        <f t="shared" si="1"/>
        <v>1506758.853710169</v>
      </c>
      <c r="M16" s="140">
        <f>L16*0.25</f>
        <v>376689.71342754224</v>
      </c>
      <c r="N16" s="142">
        <f>M16+L16</f>
        <v>1883448.5671377112</v>
      </c>
      <c r="O16" s="140">
        <f>P16+Q16</f>
        <v>46019.531249999993</v>
      </c>
      <c r="P16" s="143">
        <f>P5*R16</f>
        <v>36815.624999999993</v>
      </c>
      <c r="Q16" s="143">
        <f>Q5*R16</f>
        <v>9203.9062499999982</v>
      </c>
      <c r="R16" s="144">
        <v>11.780999999999999</v>
      </c>
    </row>
    <row r="17" spans="1:18" ht="22.5" customHeight="1">
      <c r="A17" s="18">
        <v>4</v>
      </c>
      <c r="B17" s="18" t="s">
        <v>289</v>
      </c>
      <c r="C17" s="18" t="s">
        <v>481</v>
      </c>
      <c r="D17" s="18" t="s">
        <v>301</v>
      </c>
      <c r="E17" s="145">
        <v>180694.55249999999</v>
      </c>
      <c r="F17" s="145"/>
      <c r="G17" s="141">
        <f>P17*$Q$1*10</f>
        <v>0</v>
      </c>
      <c r="H17" s="145">
        <v>93.355872669230777</v>
      </c>
      <c r="I17" s="145">
        <v>1936.6566911999998</v>
      </c>
      <c r="J17" s="145">
        <v>495.87507199999993</v>
      </c>
      <c r="K17" s="145">
        <v>540.93079040000009</v>
      </c>
      <c r="L17" s="145">
        <f t="shared" si="1"/>
        <v>183761.37092626921</v>
      </c>
      <c r="M17" s="145">
        <f>L17*0.2</f>
        <v>36752.274185253846</v>
      </c>
      <c r="N17" s="146">
        <f>M17+L17</f>
        <v>220513.64511152304</v>
      </c>
      <c r="O17" s="145">
        <f>P17+Q17</f>
        <v>6236.9999999999991</v>
      </c>
      <c r="P17" s="143">
        <f>P6*R17</f>
        <v>5197.4999999999991</v>
      </c>
      <c r="Q17" s="143">
        <f>Q6*R17</f>
        <v>1039.4999999999998</v>
      </c>
      <c r="R17" s="144">
        <v>2.0789999999999997</v>
      </c>
    </row>
    <row r="18" spans="1:18" ht="22.5" customHeight="1">
      <c r="A18" s="101"/>
      <c r="B18" s="154" t="s">
        <v>288</v>
      </c>
      <c r="C18" s="101"/>
      <c r="D18" s="101"/>
      <c r="E18" s="156">
        <f t="shared" ref="E18:M18" si="4">E16+E17</f>
        <v>1681508.0493749997</v>
      </c>
      <c r="F18" s="156"/>
      <c r="G18" s="157">
        <f>G16+G17</f>
        <v>0</v>
      </c>
      <c r="H18" s="156">
        <f t="shared" si="4"/>
        <v>718.10584703846177</v>
      </c>
      <c r="I18" s="156">
        <f t="shared" si="4"/>
        <v>2335.5319679999998</v>
      </c>
      <c r="J18" s="156">
        <f t="shared" si="4"/>
        <v>5417.6066560000008</v>
      </c>
      <c r="K18" s="156">
        <f t="shared" si="4"/>
        <v>540.93079040000009</v>
      </c>
      <c r="L18" s="156">
        <f t="shared" si="4"/>
        <v>1690520.2246364383</v>
      </c>
      <c r="M18" s="156">
        <f t="shared" si="4"/>
        <v>413441.98761279607</v>
      </c>
      <c r="N18" s="156">
        <f>N16+N17</f>
        <v>2103962.2122492343</v>
      </c>
      <c r="O18" s="158">
        <f>O16+O17</f>
        <v>52256.531249999993</v>
      </c>
      <c r="P18" s="143"/>
      <c r="Q18" s="143"/>
      <c r="R18" s="144"/>
    </row>
    <row r="19" spans="1:18" ht="22.5" customHeight="1">
      <c r="A19" s="16"/>
      <c r="B19" s="16" t="s">
        <v>1001</v>
      </c>
      <c r="C19" s="16"/>
      <c r="D19" s="16"/>
      <c r="E19" s="159">
        <v>2062806.4296874995</v>
      </c>
      <c r="F19" s="159"/>
      <c r="G19" s="160">
        <f>P19*$Q$1*10</f>
        <v>0</v>
      </c>
      <c r="H19" s="159">
        <v>858.69314658974372</v>
      </c>
      <c r="I19" s="159">
        <v>548.237664</v>
      </c>
      <c r="J19" s="159">
        <v>6764.7176533333331</v>
      </c>
      <c r="K19" s="141">
        <v>0</v>
      </c>
      <c r="L19" s="159">
        <f t="shared" si="1"/>
        <v>2070978.0781514226</v>
      </c>
      <c r="M19" s="159">
        <f>L19*0.25</f>
        <v>517744.51953785564</v>
      </c>
      <c r="N19" s="161">
        <f>M19+L19</f>
        <v>2588722.5976892784</v>
      </c>
      <c r="O19" s="159">
        <f>P19+Q19</f>
        <v>63251.953124999985</v>
      </c>
      <c r="P19" s="143">
        <f>P5*R19</f>
        <v>50601.562499999985</v>
      </c>
      <c r="Q19" s="143">
        <f>Q5*R19</f>
        <v>12650.390624999996</v>
      </c>
      <c r="R19" s="144">
        <v>16.192499999999995</v>
      </c>
    </row>
    <row r="20" spans="1:18" ht="22.5" customHeight="1">
      <c r="A20" s="18">
        <v>5</v>
      </c>
      <c r="B20" s="18" t="s">
        <v>289</v>
      </c>
      <c r="C20" s="18" t="s">
        <v>481</v>
      </c>
      <c r="D20" s="18" t="s">
        <v>302</v>
      </c>
      <c r="E20" s="145">
        <v>248357.23124999998</v>
      </c>
      <c r="F20" s="145"/>
      <c r="G20" s="141">
        <f>P20*$Q$1*10</f>
        <v>0</v>
      </c>
      <c r="H20" s="145">
        <v>128.31380767307692</v>
      </c>
      <c r="I20" s="145">
        <v>2661.8549759999992</v>
      </c>
      <c r="J20" s="145">
        <v>681.55989333333309</v>
      </c>
      <c r="K20" s="145">
        <v>743.48712533333332</v>
      </c>
      <c r="L20" s="145">
        <f t="shared" si="1"/>
        <v>252572.44705233973</v>
      </c>
      <c r="M20" s="145">
        <f>L20*0.2</f>
        <v>50514.489410467948</v>
      </c>
      <c r="N20" s="146">
        <f>M20+L20</f>
        <v>303086.9364628077</v>
      </c>
      <c r="O20" s="145">
        <f>P20+Q20</f>
        <v>8572.4999999999982</v>
      </c>
      <c r="P20" s="143">
        <f>P6*R20</f>
        <v>7143.7499999999991</v>
      </c>
      <c r="Q20" s="143">
        <f>Q6*R20</f>
        <v>1428.7499999999998</v>
      </c>
      <c r="R20" s="144">
        <v>2.8574999999999995</v>
      </c>
    </row>
    <row r="21" spans="1:18" ht="22.5" customHeight="1">
      <c r="A21" s="147"/>
      <c r="B21" s="148" t="s">
        <v>288</v>
      </c>
      <c r="C21" s="147"/>
      <c r="D21" s="147"/>
      <c r="E21" s="149">
        <f t="shared" ref="E21:M21" si="5">E19+E20</f>
        <v>2311163.6609374997</v>
      </c>
      <c r="F21" s="149"/>
      <c r="G21" s="162">
        <f>G19+G20</f>
        <v>0</v>
      </c>
      <c r="H21" s="149">
        <f t="shared" si="5"/>
        <v>987.00695426282061</v>
      </c>
      <c r="I21" s="149">
        <f t="shared" si="5"/>
        <v>3210.0926399999989</v>
      </c>
      <c r="J21" s="149">
        <f t="shared" si="5"/>
        <v>7446.2775466666662</v>
      </c>
      <c r="K21" s="156">
        <f t="shared" si="5"/>
        <v>743.48712533333332</v>
      </c>
      <c r="L21" s="149">
        <f t="shared" si="5"/>
        <v>2323550.5252037621</v>
      </c>
      <c r="M21" s="149">
        <f t="shared" si="5"/>
        <v>568259.00894832355</v>
      </c>
      <c r="N21" s="149">
        <f>N19+N20</f>
        <v>2891809.5341520859</v>
      </c>
      <c r="O21" s="151">
        <f>O19+O20</f>
        <v>71824.453124999985</v>
      </c>
      <c r="P21" s="143"/>
      <c r="Q21" s="143"/>
      <c r="R21" s="144"/>
    </row>
    <row r="22" spans="1:18" ht="22.5" customHeight="1">
      <c r="A22" s="139"/>
      <c r="B22" s="139" t="s">
        <v>1001</v>
      </c>
      <c r="C22" s="139"/>
      <c r="D22" s="139"/>
      <c r="E22" s="140">
        <v>3167301.2109375</v>
      </c>
      <c r="F22" s="140"/>
      <c r="G22" s="153">
        <f>P22*$Q$1*10</f>
        <v>0</v>
      </c>
      <c r="H22" s="140">
        <v>1318.4658550000006</v>
      </c>
      <c r="I22" s="140">
        <v>841.78224000000023</v>
      </c>
      <c r="J22" s="140">
        <v>10386.771200000003</v>
      </c>
      <c r="K22" s="160">
        <v>0</v>
      </c>
      <c r="L22" s="140">
        <f t="shared" si="1"/>
        <v>3179848.2302325</v>
      </c>
      <c r="M22" s="140">
        <f>L22*0.25</f>
        <v>794962.057558125</v>
      </c>
      <c r="N22" s="142">
        <f>M22+L22</f>
        <v>3974810.2877906249</v>
      </c>
      <c r="O22" s="140">
        <f>P22+Q22</f>
        <v>97119.140625</v>
      </c>
      <c r="P22" s="143">
        <f>P5*R22</f>
        <v>77695.3125</v>
      </c>
      <c r="Q22" s="143">
        <f>Q5*R22</f>
        <v>19423.828125</v>
      </c>
      <c r="R22" s="144">
        <v>24.862500000000001</v>
      </c>
    </row>
    <row r="23" spans="1:18" ht="22.5" customHeight="1">
      <c r="A23" s="18">
        <v>6</v>
      </c>
      <c r="B23" s="18" t="s">
        <v>289</v>
      </c>
      <c r="C23" s="18" t="s">
        <v>481</v>
      </c>
      <c r="D23" s="18" t="s">
        <v>303</v>
      </c>
      <c r="E23" s="145">
        <v>381335.90625000006</v>
      </c>
      <c r="F23" s="145"/>
      <c r="G23" s="141">
        <f>P23*$Q$1*10</f>
        <v>0</v>
      </c>
      <c r="H23" s="145">
        <v>197.01726375000004</v>
      </c>
      <c r="I23" s="145">
        <v>4087.1001600000004</v>
      </c>
      <c r="J23" s="145">
        <v>1046.4895999999999</v>
      </c>
      <c r="K23" s="145">
        <v>1141.5747200000003</v>
      </c>
      <c r="L23" s="145">
        <f>SUM(E23:K23)</f>
        <v>387808.08799375</v>
      </c>
      <c r="M23" s="145">
        <f>L23*0.2</f>
        <v>77561.617598750003</v>
      </c>
      <c r="N23" s="146">
        <f>M23+L23</f>
        <v>465369.70559249999</v>
      </c>
      <c r="O23" s="145">
        <f>P23+Q23</f>
        <v>13162.5</v>
      </c>
      <c r="P23" s="143">
        <f>P6*R23</f>
        <v>10968.75</v>
      </c>
      <c r="Q23" s="143">
        <f>Q6*R23</f>
        <v>2193.75</v>
      </c>
      <c r="R23" s="144">
        <v>4.3875000000000002</v>
      </c>
    </row>
    <row r="24" spans="1:18" ht="22.5" customHeight="1">
      <c r="A24" s="101"/>
      <c r="B24" s="154" t="s">
        <v>288</v>
      </c>
      <c r="C24" s="101"/>
      <c r="D24" s="101"/>
      <c r="E24" s="156">
        <f t="shared" ref="E24:M24" si="6">E22+E23</f>
        <v>3548637.1171875</v>
      </c>
      <c r="F24" s="156"/>
      <c r="G24" s="157">
        <f>G22+G23</f>
        <v>0</v>
      </c>
      <c r="H24" s="156">
        <f t="shared" si="6"/>
        <v>1515.4831187500006</v>
      </c>
      <c r="I24" s="156">
        <f t="shared" si="6"/>
        <v>4928.8824000000004</v>
      </c>
      <c r="J24" s="156">
        <f t="shared" si="6"/>
        <v>11433.260800000004</v>
      </c>
      <c r="K24" s="156">
        <f t="shared" si="6"/>
        <v>1141.5747200000003</v>
      </c>
      <c r="L24" s="156">
        <f t="shared" si="6"/>
        <v>3567656.3182262499</v>
      </c>
      <c r="M24" s="156">
        <f t="shared" si="6"/>
        <v>872523.67515687505</v>
      </c>
      <c r="N24" s="156">
        <f>N22+N23</f>
        <v>4440179.9933831245</v>
      </c>
      <c r="O24" s="158">
        <f>O22+O23</f>
        <v>110281.640625</v>
      </c>
      <c r="P24" s="96"/>
      <c r="Q24" s="96"/>
      <c r="R24" s="96"/>
    </row>
    <row r="25" spans="1:18" ht="22.5" customHeight="1">
      <c r="A25" s="178"/>
      <c r="B25" s="179"/>
      <c r="C25" s="178"/>
      <c r="D25" s="178"/>
      <c r="E25" s="180"/>
      <c r="F25" s="180"/>
      <c r="G25" s="181"/>
      <c r="H25" s="180"/>
      <c r="I25" s="180"/>
      <c r="J25" s="180"/>
      <c r="K25" s="180"/>
      <c r="L25" s="180"/>
      <c r="M25" s="180"/>
      <c r="N25" s="180"/>
      <c r="O25" s="182"/>
      <c r="P25" s="96"/>
      <c r="Q25" s="96"/>
      <c r="R25" s="96"/>
    </row>
    <row r="26" spans="1:18" ht="22.5" customHeight="1">
      <c r="A26" s="183"/>
      <c r="B26" s="184"/>
      <c r="C26" s="183"/>
      <c r="D26" s="183"/>
      <c r="E26" s="185"/>
      <c r="F26" s="185"/>
      <c r="G26" s="186"/>
      <c r="H26" s="185"/>
      <c r="I26" s="185"/>
      <c r="J26" s="185"/>
      <c r="K26" s="185"/>
      <c r="L26" s="185"/>
      <c r="M26" s="185"/>
      <c r="N26" s="185"/>
      <c r="O26" s="187"/>
      <c r="P26" s="96"/>
      <c r="Q26" s="96"/>
      <c r="R26" s="96"/>
    </row>
    <row r="27" spans="1:18" ht="26.25" customHeight="1">
      <c r="A27" s="1064" t="s">
        <v>314</v>
      </c>
      <c r="B27" s="1064"/>
      <c r="C27" s="1064"/>
      <c r="D27" s="1064"/>
      <c r="E27" s="1064"/>
      <c r="F27" s="1064"/>
      <c r="G27" s="1064"/>
      <c r="H27" s="1064"/>
      <c r="I27" s="1064"/>
      <c r="J27" s="1064"/>
      <c r="K27" s="1064"/>
      <c r="L27" s="1064"/>
      <c r="M27" s="1064"/>
      <c r="N27" s="1064"/>
      <c r="O27" s="1064"/>
      <c r="P27" s="96"/>
      <c r="Q27" s="96"/>
      <c r="R27" s="96"/>
    </row>
    <row r="28" spans="1:18" ht="19.5" customHeight="1">
      <c r="A28" s="166"/>
      <c r="B28" s="167"/>
      <c r="C28" s="166"/>
      <c r="D28" s="166"/>
      <c r="E28" s="168"/>
      <c r="F28" s="168"/>
      <c r="G28" s="169"/>
      <c r="H28" s="168"/>
      <c r="I28" s="168"/>
      <c r="J28" s="168"/>
      <c r="K28" s="168"/>
      <c r="L28" s="168"/>
      <c r="M28" s="168"/>
      <c r="N28" s="1053" t="s">
        <v>500</v>
      </c>
      <c r="O28" s="1053"/>
      <c r="P28" s="96"/>
      <c r="Q28" s="96"/>
      <c r="R28" s="96"/>
    </row>
    <row r="29" spans="1:18" ht="16.5" customHeight="1">
      <c r="A29" s="1054" t="s">
        <v>979</v>
      </c>
      <c r="B29" s="1051" t="s">
        <v>272</v>
      </c>
      <c r="C29" s="1051" t="s">
        <v>273</v>
      </c>
      <c r="D29" s="1051" t="s">
        <v>316</v>
      </c>
      <c r="E29" s="1058" t="s">
        <v>683</v>
      </c>
      <c r="F29" s="1059"/>
      <c r="G29" s="1059"/>
      <c r="H29" s="1059"/>
      <c r="I29" s="1059"/>
      <c r="J29" s="1059"/>
      <c r="K29" s="1059"/>
      <c r="L29" s="1060"/>
      <c r="M29" s="1051" t="s">
        <v>275</v>
      </c>
      <c r="N29" s="1051" t="s">
        <v>276</v>
      </c>
      <c r="O29" s="1051" t="s">
        <v>277</v>
      </c>
      <c r="P29" s="188"/>
      <c r="Q29" s="188"/>
      <c r="R29" s="189"/>
    </row>
    <row r="30" spans="1:18" ht="16.5" customHeight="1">
      <c r="A30" s="1055"/>
      <c r="B30" s="1057"/>
      <c r="C30" s="1057"/>
      <c r="D30" s="1057"/>
      <c r="E30" s="1061"/>
      <c r="F30" s="1062"/>
      <c r="G30" s="1062"/>
      <c r="H30" s="1062"/>
      <c r="I30" s="1062"/>
      <c r="J30" s="1062"/>
      <c r="K30" s="1062"/>
      <c r="L30" s="1063"/>
      <c r="M30" s="1057"/>
      <c r="N30" s="1057"/>
      <c r="O30" s="1057"/>
      <c r="P30" s="188"/>
      <c r="Q30" s="188"/>
      <c r="R30" s="189"/>
    </row>
    <row r="31" spans="1:18" ht="18" customHeight="1">
      <c r="A31" s="1055"/>
      <c r="B31" s="1057"/>
      <c r="C31" s="1057"/>
      <c r="D31" s="1057"/>
      <c r="E31" s="1051" t="s">
        <v>283</v>
      </c>
      <c r="F31" s="1051" t="s">
        <v>284</v>
      </c>
      <c r="G31" s="133" t="s">
        <v>285</v>
      </c>
      <c r="H31" s="1051" t="s">
        <v>286</v>
      </c>
      <c r="I31" s="1051" t="s">
        <v>976</v>
      </c>
      <c r="J31" s="1051" t="s">
        <v>977</v>
      </c>
      <c r="K31" s="1051" t="s">
        <v>287</v>
      </c>
      <c r="L31" s="1051" t="s">
        <v>288</v>
      </c>
      <c r="M31" s="1057"/>
      <c r="N31" s="1057"/>
      <c r="O31" s="1057"/>
      <c r="P31" s="188"/>
      <c r="Q31" s="188"/>
      <c r="R31" s="189"/>
    </row>
    <row r="32" spans="1:18" ht="18" customHeight="1">
      <c r="A32" s="1056"/>
      <c r="B32" s="1052"/>
      <c r="C32" s="1052"/>
      <c r="D32" s="1052"/>
      <c r="E32" s="1052"/>
      <c r="F32" s="1052"/>
      <c r="G32" s="175">
        <f>$Q$1</f>
        <v>0</v>
      </c>
      <c r="H32" s="1052"/>
      <c r="I32" s="1052"/>
      <c r="J32" s="1052"/>
      <c r="K32" s="1052"/>
      <c r="L32" s="1052"/>
      <c r="M32" s="1052"/>
      <c r="N32" s="1052"/>
      <c r="O32" s="1052"/>
      <c r="P32" s="188"/>
      <c r="Q32" s="188"/>
      <c r="R32" s="189"/>
    </row>
    <row r="33" spans="1:18" ht="22.5" customHeight="1">
      <c r="A33" s="16"/>
      <c r="B33" s="16" t="s">
        <v>1001</v>
      </c>
      <c r="C33" s="16"/>
      <c r="D33" s="16"/>
      <c r="E33" s="153">
        <f>E$22*1.2</f>
        <v>3800761.453125</v>
      </c>
      <c r="F33" s="153">
        <f t="shared" ref="F33:K33" si="7">F$22*1.2</f>
        <v>0</v>
      </c>
      <c r="G33" s="153">
        <f t="shared" si="7"/>
        <v>0</v>
      </c>
      <c r="H33" s="153">
        <f t="shared" si="7"/>
        <v>1582.1590260000007</v>
      </c>
      <c r="I33" s="153">
        <f t="shared" si="7"/>
        <v>1010.1386880000002</v>
      </c>
      <c r="J33" s="153">
        <f t="shared" si="7"/>
        <v>12464.125440000003</v>
      </c>
      <c r="K33" s="153">
        <f t="shared" si="7"/>
        <v>0</v>
      </c>
      <c r="L33" s="153">
        <f>SUM(E33:K33)</f>
        <v>3815817.8762790002</v>
      </c>
      <c r="M33" s="153">
        <f>L33*0.25</f>
        <v>953954.46906975005</v>
      </c>
      <c r="N33" s="153">
        <f>M33+L33</f>
        <v>4769772.3453487502</v>
      </c>
      <c r="O33" s="153">
        <f>O$22*1.2</f>
        <v>116542.96875</v>
      </c>
      <c r="P33" s="188"/>
      <c r="Q33" s="188"/>
      <c r="R33" s="189"/>
    </row>
    <row r="34" spans="1:18" ht="22.5" customHeight="1">
      <c r="A34" s="18">
        <v>7</v>
      </c>
      <c r="B34" s="18" t="s">
        <v>289</v>
      </c>
      <c r="C34" s="18" t="s">
        <v>481</v>
      </c>
      <c r="D34" s="18" t="s">
        <v>305</v>
      </c>
      <c r="E34" s="141">
        <f>E$23*1.2</f>
        <v>457603.08750000008</v>
      </c>
      <c r="F34" s="141">
        <f t="shared" ref="F34:K34" si="8">F$23*1.2</f>
        <v>0</v>
      </c>
      <c r="G34" s="141">
        <f t="shared" si="8"/>
        <v>0</v>
      </c>
      <c r="H34" s="141">
        <f t="shared" si="8"/>
        <v>236.42071650000003</v>
      </c>
      <c r="I34" s="141">
        <f t="shared" si="8"/>
        <v>4904.520192</v>
      </c>
      <c r="J34" s="141">
        <f t="shared" si="8"/>
        <v>1255.7875199999999</v>
      </c>
      <c r="K34" s="141">
        <f t="shared" si="8"/>
        <v>1369.8896640000003</v>
      </c>
      <c r="L34" s="141">
        <f>SUM(E34:K34)</f>
        <v>465369.70559250016</v>
      </c>
      <c r="M34" s="141">
        <f>L34*0.2</f>
        <v>93073.941118500035</v>
      </c>
      <c r="N34" s="141">
        <f>M34+L34</f>
        <v>558443.64671100024</v>
      </c>
      <c r="O34" s="141">
        <f>O$23*1.2</f>
        <v>15795</v>
      </c>
      <c r="P34" s="188"/>
      <c r="Q34" s="188"/>
      <c r="R34" s="189"/>
    </row>
    <row r="35" spans="1:18" ht="22.5" customHeight="1">
      <c r="A35" s="147"/>
      <c r="B35" s="148" t="s">
        <v>288</v>
      </c>
      <c r="C35" s="147"/>
      <c r="D35" s="147"/>
      <c r="E35" s="157">
        <f>E33+E34</f>
        <v>4258364.5406250004</v>
      </c>
      <c r="F35" s="157"/>
      <c r="G35" s="157">
        <f t="shared" ref="G35:M35" si="9">G33+G34</f>
        <v>0</v>
      </c>
      <c r="H35" s="157">
        <f t="shared" si="9"/>
        <v>1818.5797425000007</v>
      </c>
      <c r="I35" s="157">
        <f t="shared" si="9"/>
        <v>5914.65888</v>
      </c>
      <c r="J35" s="157">
        <f t="shared" si="9"/>
        <v>13719.912960000003</v>
      </c>
      <c r="K35" s="157">
        <f t="shared" si="9"/>
        <v>1369.8896640000003</v>
      </c>
      <c r="L35" s="157">
        <f t="shared" si="9"/>
        <v>4281187.5818715002</v>
      </c>
      <c r="M35" s="157">
        <f t="shared" si="9"/>
        <v>1047028.4101882501</v>
      </c>
      <c r="N35" s="157">
        <f>N33+N34</f>
        <v>5328215.9920597505</v>
      </c>
      <c r="O35" s="157">
        <f>O33+O34</f>
        <v>132337.96875</v>
      </c>
      <c r="P35" s="188"/>
      <c r="Q35" s="188"/>
      <c r="R35" s="189"/>
    </row>
    <row r="36" spans="1:18" ht="22.5" customHeight="1">
      <c r="A36" s="139"/>
      <c r="B36" s="139" t="s">
        <v>1001</v>
      </c>
      <c r="C36" s="139"/>
      <c r="D36" s="152"/>
      <c r="E36" s="153">
        <f>E$22*1.3</f>
        <v>4117491.57421875</v>
      </c>
      <c r="F36" s="153">
        <f t="shared" ref="F36:K36" si="10">F$22*1.3</f>
        <v>0</v>
      </c>
      <c r="G36" s="153">
        <f t="shared" si="10"/>
        <v>0</v>
      </c>
      <c r="H36" s="153">
        <f t="shared" si="10"/>
        <v>1714.0056115000009</v>
      </c>
      <c r="I36" s="153">
        <f t="shared" si="10"/>
        <v>1094.3169120000002</v>
      </c>
      <c r="J36" s="153">
        <f t="shared" si="10"/>
        <v>13502.802560000004</v>
      </c>
      <c r="K36" s="153">
        <f t="shared" si="10"/>
        <v>0</v>
      </c>
      <c r="L36" s="153">
        <f>SUM(E36:K36)</f>
        <v>4133802.6993022501</v>
      </c>
      <c r="M36" s="153">
        <f>L36*0.25</f>
        <v>1033450.6748255625</v>
      </c>
      <c r="N36" s="153">
        <f>M36+L36</f>
        <v>5167253.3741278127</v>
      </c>
      <c r="O36" s="153">
        <f>O$22*1.3</f>
        <v>126254.8828125</v>
      </c>
      <c r="P36" s="188"/>
      <c r="Q36" s="188"/>
      <c r="R36" s="189"/>
    </row>
    <row r="37" spans="1:18" ht="22.5" customHeight="1">
      <c r="A37" s="18">
        <v>8</v>
      </c>
      <c r="B37" s="18" t="s">
        <v>289</v>
      </c>
      <c r="C37" s="18" t="s">
        <v>481</v>
      </c>
      <c r="D37" s="18" t="s">
        <v>306</v>
      </c>
      <c r="E37" s="141">
        <f>E$23*1.3</f>
        <v>495736.67812500009</v>
      </c>
      <c r="F37" s="141">
        <f t="shared" ref="F37:K37" si="11">F$23*1.3</f>
        <v>0</v>
      </c>
      <c r="G37" s="141">
        <f t="shared" si="11"/>
        <v>0</v>
      </c>
      <c r="H37" s="141">
        <f t="shared" si="11"/>
        <v>256.12244287500005</v>
      </c>
      <c r="I37" s="141">
        <f t="shared" si="11"/>
        <v>5313.2302080000009</v>
      </c>
      <c r="J37" s="141">
        <f t="shared" si="11"/>
        <v>1360.4364799999998</v>
      </c>
      <c r="K37" s="141">
        <f t="shared" si="11"/>
        <v>1484.0471360000004</v>
      </c>
      <c r="L37" s="141">
        <f>SUM(E37:K37)</f>
        <v>504150.51439187507</v>
      </c>
      <c r="M37" s="141">
        <f>L37*0.2</f>
        <v>100830.10287837502</v>
      </c>
      <c r="N37" s="141">
        <f>M37+L37</f>
        <v>604980.61727025011</v>
      </c>
      <c r="O37" s="141">
        <f>O$23*1.3</f>
        <v>17111.25</v>
      </c>
      <c r="P37" s="188"/>
      <c r="Q37" s="188"/>
      <c r="R37" s="189"/>
    </row>
    <row r="38" spans="1:18" ht="22.5" customHeight="1">
      <c r="A38" s="101"/>
      <c r="B38" s="154" t="s">
        <v>288</v>
      </c>
      <c r="C38" s="101"/>
      <c r="D38" s="155"/>
      <c r="E38" s="157">
        <f>E36+E37</f>
        <v>4613228.2523437496</v>
      </c>
      <c r="F38" s="157"/>
      <c r="G38" s="157">
        <f t="shared" ref="G38:M38" si="12">G36+G37</f>
        <v>0</v>
      </c>
      <c r="H38" s="157">
        <f t="shared" si="12"/>
        <v>1970.1280543750008</v>
      </c>
      <c r="I38" s="157">
        <f t="shared" si="12"/>
        <v>6407.5471200000011</v>
      </c>
      <c r="J38" s="157">
        <f t="shared" si="12"/>
        <v>14863.239040000004</v>
      </c>
      <c r="K38" s="157">
        <f t="shared" si="12"/>
        <v>1484.0471360000004</v>
      </c>
      <c r="L38" s="157">
        <f t="shared" si="12"/>
        <v>4637953.2136941254</v>
      </c>
      <c r="M38" s="157">
        <f t="shared" si="12"/>
        <v>1134280.7777039376</v>
      </c>
      <c r="N38" s="157">
        <f>N36+N37</f>
        <v>5772233.9913980626</v>
      </c>
      <c r="O38" s="157">
        <f>O36+O37</f>
        <v>143366.1328125</v>
      </c>
      <c r="P38" s="188"/>
      <c r="Q38" s="188"/>
      <c r="R38" s="189"/>
    </row>
    <row r="39" spans="1:18" ht="22.5" customHeight="1">
      <c r="A39" s="16"/>
      <c r="B39" s="16" t="s">
        <v>1001</v>
      </c>
      <c r="C39" s="16"/>
      <c r="D39" s="16"/>
      <c r="E39" s="153">
        <f>E$22*1.4</f>
        <v>4434221.6953125</v>
      </c>
      <c r="F39" s="153">
        <f t="shared" ref="F39:K39" si="13">F$22*1.4</f>
        <v>0</v>
      </c>
      <c r="G39" s="153">
        <f t="shared" si="13"/>
        <v>0</v>
      </c>
      <c r="H39" s="153">
        <f t="shared" si="13"/>
        <v>1845.8521970000006</v>
      </c>
      <c r="I39" s="153">
        <f t="shared" si="13"/>
        <v>1178.4951360000002</v>
      </c>
      <c r="J39" s="153">
        <f t="shared" si="13"/>
        <v>14541.479680000002</v>
      </c>
      <c r="K39" s="153">
        <f t="shared" si="13"/>
        <v>0</v>
      </c>
      <c r="L39" s="153">
        <f>SUM(E39:K39)</f>
        <v>4451787.5223254999</v>
      </c>
      <c r="M39" s="153">
        <f>L39*0.25</f>
        <v>1112946.880581375</v>
      </c>
      <c r="N39" s="153">
        <f>M39+L39</f>
        <v>5564734.4029068751</v>
      </c>
      <c r="O39" s="153">
        <f>O$22*1.4</f>
        <v>135966.796875</v>
      </c>
      <c r="P39" s="188"/>
      <c r="Q39" s="188"/>
      <c r="R39" s="189"/>
    </row>
    <row r="40" spans="1:18" ht="22.5" customHeight="1">
      <c r="A40" s="18">
        <v>9</v>
      </c>
      <c r="B40" s="18" t="s">
        <v>289</v>
      </c>
      <c r="C40" s="18" t="s">
        <v>481</v>
      </c>
      <c r="D40" s="18" t="s">
        <v>307</v>
      </c>
      <c r="E40" s="141">
        <f>E$23*1.4</f>
        <v>533870.26875000005</v>
      </c>
      <c r="F40" s="141">
        <f t="shared" ref="F40:K40" si="14">F$23*1.4</f>
        <v>0</v>
      </c>
      <c r="G40" s="141">
        <f t="shared" si="14"/>
        <v>0</v>
      </c>
      <c r="H40" s="141">
        <f t="shared" si="14"/>
        <v>275.82416925000001</v>
      </c>
      <c r="I40" s="141">
        <f t="shared" si="14"/>
        <v>5721.9402239999999</v>
      </c>
      <c r="J40" s="141">
        <f t="shared" si="14"/>
        <v>1465.0854399999998</v>
      </c>
      <c r="K40" s="141">
        <f t="shared" si="14"/>
        <v>1598.2046080000002</v>
      </c>
      <c r="L40" s="141">
        <f>SUM(E40:K40)</f>
        <v>542931.32319125009</v>
      </c>
      <c r="M40" s="141">
        <f>L40*0.2</f>
        <v>108586.26463825002</v>
      </c>
      <c r="N40" s="141">
        <f>M40+L40</f>
        <v>651517.58782950009</v>
      </c>
      <c r="O40" s="141">
        <f>O$23*1.4</f>
        <v>18427.5</v>
      </c>
      <c r="P40" s="188"/>
      <c r="Q40" s="188"/>
      <c r="R40" s="189"/>
    </row>
    <row r="41" spans="1:18" ht="22.5" customHeight="1">
      <c r="A41" s="147"/>
      <c r="B41" s="148" t="s">
        <v>288</v>
      </c>
      <c r="C41" s="147"/>
      <c r="D41" s="147"/>
      <c r="E41" s="157">
        <f>E39+E40</f>
        <v>4968091.9640624998</v>
      </c>
      <c r="F41" s="157"/>
      <c r="G41" s="157">
        <f t="shared" ref="G41:M41" si="15">G39+G40</f>
        <v>0</v>
      </c>
      <c r="H41" s="157">
        <f t="shared" si="15"/>
        <v>2121.6763662500007</v>
      </c>
      <c r="I41" s="157">
        <f t="shared" si="15"/>
        <v>6900.4353600000004</v>
      </c>
      <c r="J41" s="157">
        <f t="shared" si="15"/>
        <v>16006.565120000003</v>
      </c>
      <c r="K41" s="157">
        <f t="shared" si="15"/>
        <v>1598.2046080000002</v>
      </c>
      <c r="L41" s="157">
        <f t="shared" si="15"/>
        <v>4994718.8455167497</v>
      </c>
      <c r="M41" s="157">
        <f t="shared" si="15"/>
        <v>1221533.145219625</v>
      </c>
      <c r="N41" s="157">
        <f>N39+N40</f>
        <v>6216251.9907363756</v>
      </c>
      <c r="O41" s="157">
        <f>O39+O40</f>
        <v>154394.296875</v>
      </c>
      <c r="P41" s="188"/>
      <c r="Q41" s="188"/>
      <c r="R41" s="189"/>
    </row>
    <row r="42" spans="1:18" ht="22.5" customHeight="1">
      <c r="A42" s="139"/>
      <c r="B42" s="139" t="s">
        <v>1001</v>
      </c>
      <c r="C42" s="139"/>
      <c r="D42" s="139"/>
      <c r="E42" s="153">
        <f>E$22*1.6</f>
        <v>5067681.9375</v>
      </c>
      <c r="F42" s="153">
        <f t="shared" ref="F42:K42" si="16">F$22*1.6</f>
        <v>0</v>
      </c>
      <c r="G42" s="153">
        <f t="shared" si="16"/>
        <v>0</v>
      </c>
      <c r="H42" s="153">
        <f t="shared" si="16"/>
        <v>2109.545368000001</v>
      </c>
      <c r="I42" s="153">
        <f t="shared" si="16"/>
        <v>1346.8515840000005</v>
      </c>
      <c r="J42" s="153">
        <f t="shared" si="16"/>
        <v>16618.833920000005</v>
      </c>
      <c r="K42" s="153">
        <f t="shared" si="16"/>
        <v>0</v>
      </c>
      <c r="L42" s="153">
        <f>SUM(E42:K42)</f>
        <v>5087757.1683719996</v>
      </c>
      <c r="M42" s="153">
        <f>L42*0.25</f>
        <v>1271939.2920929999</v>
      </c>
      <c r="N42" s="153">
        <f>M42+L42</f>
        <v>6359696.4604649991</v>
      </c>
      <c r="O42" s="153">
        <f>O$22*1.6</f>
        <v>155390.625</v>
      </c>
      <c r="P42" s="188"/>
      <c r="Q42" s="188"/>
      <c r="R42" s="189"/>
    </row>
    <row r="43" spans="1:18" ht="22.5" customHeight="1">
      <c r="A43" s="18">
        <v>10</v>
      </c>
      <c r="B43" s="18" t="s">
        <v>289</v>
      </c>
      <c r="C43" s="18" t="s">
        <v>481</v>
      </c>
      <c r="D43" s="18" t="s">
        <v>308</v>
      </c>
      <c r="E43" s="141">
        <f>E$23*1.6</f>
        <v>610137.45000000007</v>
      </c>
      <c r="F43" s="141">
        <f t="shared" ref="F43:K43" si="17">F$23*1.6</f>
        <v>0</v>
      </c>
      <c r="G43" s="141">
        <f t="shared" si="17"/>
        <v>0</v>
      </c>
      <c r="H43" s="141">
        <f t="shared" si="17"/>
        <v>315.22762200000011</v>
      </c>
      <c r="I43" s="141">
        <f t="shared" si="17"/>
        <v>6539.3602560000008</v>
      </c>
      <c r="J43" s="141">
        <f t="shared" si="17"/>
        <v>1674.3833599999998</v>
      </c>
      <c r="K43" s="141">
        <f t="shared" si="17"/>
        <v>1826.5195520000007</v>
      </c>
      <c r="L43" s="141">
        <f>SUM(E43:K43)</f>
        <v>620492.94079000002</v>
      </c>
      <c r="M43" s="141">
        <f>L43*0.2</f>
        <v>124098.58815800001</v>
      </c>
      <c r="N43" s="141">
        <f>M43+L43</f>
        <v>744591.52894800005</v>
      </c>
      <c r="O43" s="141">
        <f>O$23*1.6</f>
        <v>21060</v>
      </c>
      <c r="P43" s="188"/>
      <c r="Q43" s="188"/>
      <c r="R43" s="189"/>
    </row>
    <row r="44" spans="1:18" ht="22.5" customHeight="1">
      <c r="A44" s="101"/>
      <c r="B44" s="154" t="s">
        <v>288</v>
      </c>
      <c r="C44" s="101"/>
      <c r="D44" s="101"/>
      <c r="E44" s="157">
        <f>E42+E43</f>
        <v>5677819.3875000002</v>
      </c>
      <c r="F44" s="157"/>
      <c r="G44" s="157">
        <f t="shared" ref="G44:M44" si="18">G42+G43</f>
        <v>0</v>
      </c>
      <c r="H44" s="157">
        <f t="shared" si="18"/>
        <v>2424.7729900000013</v>
      </c>
      <c r="I44" s="157">
        <f t="shared" si="18"/>
        <v>7886.2118400000018</v>
      </c>
      <c r="J44" s="157">
        <f t="shared" si="18"/>
        <v>18293.217280000004</v>
      </c>
      <c r="K44" s="157">
        <f t="shared" si="18"/>
        <v>1826.5195520000007</v>
      </c>
      <c r="L44" s="157">
        <f t="shared" si="18"/>
        <v>5708250.109162</v>
      </c>
      <c r="M44" s="157">
        <f t="shared" si="18"/>
        <v>1396037.8802509999</v>
      </c>
      <c r="N44" s="157">
        <f>N42+N43</f>
        <v>7104287.9894129988</v>
      </c>
      <c r="O44" s="157">
        <f>O42+O43</f>
        <v>176450.625</v>
      </c>
      <c r="P44" s="188"/>
      <c r="Q44" s="188"/>
      <c r="R44" s="189"/>
    </row>
    <row r="45" spans="1:18" ht="22.5" customHeight="1">
      <c r="A45" s="16"/>
      <c r="B45" s="16" t="s">
        <v>1001</v>
      </c>
      <c r="C45" s="16"/>
      <c r="D45" s="16"/>
      <c r="E45" s="153">
        <f>E$22*1.8</f>
        <v>5701142.1796875</v>
      </c>
      <c r="F45" s="153">
        <f t="shared" ref="F45:K45" si="19">F$22*1.8</f>
        <v>0</v>
      </c>
      <c r="G45" s="153">
        <f t="shared" si="19"/>
        <v>0</v>
      </c>
      <c r="H45" s="153">
        <f t="shared" si="19"/>
        <v>2373.2385390000013</v>
      </c>
      <c r="I45" s="153">
        <f t="shared" si="19"/>
        <v>1515.2080320000005</v>
      </c>
      <c r="J45" s="153">
        <f t="shared" si="19"/>
        <v>18696.188160000005</v>
      </c>
      <c r="K45" s="153">
        <f t="shared" si="19"/>
        <v>0</v>
      </c>
      <c r="L45" s="153">
        <f>SUM(E45:K45)</f>
        <v>5723726.8144185003</v>
      </c>
      <c r="M45" s="153">
        <f>L45*0.25</f>
        <v>1430931.7036046251</v>
      </c>
      <c r="N45" s="153">
        <f>M45+L45</f>
        <v>7154658.5180231258</v>
      </c>
      <c r="O45" s="153">
        <f>O$22*1.8</f>
        <v>174814.453125</v>
      </c>
      <c r="P45" s="188"/>
      <c r="Q45" s="188"/>
      <c r="R45" s="189"/>
    </row>
    <row r="46" spans="1:18" ht="22.5" customHeight="1">
      <c r="A46" s="18">
        <v>11</v>
      </c>
      <c r="B46" s="18" t="s">
        <v>289</v>
      </c>
      <c r="C46" s="18" t="s">
        <v>481</v>
      </c>
      <c r="D46" s="18" t="s">
        <v>309</v>
      </c>
      <c r="E46" s="141">
        <f>E$23*1.8</f>
        <v>686404.63125000009</v>
      </c>
      <c r="F46" s="141">
        <f t="shared" ref="F46:K46" si="20">F$23*1.8</f>
        <v>0</v>
      </c>
      <c r="G46" s="141">
        <f t="shared" si="20"/>
        <v>0</v>
      </c>
      <c r="H46" s="141">
        <f t="shared" si="20"/>
        <v>354.6310747500001</v>
      </c>
      <c r="I46" s="141">
        <f t="shared" si="20"/>
        <v>7356.7802880000008</v>
      </c>
      <c r="J46" s="141">
        <f t="shared" si="20"/>
        <v>1883.6812799999998</v>
      </c>
      <c r="K46" s="141">
        <f t="shared" si="20"/>
        <v>2054.8344960000004</v>
      </c>
      <c r="L46" s="141">
        <f>SUM(E46:K46)</f>
        <v>698054.55838875007</v>
      </c>
      <c r="M46" s="141">
        <f>L46*0.2</f>
        <v>139610.91167775003</v>
      </c>
      <c r="N46" s="141">
        <f>M46+L46</f>
        <v>837665.47006650013</v>
      </c>
      <c r="O46" s="141">
        <f>O$23*1.8</f>
        <v>23692.5</v>
      </c>
    </row>
    <row r="47" spans="1:18" ht="22.5" customHeight="1">
      <c r="A47" s="101"/>
      <c r="B47" s="154" t="s">
        <v>288</v>
      </c>
      <c r="C47" s="101"/>
      <c r="D47" s="101"/>
      <c r="E47" s="157">
        <f>E45+E46</f>
        <v>6387546.8109374996</v>
      </c>
      <c r="F47" s="157"/>
      <c r="G47" s="157">
        <f t="shared" ref="G47:M47" si="21">G45+G46</f>
        <v>0</v>
      </c>
      <c r="H47" s="157">
        <f t="shared" si="21"/>
        <v>2727.8696137500015</v>
      </c>
      <c r="I47" s="157">
        <f t="shared" si="21"/>
        <v>8871.9883200000004</v>
      </c>
      <c r="J47" s="157">
        <f t="shared" si="21"/>
        <v>20579.869440000006</v>
      </c>
      <c r="K47" s="157">
        <f t="shared" si="21"/>
        <v>2054.8344960000004</v>
      </c>
      <c r="L47" s="157">
        <f t="shared" si="21"/>
        <v>6421781.3728072504</v>
      </c>
      <c r="M47" s="157">
        <f t="shared" si="21"/>
        <v>1570542.6152823751</v>
      </c>
      <c r="N47" s="157">
        <f>N45+N46</f>
        <v>7992323.9880896257</v>
      </c>
      <c r="O47" s="157">
        <f>O45+O46</f>
        <v>198506.953125</v>
      </c>
    </row>
    <row r="48" spans="1:18" s="170" customFormat="1" ht="13.5" customHeight="1">
      <c r="C48" s="190"/>
    </row>
    <row r="49" spans="1:2">
      <c r="A49" s="170"/>
      <c r="B49" s="171" t="s">
        <v>550</v>
      </c>
    </row>
    <row r="50" spans="1:2" ht="17.25" customHeight="1">
      <c r="A50" s="172"/>
      <c r="B50" s="172" t="s">
        <v>310</v>
      </c>
    </row>
    <row r="51" spans="1:2" ht="17.25" customHeight="1">
      <c r="A51" s="172"/>
      <c r="B51" s="172" t="s">
        <v>311</v>
      </c>
    </row>
    <row r="52" spans="1:2" ht="17.25" customHeight="1">
      <c r="A52" s="172"/>
      <c r="B52" s="172" t="s">
        <v>312</v>
      </c>
    </row>
    <row r="53" spans="1:2" ht="22.5" customHeight="1">
      <c r="A53" s="172"/>
      <c r="B53" s="172" t="s">
        <v>313</v>
      </c>
    </row>
  </sheetData>
  <mergeCells count="34">
    <mergeCell ref="A1:O1"/>
    <mergeCell ref="N2:O2"/>
    <mergeCell ref="A3:A6"/>
    <mergeCell ref="B3:B6"/>
    <mergeCell ref="C3:C6"/>
    <mergeCell ref="D3:D6"/>
    <mergeCell ref="E3:L4"/>
    <mergeCell ref="M3:M6"/>
    <mergeCell ref="N3:N6"/>
    <mergeCell ref="O3:O6"/>
    <mergeCell ref="J5:J6"/>
    <mergeCell ref="K5:K6"/>
    <mergeCell ref="L5:L6"/>
    <mergeCell ref="A27:O27"/>
    <mergeCell ref="E5:E6"/>
    <mergeCell ref="F5:F6"/>
    <mergeCell ref="H5:H6"/>
    <mergeCell ref="I5:I6"/>
    <mergeCell ref="N28:O28"/>
    <mergeCell ref="A29:A32"/>
    <mergeCell ref="B29:B32"/>
    <mergeCell ref="C29:C32"/>
    <mergeCell ref="D29:D32"/>
    <mergeCell ref="E29:L30"/>
    <mergeCell ref="M29:M32"/>
    <mergeCell ref="N29:N32"/>
    <mergeCell ref="O29:O32"/>
    <mergeCell ref="E31:E32"/>
    <mergeCell ref="K31:K32"/>
    <mergeCell ref="L31:L32"/>
    <mergeCell ref="F31:F32"/>
    <mergeCell ref="H31:H32"/>
    <mergeCell ref="I31:I32"/>
    <mergeCell ref="J31:J32"/>
  </mergeCells>
  <phoneticPr fontId="45" type="noConversion"/>
  <printOptions horizontalCentered="1"/>
  <pageMargins left="0.74803149606299213" right="0.74803149606299213" top="0.78740157480314965" bottom="0.78740157480314965" header="0.31496062992125984" footer="0.31496062992125984"/>
  <pageSetup paperSize="9" scale="90" firstPageNumber="49" orientation="landscape" useFirstPageNumber="1" r:id="rId1"/>
  <headerFooter alignWithMargins="0">
    <oddHeader>&amp;R&amp;"Times New Roman,Regular"&amp;12&amp;UĐơn giá sản phẩm trích đo thửa đất - Khu vực đô thị</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R53"/>
  <sheetViews>
    <sheetView topLeftCell="C1" zoomScale="80" zoomScaleNormal="80" workbookViewId="0">
      <selection activeCell="E7" sqref="E7:K8"/>
    </sheetView>
  </sheetViews>
  <sheetFormatPr defaultRowHeight="16.5"/>
  <cols>
    <col min="1" max="1" width="4.88671875" customWidth="1"/>
    <col min="2" max="2" width="13.21875" customWidth="1"/>
    <col min="3" max="3" width="6.21875" style="2" customWidth="1"/>
    <col min="4" max="4" width="13.88671875" customWidth="1"/>
    <col min="5" max="5" width="10.5546875" customWidth="1"/>
    <col min="6" max="6" width="7.21875" hidden="1" customWidth="1"/>
    <col min="7" max="7" width="7.88671875" hidden="1" customWidth="1"/>
    <col min="9" max="11" width="8.6640625" customWidth="1"/>
    <col min="12" max="12" width="10.6640625" customWidth="1"/>
    <col min="13" max="13" width="10.109375" customWidth="1"/>
    <col min="14" max="14" width="10.77734375" customWidth="1"/>
    <col min="15" max="15" width="9.44140625" customWidth="1"/>
  </cols>
  <sheetData>
    <row r="1" spans="1:18" ht="32.25" customHeight="1">
      <c r="A1" s="1064" t="s">
        <v>256</v>
      </c>
      <c r="B1" s="1064"/>
      <c r="C1" s="1064"/>
      <c r="D1" s="1064"/>
      <c r="E1" s="1064"/>
      <c r="F1" s="1064"/>
      <c r="G1" s="1064"/>
      <c r="H1" s="1064"/>
      <c r="I1" s="1064"/>
      <c r="J1" s="1064"/>
      <c r="K1" s="1064"/>
      <c r="L1" s="1064"/>
      <c r="M1" s="1064"/>
      <c r="N1" s="1064"/>
      <c r="O1" s="1064"/>
      <c r="Q1" s="125">
        <v>0</v>
      </c>
      <c r="R1" s="125">
        <v>650000</v>
      </c>
    </row>
    <row r="2" spans="1:18" ht="18.75" customHeight="1">
      <c r="A2" s="126"/>
      <c r="B2" s="126"/>
      <c r="C2" s="127"/>
      <c r="D2" s="126"/>
      <c r="E2" s="126"/>
      <c r="F2" s="126"/>
      <c r="G2" s="126"/>
      <c r="H2" s="126"/>
      <c r="I2" s="126"/>
      <c r="J2" s="126"/>
      <c r="K2" s="126"/>
      <c r="L2" s="126"/>
      <c r="M2" s="128"/>
      <c r="N2" s="1053" t="s">
        <v>500</v>
      </c>
      <c r="O2" s="1053"/>
    </row>
    <row r="3" spans="1:18" ht="16.5" customHeight="1">
      <c r="A3" s="1054" t="s">
        <v>979</v>
      </c>
      <c r="B3" s="1051" t="s">
        <v>272</v>
      </c>
      <c r="C3" s="1051" t="s">
        <v>273</v>
      </c>
      <c r="D3" s="1051" t="s">
        <v>274</v>
      </c>
      <c r="E3" s="1058" t="s">
        <v>683</v>
      </c>
      <c r="F3" s="1059"/>
      <c r="G3" s="1059"/>
      <c r="H3" s="1059"/>
      <c r="I3" s="1059"/>
      <c r="J3" s="1059"/>
      <c r="K3" s="1059"/>
      <c r="L3" s="1060"/>
      <c r="M3" s="1051" t="s">
        <v>275</v>
      </c>
      <c r="N3" s="1051" t="s">
        <v>276</v>
      </c>
      <c r="O3" s="1051" t="s">
        <v>277</v>
      </c>
      <c r="P3" s="129" t="s">
        <v>278</v>
      </c>
      <c r="Q3" s="129" t="s">
        <v>278</v>
      </c>
      <c r="R3" s="130" t="s">
        <v>279</v>
      </c>
    </row>
    <row r="4" spans="1:18">
      <c r="A4" s="1055"/>
      <c r="B4" s="1057"/>
      <c r="C4" s="1057"/>
      <c r="D4" s="1057"/>
      <c r="E4" s="1061"/>
      <c r="F4" s="1062"/>
      <c r="G4" s="1062"/>
      <c r="H4" s="1062"/>
      <c r="I4" s="1062"/>
      <c r="J4" s="1062"/>
      <c r="K4" s="1062"/>
      <c r="L4" s="1063"/>
      <c r="M4" s="1057"/>
      <c r="N4" s="1057"/>
      <c r="O4" s="1057"/>
      <c r="P4" s="131" t="s">
        <v>280</v>
      </c>
      <c r="Q4" s="131" t="s">
        <v>281</v>
      </c>
      <c r="R4" s="132" t="s">
        <v>282</v>
      </c>
    </row>
    <row r="5" spans="1:18" ht="21" customHeight="1">
      <c r="A5" s="1055"/>
      <c r="B5" s="1057"/>
      <c r="C5" s="1057"/>
      <c r="D5" s="1057"/>
      <c r="E5" s="1051" t="s">
        <v>283</v>
      </c>
      <c r="F5" s="1051" t="s">
        <v>284</v>
      </c>
      <c r="G5" s="133" t="s">
        <v>285</v>
      </c>
      <c r="H5" s="1051" t="s">
        <v>286</v>
      </c>
      <c r="I5" s="1051" t="s">
        <v>976</v>
      </c>
      <c r="J5" s="1051" t="s">
        <v>977</v>
      </c>
      <c r="K5" s="1051" t="s">
        <v>287</v>
      </c>
      <c r="L5" s="1051" t="s">
        <v>288</v>
      </c>
      <c r="M5" s="1057"/>
      <c r="N5" s="1057"/>
      <c r="O5" s="1057"/>
      <c r="P5" s="134">
        <f>$R$1*0.1/26*1.25*1</f>
        <v>3125</v>
      </c>
      <c r="Q5" s="134">
        <f>$R$1*0.1/26*1.25*0.25</f>
        <v>781.25</v>
      </c>
      <c r="R5" s="135"/>
    </row>
    <row r="6" spans="1:18" ht="20.25" customHeight="1">
      <c r="A6" s="1056"/>
      <c r="B6" s="1052"/>
      <c r="C6" s="1052"/>
      <c r="D6" s="1052"/>
      <c r="E6" s="1052"/>
      <c r="F6" s="1052"/>
      <c r="G6" s="136">
        <f>$Q$1</f>
        <v>0</v>
      </c>
      <c r="H6" s="1052"/>
      <c r="I6" s="1052"/>
      <c r="J6" s="1052"/>
      <c r="K6" s="1052"/>
      <c r="L6" s="1052"/>
      <c r="M6" s="1052"/>
      <c r="N6" s="1052"/>
      <c r="O6" s="1052"/>
      <c r="P6" s="137">
        <f>$R$1*0.1/26*1*1</f>
        <v>2500</v>
      </c>
      <c r="Q6" s="137">
        <f>$R$1*0.1/26*1*0.2</f>
        <v>500</v>
      </c>
      <c r="R6" s="138"/>
    </row>
    <row r="7" spans="1:18" ht="22.5" customHeight="1">
      <c r="A7" s="16"/>
      <c r="B7" s="139" t="s">
        <v>1001</v>
      </c>
      <c r="C7" s="139"/>
      <c r="D7" s="139"/>
      <c r="E7" s="140">
        <v>649702.8125</v>
      </c>
      <c r="F7" s="140"/>
      <c r="G7" s="141">
        <f>P7*$Q$1*10</f>
        <v>0</v>
      </c>
      <c r="H7" s="140">
        <v>310.22726000000011</v>
      </c>
      <c r="I7" s="140">
        <v>259.00992000000002</v>
      </c>
      <c r="J7" s="140">
        <v>2509.9264000000003</v>
      </c>
      <c r="K7" s="141">
        <v>0</v>
      </c>
      <c r="L7" s="140">
        <f>SUM(E7:K7)</f>
        <v>652781.97607999993</v>
      </c>
      <c r="M7" s="140">
        <f>L7*0.25</f>
        <v>163195.49401999998</v>
      </c>
      <c r="N7" s="142">
        <f>M7+L7</f>
        <v>815977.47009999992</v>
      </c>
      <c r="O7" s="140">
        <f>P7+Q7</f>
        <v>19921.874999999996</v>
      </c>
      <c r="P7" s="143">
        <f>R7*P5</f>
        <v>15937.499999999998</v>
      </c>
      <c r="Q7" s="143">
        <f>R7*Q5</f>
        <v>3984.3749999999995</v>
      </c>
      <c r="R7" s="144">
        <v>5.0999999999999996</v>
      </c>
    </row>
    <row r="8" spans="1:18" ht="22.5" customHeight="1">
      <c r="A8" s="18">
        <v>1</v>
      </c>
      <c r="B8" s="18" t="s">
        <v>289</v>
      </c>
      <c r="C8" s="18" t="s">
        <v>481</v>
      </c>
      <c r="D8" s="18" t="s">
        <v>290</v>
      </c>
      <c r="E8" s="145">
        <v>78222.75</v>
      </c>
      <c r="F8" s="145"/>
      <c r="G8" s="141">
        <f>P8*$Q$1*10</f>
        <v>0</v>
      </c>
      <c r="H8" s="145">
        <v>50.168852307692312</v>
      </c>
      <c r="I8" s="145">
        <v>1257.5692799999999</v>
      </c>
      <c r="J8" s="145">
        <v>269.05599999999998</v>
      </c>
      <c r="K8" s="145">
        <v>292.80063999999999</v>
      </c>
      <c r="L8" s="145">
        <f>SUM(E8:K8)</f>
        <v>80092.344772307682</v>
      </c>
      <c r="M8" s="145">
        <f>L8*0.2</f>
        <v>16018.468954461538</v>
      </c>
      <c r="N8" s="146">
        <f>M8+L8</f>
        <v>96110.813726769222</v>
      </c>
      <c r="O8" s="145">
        <f>P8+Q8</f>
        <v>2700</v>
      </c>
      <c r="P8" s="143">
        <f>P6*R8</f>
        <v>2250</v>
      </c>
      <c r="Q8" s="143">
        <f>Q6*R8</f>
        <v>449.99999999999994</v>
      </c>
      <c r="R8" s="144">
        <v>0.89999999999999991</v>
      </c>
    </row>
    <row r="9" spans="1:18" ht="22.5" customHeight="1">
      <c r="A9" s="147"/>
      <c r="B9" s="148" t="s">
        <v>288</v>
      </c>
      <c r="C9" s="147"/>
      <c r="D9" s="147"/>
      <c r="E9" s="149">
        <f t="shared" ref="E9:M9" si="0">E7+E8</f>
        <v>727925.5625</v>
      </c>
      <c r="F9" s="149"/>
      <c r="G9" s="150">
        <f t="shared" si="0"/>
        <v>0</v>
      </c>
      <c r="H9" s="149">
        <f t="shared" si="0"/>
        <v>360.39611230769242</v>
      </c>
      <c r="I9" s="149">
        <f t="shared" si="0"/>
        <v>1516.5791999999999</v>
      </c>
      <c r="J9" s="149">
        <f t="shared" si="0"/>
        <v>2778.9824000000003</v>
      </c>
      <c r="K9" s="149">
        <f t="shared" si="0"/>
        <v>292.80063999999999</v>
      </c>
      <c r="L9" s="149">
        <f t="shared" si="0"/>
        <v>732874.3208523076</v>
      </c>
      <c r="M9" s="149">
        <f t="shared" si="0"/>
        <v>179213.96297446152</v>
      </c>
      <c r="N9" s="149">
        <f>N7+N8</f>
        <v>912088.2838267691</v>
      </c>
      <c r="O9" s="151">
        <f>O7+O8</f>
        <v>22621.874999999996</v>
      </c>
      <c r="P9" s="143"/>
      <c r="Q9" s="143"/>
      <c r="R9" s="144"/>
    </row>
    <row r="10" spans="1:18" ht="22.5" customHeight="1">
      <c r="A10" s="139"/>
      <c r="B10" s="139" t="s">
        <v>1001</v>
      </c>
      <c r="C10" s="139"/>
      <c r="D10" s="152"/>
      <c r="E10" s="140">
        <v>769897.83281249995</v>
      </c>
      <c r="F10" s="140"/>
      <c r="G10" s="153">
        <f>P10*$Q$1*10</f>
        <v>0</v>
      </c>
      <c r="H10" s="140">
        <v>367.61930310000014</v>
      </c>
      <c r="I10" s="140">
        <v>306.92675520000006</v>
      </c>
      <c r="J10" s="140">
        <v>2974.2627840000005</v>
      </c>
      <c r="K10" s="153">
        <v>0</v>
      </c>
      <c r="L10" s="140">
        <f t="shared" ref="L10:L23" si="1">SUM(E10:K10)</f>
        <v>773546.64165480004</v>
      </c>
      <c r="M10" s="140">
        <f>L10*0.25</f>
        <v>193386.66041370001</v>
      </c>
      <c r="N10" s="142">
        <f>M10+L10</f>
        <v>966933.30206850008</v>
      </c>
      <c r="O10" s="140">
        <f>P10+Q10</f>
        <v>23607.421875</v>
      </c>
      <c r="P10" s="143">
        <f>P5*R10</f>
        <v>18885.9375</v>
      </c>
      <c r="Q10" s="143">
        <f>Q5*R10</f>
        <v>4721.484375</v>
      </c>
      <c r="R10" s="144">
        <v>6.0434999999999999</v>
      </c>
    </row>
    <row r="11" spans="1:18" ht="22.5" customHeight="1">
      <c r="A11" s="18">
        <v>2</v>
      </c>
      <c r="B11" s="18" t="s">
        <v>289</v>
      </c>
      <c r="C11" s="18" t="s">
        <v>481</v>
      </c>
      <c r="D11" s="18" t="s">
        <v>291</v>
      </c>
      <c r="E11" s="145">
        <v>92693.958750000005</v>
      </c>
      <c r="F11" s="145"/>
      <c r="G11" s="141">
        <f>P11*$Q$1*10</f>
        <v>0</v>
      </c>
      <c r="H11" s="145">
        <v>59.450089984615396</v>
      </c>
      <c r="I11" s="145">
        <v>1490.2195968000001</v>
      </c>
      <c r="J11" s="145">
        <v>318.83136000000002</v>
      </c>
      <c r="K11" s="145">
        <v>346.96875840000001</v>
      </c>
      <c r="L11" s="145">
        <f t="shared" si="1"/>
        <v>94909.428555184626</v>
      </c>
      <c r="M11" s="145">
        <f>L11*0.2</f>
        <v>18981.885711036924</v>
      </c>
      <c r="N11" s="146">
        <f>M11+L11</f>
        <v>113891.31426622155</v>
      </c>
      <c r="O11" s="145">
        <f>P11+Q11</f>
        <v>3199.5</v>
      </c>
      <c r="P11" s="143">
        <f>P6*R11</f>
        <v>2666.25</v>
      </c>
      <c r="Q11" s="143">
        <f>Q6*R11</f>
        <v>533.25</v>
      </c>
      <c r="R11" s="144">
        <v>1.0665</v>
      </c>
    </row>
    <row r="12" spans="1:18" ht="22.5" customHeight="1">
      <c r="A12" s="101"/>
      <c r="B12" s="154" t="s">
        <v>288</v>
      </c>
      <c r="C12" s="101"/>
      <c r="D12" s="155"/>
      <c r="E12" s="156">
        <f t="shared" ref="E12:M12" si="2">E10+E11</f>
        <v>862591.79156249994</v>
      </c>
      <c r="F12" s="156"/>
      <c r="G12" s="157">
        <f>G10+G11</f>
        <v>0</v>
      </c>
      <c r="H12" s="156">
        <f t="shared" si="2"/>
        <v>427.06939308461551</v>
      </c>
      <c r="I12" s="156">
        <f t="shared" si="2"/>
        <v>1797.1463520000002</v>
      </c>
      <c r="J12" s="156">
        <f t="shared" si="2"/>
        <v>3293.0941440000006</v>
      </c>
      <c r="K12" s="156">
        <f t="shared" si="2"/>
        <v>346.96875840000001</v>
      </c>
      <c r="L12" s="156">
        <f t="shared" si="2"/>
        <v>868456.07020998467</v>
      </c>
      <c r="M12" s="156">
        <f t="shared" si="2"/>
        <v>212368.54612473692</v>
      </c>
      <c r="N12" s="156">
        <f>N10+N11</f>
        <v>1080824.6163347217</v>
      </c>
      <c r="O12" s="158">
        <f>O10+O11</f>
        <v>26806.921875</v>
      </c>
      <c r="P12" s="143"/>
      <c r="Q12" s="143"/>
      <c r="R12" s="144"/>
    </row>
    <row r="13" spans="1:18" ht="22.5" customHeight="1">
      <c r="A13" s="16"/>
      <c r="B13" s="16" t="s">
        <v>1001</v>
      </c>
      <c r="C13" s="16"/>
      <c r="D13" s="16"/>
      <c r="E13" s="159">
        <v>818625.54375000007</v>
      </c>
      <c r="F13" s="159"/>
      <c r="G13" s="160">
        <f>P13*$Q$1*10</f>
        <v>0</v>
      </c>
      <c r="H13" s="159">
        <v>390.88634760000014</v>
      </c>
      <c r="I13" s="159">
        <v>326.35249920000001</v>
      </c>
      <c r="J13" s="159">
        <v>3162.5072640000003</v>
      </c>
      <c r="K13" s="141">
        <v>0</v>
      </c>
      <c r="L13" s="159">
        <f t="shared" si="1"/>
        <v>822505.28986080014</v>
      </c>
      <c r="M13" s="159">
        <f>L13*0.25</f>
        <v>205626.32246520004</v>
      </c>
      <c r="N13" s="161">
        <f>M13+L13</f>
        <v>1028131.6123260001</v>
      </c>
      <c r="O13" s="159">
        <f>P13+Q13</f>
        <v>25101.5625</v>
      </c>
      <c r="P13" s="143">
        <f>P5*R13</f>
        <v>20081.25</v>
      </c>
      <c r="Q13" s="143">
        <f>Q5*R13</f>
        <v>5020.3125</v>
      </c>
      <c r="R13" s="144">
        <v>6.4260000000000002</v>
      </c>
    </row>
    <row r="14" spans="1:18" ht="22.5" customHeight="1">
      <c r="A14" s="18">
        <v>3</v>
      </c>
      <c r="B14" s="18" t="s">
        <v>289</v>
      </c>
      <c r="C14" s="18" t="s">
        <v>481</v>
      </c>
      <c r="D14" s="18" t="s">
        <v>300</v>
      </c>
      <c r="E14" s="145">
        <v>98560.665000000023</v>
      </c>
      <c r="F14" s="145"/>
      <c r="G14" s="141">
        <f>P14*$Q$1*10</f>
        <v>0</v>
      </c>
      <c r="H14" s="145">
        <v>63.21275390769231</v>
      </c>
      <c r="I14" s="145">
        <v>1584.5372927999999</v>
      </c>
      <c r="J14" s="145">
        <v>339.01056</v>
      </c>
      <c r="K14" s="145">
        <v>368.92880639999998</v>
      </c>
      <c r="L14" s="145">
        <f t="shared" si="1"/>
        <v>100916.35441310771</v>
      </c>
      <c r="M14" s="145">
        <f>L14*0.2</f>
        <v>20183.270882621542</v>
      </c>
      <c r="N14" s="146">
        <f>M14+L14</f>
        <v>121099.62529572925</v>
      </c>
      <c r="O14" s="145">
        <f>P14+Q14</f>
        <v>3402.0000000000005</v>
      </c>
      <c r="P14" s="143">
        <f>P6*R14</f>
        <v>2835.0000000000005</v>
      </c>
      <c r="Q14" s="143">
        <f>Q6*R14</f>
        <v>567.00000000000011</v>
      </c>
      <c r="R14" s="144">
        <v>1.1340000000000001</v>
      </c>
    </row>
    <row r="15" spans="1:18" ht="22.5" customHeight="1">
      <c r="A15" s="147"/>
      <c r="B15" s="148" t="s">
        <v>288</v>
      </c>
      <c r="C15" s="147"/>
      <c r="D15" s="147"/>
      <c r="E15" s="149">
        <f t="shared" ref="E15:M15" si="3">E13+E14</f>
        <v>917186.20875000011</v>
      </c>
      <c r="F15" s="149"/>
      <c r="G15" s="162">
        <f>G13+G14</f>
        <v>0</v>
      </c>
      <c r="H15" s="149">
        <f t="shared" si="3"/>
        <v>454.09910150769247</v>
      </c>
      <c r="I15" s="149">
        <f t="shared" si="3"/>
        <v>1910.8897919999999</v>
      </c>
      <c r="J15" s="149">
        <f t="shared" si="3"/>
        <v>3501.5178240000005</v>
      </c>
      <c r="K15" s="149">
        <f t="shared" si="3"/>
        <v>368.92880639999998</v>
      </c>
      <c r="L15" s="149">
        <f t="shared" si="3"/>
        <v>923421.64427390788</v>
      </c>
      <c r="M15" s="149">
        <f t="shared" si="3"/>
        <v>225809.59334782159</v>
      </c>
      <c r="N15" s="149">
        <f>N13+N14</f>
        <v>1149231.2376217293</v>
      </c>
      <c r="O15" s="151">
        <f>O13+O14</f>
        <v>28503.5625</v>
      </c>
      <c r="P15" s="143"/>
      <c r="Q15" s="143"/>
      <c r="R15" s="144"/>
    </row>
    <row r="16" spans="1:18" ht="22.5" customHeight="1">
      <c r="A16" s="139"/>
      <c r="B16" s="139" t="s">
        <v>1001</v>
      </c>
      <c r="C16" s="139"/>
      <c r="D16" s="139"/>
      <c r="E16" s="140">
        <v>1000542.33125</v>
      </c>
      <c r="F16" s="140"/>
      <c r="G16" s="153">
        <f>P16*$Q$1*10</f>
        <v>0</v>
      </c>
      <c r="H16" s="140">
        <v>477.7499804000002</v>
      </c>
      <c r="I16" s="140">
        <v>398.87527680000005</v>
      </c>
      <c r="J16" s="140">
        <v>3865.2866560000007</v>
      </c>
      <c r="K16" s="153">
        <v>0</v>
      </c>
      <c r="L16" s="140">
        <f t="shared" si="1"/>
        <v>1005284.2431632</v>
      </c>
      <c r="M16" s="140">
        <f>L16*0.25</f>
        <v>251321.06079079999</v>
      </c>
      <c r="N16" s="142">
        <f>M16+L16</f>
        <v>1256605.3039539999</v>
      </c>
      <c r="O16" s="140">
        <f>P16+Q16</f>
        <v>30679.6875</v>
      </c>
      <c r="P16" s="143">
        <f>P5*R16</f>
        <v>24543.75</v>
      </c>
      <c r="Q16" s="143">
        <f>Q5*R16</f>
        <v>6135.9375</v>
      </c>
      <c r="R16" s="144">
        <v>7.8540000000000001</v>
      </c>
    </row>
    <row r="17" spans="1:18" ht="22.5" customHeight="1">
      <c r="A17" s="18">
        <v>4</v>
      </c>
      <c r="B17" s="18" t="s">
        <v>289</v>
      </c>
      <c r="C17" s="18" t="s">
        <v>481</v>
      </c>
      <c r="D17" s="18" t="s">
        <v>301</v>
      </c>
      <c r="E17" s="145">
        <v>120463.035</v>
      </c>
      <c r="F17" s="145"/>
      <c r="G17" s="141">
        <f>P17*$Q$1*10</f>
        <v>0</v>
      </c>
      <c r="H17" s="145">
        <v>77.260032553846159</v>
      </c>
      <c r="I17" s="145">
        <v>1936.6566911999998</v>
      </c>
      <c r="J17" s="145">
        <v>414.34623999999997</v>
      </c>
      <c r="K17" s="145">
        <v>450.91298560000001</v>
      </c>
      <c r="L17" s="145">
        <f t="shared" si="1"/>
        <v>123342.21094935386</v>
      </c>
      <c r="M17" s="145">
        <f>L17*0.2</f>
        <v>24668.442189870773</v>
      </c>
      <c r="N17" s="146">
        <f>M17+L17</f>
        <v>148010.65313922463</v>
      </c>
      <c r="O17" s="145">
        <f>P17+Q17</f>
        <v>4158</v>
      </c>
      <c r="P17" s="143">
        <f>P6*R17</f>
        <v>3464.9999999999995</v>
      </c>
      <c r="Q17" s="143">
        <f>Q6*R17</f>
        <v>693</v>
      </c>
      <c r="R17" s="144">
        <v>1.3859999999999999</v>
      </c>
    </row>
    <row r="18" spans="1:18" ht="22.5" customHeight="1">
      <c r="A18" s="101"/>
      <c r="B18" s="154" t="s">
        <v>288</v>
      </c>
      <c r="C18" s="101"/>
      <c r="D18" s="101"/>
      <c r="E18" s="156">
        <f t="shared" ref="E18:M18" si="4">E16+E17</f>
        <v>1121005.36625</v>
      </c>
      <c r="F18" s="156"/>
      <c r="G18" s="157">
        <f>G16+G17</f>
        <v>0</v>
      </c>
      <c r="H18" s="156">
        <f t="shared" si="4"/>
        <v>555.0100129538464</v>
      </c>
      <c r="I18" s="156">
        <f t="shared" si="4"/>
        <v>2335.5319679999998</v>
      </c>
      <c r="J18" s="156">
        <f t="shared" si="4"/>
        <v>4279.632896000001</v>
      </c>
      <c r="K18" s="156">
        <f t="shared" si="4"/>
        <v>450.91298560000001</v>
      </c>
      <c r="L18" s="156">
        <f t="shared" si="4"/>
        <v>1128626.4541125537</v>
      </c>
      <c r="M18" s="156">
        <f t="shared" si="4"/>
        <v>275989.50298067078</v>
      </c>
      <c r="N18" s="156">
        <f>N16+N17</f>
        <v>1404615.9570932244</v>
      </c>
      <c r="O18" s="158">
        <f>O16+O17</f>
        <v>34837.6875</v>
      </c>
      <c r="P18" s="143"/>
      <c r="Q18" s="143"/>
      <c r="R18" s="144"/>
    </row>
    <row r="19" spans="1:18" ht="22.5" customHeight="1">
      <c r="A19" s="16"/>
      <c r="B19" s="16" t="s">
        <v>1001</v>
      </c>
      <c r="C19" s="16"/>
      <c r="D19" s="16"/>
      <c r="E19" s="159">
        <v>1374121.4484375003</v>
      </c>
      <c r="F19" s="159"/>
      <c r="G19" s="160">
        <f>P19*$Q$1*10</f>
        <v>0</v>
      </c>
      <c r="H19" s="159">
        <v>656.13065490000031</v>
      </c>
      <c r="I19" s="159">
        <v>547.80598080000016</v>
      </c>
      <c r="J19" s="159">
        <v>5308.4943360000016</v>
      </c>
      <c r="K19" s="141">
        <v>0</v>
      </c>
      <c r="L19" s="159">
        <f t="shared" si="1"/>
        <v>1380633.8794092003</v>
      </c>
      <c r="M19" s="159">
        <f>L19*0.25</f>
        <v>345158.46985230007</v>
      </c>
      <c r="N19" s="161">
        <f>M19+L19</f>
        <v>1725792.3492615004</v>
      </c>
      <c r="O19" s="159">
        <f>P19+Q19</f>
        <v>42134.765625</v>
      </c>
      <c r="P19" s="143">
        <f>P5*R19</f>
        <v>33707.8125</v>
      </c>
      <c r="Q19" s="143">
        <f>Q5*R19</f>
        <v>8426.953125</v>
      </c>
      <c r="R19" s="144">
        <v>10.7865</v>
      </c>
    </row>
    <row r="20" spans="1:18" ht="22.5" customHeight="1">
      <c r="A20" s="18">
        <v>5</v>
      </c>
      <c r="B20" s="18" t="s">
        <v>289</v>
      </c>
      <c r="C20" s="18" t="s">
        <v>481</v>
      </c>
      <c r="D20" s="18" t="s">
        <v>302</v>
      </c>
      <c r="E20" s="145">
        <v>126838.18912500002</v>
      </c>
      <c r="F20" s="145"/>
      <c r="G20" s="141">
        <f>P20*$Q$1*10</f>
        <v>0</v>
      </c>
      <c r="H20" s="145">
        <v>106.10712263076925</v>
      </c>
      <c r="I20" s="145">
        <v>2659.7590272000002</v>
      </c>
      <c r="J20" s="145">
        <v>569.05344000000002</v>
      </c>
      <c r="K20" s="145">
        <v>619.27335360000006</v>
      </c>
      <c r="L20" s="145">
        <f t="shared" si="1"/>
        <v>130792.38206843079</v>
      </c>
      <c r="M20" s="145">
        <f>L20*0.2</f>
        <v>26158.47641368616</v>
      </c>
      <c r="N20" s="146">
        <f>M20+L20</f>
        <v>156950.85848211695</v>
      </c>
      <c r="O20" s="145">
        <f>P20+Q20</f>
        <v>4378.05</v>
      </c>
      <c r="P20" s="143">
        <f>P6*R20</f>
        <v>3648.3750000000005</v>
      </c>
      <c r="Q20" s="143">
        <f>Q6*R20</f>
        <v>729.67500000000007</v>
      </c>
      <c r="R20" s="144">
        <v>1.4593500000000001</v>
      </c>
    </row>
    <row r="21" spans="1:18" ht="22.5" customHeight="1">
      <c r="A21" s="147"/>
      <c r="B21" s="148" t="s">
        <v>288</v>
      </c>
      <c r="C21" s="147"/>
      <c r="D21" s="147"/>
      <c r="E21" s="149">
        <f t="shared" ref="E21:M21" si="5">E19+E20</f>
        <v>1500959.6375625003</v>
      </c>
      <c r="F21" s="149"/>
      <c r="G21" s="162">
        <f>G19+G20</f>
        <v>0</v>
      </c>
      <c r="H21" s="149">
        <f t="shared" si="5"/>
        <v>762.23777753076956</v>
      </c>
      <c r="I21" s="149">
        <f t="shared" si="5"/>
        <v>3207.5650080000005</v>
      </c>
      <c r="J21" s="149">
        <f t="shared" si="5"/>
        <v>5877.5477760000012</v>
      </c>
      <c r="K21" s="156">
        <f t="shared" si="5"/>
        <v>619.27335360000006</v>
      </c>
      <c r="L21" s="149">
        <f t="shared" si="5"/>
        <v>1511426.2614776311</v>
      </c>
      <c r="M21" s="149">
        <f t="shared" si="5"/>
        <v>371316.94626598625</v>
      </c>
      <c r="N21" s="149">
        <f>N19+N20</f>
        <v>1882743.2077436172</v>
      </c>
      <c r="O21" s="151">
        <f>O19+O20</f>
        <v>46512.815625000003</v>
      </c>
      <c r="P21" s="143"/>
      <c r="Q21" s="143"/>
      <c r="R21" s="144"/>
    </row>
    <row r="22" spans="1:18" ht="22.5" customHeight="1">
      <c r="A22" s="139"/>
      <c r="B22" s="139" t="s">
        <v>1001</v>
      </c>
      <c r="C22" s="139"/>
      <c r="D22" s="139"/>
      <c r="E22" s="140">
        <v>2111534.140625</v>
      </c>
      <c r="F22" s="140"/>
      <c r="G22" s="153">
        <f>P22*$Q$1*10</f>
        <v>0</v>
      </c>
      <c r="H22" s="140">
        <v>1008.2385950000004</v>
      </c>
      <c r="I22" s="140">
        <v>841.78224000000012</v>
      </c>
      <c r="J22" s="140">
        <v>8157.2608000000009</v>
      </c>
      <c r="K22" s="160">
        <v>0</v>
      </c>
      <c r="L22" s="140">
        <f t="shared" si="1"/>
        <v>2121541.4222599999</v>
      </c>
      <c r="M22" s="140">
        <f>L22*0.25</f>
        <v>530385.35556499998</v>
      </c>
      <c r="N22" s="142">
        <f>M22+L22</f>
        <v>2651926.7778249998</v>
      </c>
      <c r="O22" s="140">
        <f>P22+Q22</f>
        <v>64746.09375</v>
      </c>
      <c r="P22" s="143">
        <f>P5*R22</f>
        <v>51796.875</v>
      </c>
      <c r="Q22" s="143">
        <f>Q5*R22</f>
        <v>12949.21875</v>
      </c>
      <c r="R22" s="144">
        <v>16.574999999999999</v>
      </c>
    </row>
    <row r="23" spans="1:18" ht="22.5" customHeight="1">
      <c r="A23" s="18">
        <v>6</v>
      </c>
      <c r="B23" s="18" t="s">
        <v>289</v>
      </c>
      <c r="C23" s="18" t="s">
        <v>481</v>
      </c>
      <c r="D23" s="18" t="s">
        <v>303</v>
      </c>
      <c r="E23" s="145">
        <v>254223.9375</v>
      </c>
      <c r="F23" s="145"/>
      <c r="G23" s="141">
        <f>P23*$Q$1*10</f>
        <v>0</v>
      </c>
      <c r="H23" s="145">
        <v>163.04877000000002</v>
      </c>
      <c r="I23" s="145">
        <v>4087.10016</v>
      </c>
      <c r="J23" s="145">
        <v>874.4319999999999</v>
      </c>
      <c r="K23" s="145">
        <v>951.60208</v>
      </c>
      <c r="L23" s="145">
        <f t="shared" si="1"/>
        <v>260300.12051000001</v>
      </c>
      <c r="M23" s="145">
        <f>L23*0.2</f>
        <v>52060.024102000003</v>
      </c>
      <c r="N23" s="146">
        <f>M23+L23</f>
        <v>312360.14461200003</v>
      </c>
      <c r="O23" s="145">
        <f>P23+Q23</f>
        <v>8775</v>
      </c>
      <c r="P23" s="143">
        <f>P6*R23</f>
        <v>7312.5</v>
      </c>
      <c r="Q23" s="143">
        <f>Q6*R23</f>
        <v>1462.5</v>
      </c>
      <c r="R23" s="144">
        <v>2.9249999999999998</v>
      </c>
    </row>
    <row r="24" spans="1:18" ht="22.5" customHeight="1">
      <c r="A24" s="101"/>
      <c r="B24" s="154" t="s">
        <v>288</v>
      </c>
      <c r="C24" s="101"/>
      <c r="D24" s="101"/>
      <c r="E24" s="156">
        <f t="shared" ref="E24:M24" si="6">E22+E23</f>
        <v>2365758.078125</v>
      </c>
      <c r="F24" s="156"/>
      <c r="G24" s="157">
        <f>G22+G23</f>
        <v>0</v>
      </c>
      <c r="H24" s="156">
        <f t="shared" si="6"/>
        <v>1171.2873650000004</v>
      </c>
      <c r="I24" s="156">
        <f t="shared" si="6"/>
        <v>4928.8824000000004</v>
      </c>
      <c r="J24" s="156">
        <f t="shared" si="6"/>
        <v>9031.6928000000007</v>
      </c>
      <c r="K24" s="156">
        <f t="shared" si="6"/>
        <v>951.60208</v>
      </c>
      <c r="L24" s="156">
        <f t="shared" si="6"/>
        <v>2381841.5427699997</v>
      </c>
      <c r="M24" s="156">
        <f t="shared" si="6"/>
        <v>582445.37966700003</v>
      </c>
      <c r="N24" s="156">
        <f>N22+N23</f>
        <v>2964286.9224369996</v>
      </c>
      <c r="O24" s="158">
        <f>O22+O23</f>
        <v>73521.09375</v>
      </c>
      <c r="P24" s="96"/>
      <c r="Q24" s="96"/>
      <c r="R24" s="96"/>
    </row>
    <row r="25" spans="1:18" ht="21" customHeight="1">
      <c r="B25" s="163"/>
      <c r="C25" s="164"/>
      <c r="D25" s="163"/>
      <c r="E25" s="163"/>
      <c r="F25" s="163"/>
      <c r="G25" s="163"/>
      <c r="H25" s="163"/>
      <c r="I25" s="163"/>
      <c r="J25" s="163"/>
      <c r="K25" s="163"/>
      <c r="L25" s="163"/>
      <c r="M25" s="163"/>
      <c r="N25" s="165"/>
    </row>
    <row r="26" spans="1:18" ht="22.5" customHeight="1">
      <c r="B26" s="163"/>
      <c r="C26" s="164"/>
      <c r="D26" s="163"/>
      <c r="E26" s="163"/>
      <c r="F26" s="163"/>
      <c r="G26" s="163"/>
      <c r="H26" s="163"/>
      <c r="I26" s="163"/>
      <c r="J26" s="163"/>
      <c r="K26" s="163"/>
      <c r="L26" s="163"/>
      <c r="M26" s="163"/>
      <c r="N26" s="165"/>
    </row>
    <row r="27" spans="1:18" ht="28.5" customHeight="1">
      <c r="A27" s="1064" t="s">
        <v>256</v>
      </c>
      <c r="B27" s="1064"/>
      <c r="C27" s="1064"/>
      <c r="D27" s="1064"/>
      <c r="E27" s="1064"/>
      <c r="F27" s="1064"/>
      <c r="G27" s="1064"/>
      <c r="H27" s="1064"/>
      <c r="I27" s="1064"/>
      <c r="J27" s="1064"/>
      <c r="K27" s="1064"/>
      <c r="L27" s="1064"/>
      <c r="M27" s="1064"/>
      <c r="N27" s="1064"/>
      <c r="O27" s="1064"/>
    </row>
    <row r="28" spans="1:18" ht="21.75" customHeight="1">
      <c r="A28" s="166"/>
      <c r="B28" s="167"/>
      <c r="C28" s="166"/>
      <c r="D28" s="166"/>
      <c r="E28" s="168"/>
      <c r="F28" s="168"/>
      <c r="G28" s="169"/>
      <c r="H28" s="168"/>
      <c r="I28" s="168"/>
      <c r="J28" s="168"/>
      <c r="K28" s="168"/>
      <c r="L28" s="168"/>
      <c r="M28" s="168"/>
      <c r="N28" s="1053" t="s">
        <v>500</v>
      </c>
      <c r="O28" s="1053"/>
    </row>
    <row r="29" spans="1:18" ht="15.75" customHeight="1">
      <c r="A29" s="1054" t="s">
        <v>979</v>
      </c>
      <c r="B29" s="1051" t="s">
        <v>272</v>
      </c>
      <c r="C29" s="1051" t="s">
        <v>273</v>
      </c>
      <c r="D29" s="1051" t="s">
        <v>304</v>
      </c>
      <c r="E29" s="1058" t="s">
        <v>683</v>
      </c>
      <c r="F29" s="1059"/>
      <c r="G29" s="1059"/>
      <c r="H29" s="1059"/>
      <c r="I29" s="1059"/>
      <c r="J29" s="1059"/>
      <c r="K29" s="1059"/>
      <c r="L29" s="1060"/>
      <c r="M29" s="1051" t="s">
        <v>275</v>
      </c>
      <c r="N29" s="1051" t="s">
        <v>276</v>
      </c>
      <c r="O29" s="1051" t="s">
        <v>277</v>
      </c>
    </row>
    <row r="30" spans="1:18" ht="15.75" customHeight="1">
      <c r="A30" s="1055"/>
      <c r="B30" s="1057"/>
      <c r="C30" s="1057"/>
      <c r="D30" s="1057"/>
      <c r="E30" s="1061"/>
      <c r="F30" s="1062"/>
      <c r="G30" s="1062"/>
      <c r="H30" s="1062"/>
      <c r="I30" s="1062"/>
      <c r="J30" s="1062"/>
      <c r="K30" s="1062"/>
      <c r="L30" s="1063"/>
      <c r="M30" s="1057"/>
      <c r="N30" s="1057"/>
      <c r="O30" s="1057"/>
    </row>
    <row r="31" spans="1:18" ht="18.75" customHeight="1">
      <c r="A31" s="1055"/>
      <c r="B31" s="1057"/>
      <c r="C31" s="1057"/>
      <c r="D31" s="1057"/>
      <c r="E31" s="1051" t="s">
        <v>283</v>
      </c>
      <c r="F31" s="1051" t="s">
        <v>284</v>
      </c>
      <c r="G31" s="133" t="s">
        <v>285</v>
      </c>
      <c r="H31" s="1051" t="s">
        <v>286</v>
      </c>
      <c r="I31" s="1051" t="s">
        <v>976</v>
      </c>
      <c r="J31" s="1051" t="s">
        <v>977</v>
      </c>
      <c r="K31" s="1051" t="s">
        <v>287</v>
      </c>
      <c r="L31" s="1051" t="s">
        <v>288</v>
      </c>
      <c r="M31" s="1057"/>
      <c r="N31" s="1057"/>
      <c r="O31" s="1057"/>
    </row>
    <row r="32" spans="1:18" ht="18.75" customHeight="1">
      <c r="A32" s="1056"/>
      <c r="B32" s="1052"/>
      <c r="C32" s="1052"/>
      <c r="D32" s="1052"/>
      <c r="E32" s="1052"/>
      <c r="F32" s="1052"/>
      <c r="G32" s="136">
        <f>$Q$1</f>
        <v>0</v>
      </c>
      <c r="H32" s="1052"/>
      <c r="I32" s="1052"/>
      <c r="J32" s="1052"/>
      <c r="K32" s="1052"/>
      <c r="L32" s="1052"/>
      <c r="M32" s="1052"/>
      <c r="N32" s="1052"/>
      <c r="O32" s="1052"/>
    </row>
    <row r="33" spans="1:15" ht="22.5" customHeight="1">
      <c r="A33" s="16"/>
      <c r="B33" s="16" t="s">
        <v>1001</v>
      </c>
      <c r="C33" s="16"/>
      <c r="D33" s="16"/>
      <c r="E33" s="153">
        <f>E$22*1.2</f>
        <v>2533840.96875</v>
      </c>
      <c r="F33" s="153">
        <f t="shared" ref="F33:K33" si="7">F$22*1.2</f>
        <v>0</v>
      </c>
      <c r="G33" s="153">
        <f>G$22*1.2</f>
        <v>0</v>
      </c>
      <c r="H33" s="153">
        <f t="shared" si="7"/>
        <v>1209.8863140000003</v>
      </c>
      <c r="I33" s="153">
        <f t="shared" si="7"/>
        <v>1010.1386880000001</v>
      </c>
      <c r="J33" s="153">
        <f t="shared" si="7"/>
        <v>9788.7129600000007</v>
      </c>
      <c r="K33" s="153">
        <f t="shared" si="7"/>
        <v>0</v>
      </c>
      <c r="L33" s="153">
        <f>SUM(E33:K33)</f>
        <v>2545849.7067120001</v>
      </c>
      <c r="M33" s="153">
        <f>L33*0.25</f>
        <v>636462.42667800002</v>
      </c>
      <c r="N33" s="153">
        <f>M33+L33</f>
        <v>3182312.1333900001</v>
      </c>
      <c r="O33" s="153">
        <f>O$22*1.2</f>
        <v>77695.3125</v>
      </c>
    </row>
    <row r="34" spans="1:15" ht="22.5" customHeight="1">
      <c r="A34" s="18">
        <v>7</v>
      </c>
      <c r="B34" s="18" t="s">
        <v>289</v>
      </c>
      <c r="C34" s="18" t="s">
        <v>481</v>
      </c>
      <c r="D34" s="18" t="s">
        <v>305</v>
      </c>
      <c r="E34" s="141">
        <f>E$23*1.2</f>
        <v>305068.72499999998</v>
      </c>
      <c r="F34" s="141">
        <f t="shared" ref="F34:K34" si="8">F$23*1.2</f>
        <v>0</v>
      </c>
      <c r="G34" s="141">
        <f>G$23*1.2</f>
        <v>0</v>
      </c>
      <c r="H34" s="141">
        <f t="shared" si="8"/>
        <v>195.65852400000003</v>
      </c>
      <c r="I34" s="141">
        <f t="shared" si="8"/>
        <v>4904.520192</v>
      </c>
      <c r="J34" s="141">
        <f t="shared" si="8"/>
        <v>1049.3183999999999</v>
      </c>
      <c r="K34" s="141">
        <f t="shared" si="8"/>
        <v>1141.9224959999999</v>
      </c>
      <c r="L34" s="141">
        <f>SUM(E34:K34)</f>
        <v>312360.14461200003</v>
      </c>
      <c r="M34" s="141">
        <f>L34*0.2</f>
        <v>62472.028922400008</v>
      </c>
      <c r="N34" s="141">
        <f>M34+L34</f>
        <v>374832.17353440006</v>
      </c>
      <c r="O34" s="141">
        <f>O$23*1.2</f>
        <v>10530</v>
      </c>
    </row>
    <row r="35" spans="1:15" ht="22.5" customHeight="1">
      <c r="A35" s="147"/>
      <c r="B35" s="148" t="s">
        <v>288</v>
      </c>
      <c r="C35" s="147"/>
      <c r="D35" s="147"/>
      <c r="E35" s="157">
        <f>E33+E34</f>
        <v>2838909.6937500001</v>
      </c>
      <c r="F35" s="157"/>
      <c r="G35" s="157">
        <f t="shared" ref="G35:M35" si="9">G33+G34</f>
        <v>0</v>
      </c>
      <c r="H35" s="157">
        <f t="shared" si="9"/>
        <v>1405.5448380000003</v>
      </c>
      <c r="I35" s="157">
        <f t="shared" si="9"/>
        <v>5914.65888</v>
      </c>
      <c r="J35" s="157">
        <f t="shared" si="9"/>
        <v>10838.031360000001</v>
      </c>
      <c r="K35" s="157">
        <f t="shared" si="9"/>
        <v>1141.9224959999999</v>
      </c>
      <c r="L35" s="157">
        <f t="shared" si="9"/>
        <v>2858209.8513239999</v>
      </c>
      <c r="M35" s="157">
        <f t="shared" si="9"/>
        <v>698934.45560039999</v>
      </c>
      <c r="N35" s="157">
        <f>N33+N34</f>
        <v>3557144.3069243999</v>
      </c>
      <c r="O35" s="157">
        <f>O33+O34</f>
        <v>88225.3125</v>
      </c>
    </row>
    <row r="36" spans="1:15" ht="22.5" customHeight="1">
      <c r="A36" s="139"/>
      <c r="B36" s="139" t="s">
        <v>1001</v>
      </c>
      <c r="C36" s="139"/>
      <c r="D36" s="152"/>
      <c r="E36" s="153">
        <f>E$22*1.3</f>
        <v>2744994.3828125</v>
      </c>
      <c r="F36" s="153">
        <f t="shared" ref="F36:K36" si="10">F$22*1.3</f>
        <v>0</v>
      </c>
      <c r="G36" s="153">
        <f t="shared" si="10"/>
        <v>0</v>
      </c>
      <c r="H36" s="153">
        <f t="shared" si="10"/>
        <v>1310.7101735000006</v>
      </c>
      <c r="I36" s="153">
        <f t="shared" si="10"/>
        <v>1094.3169120000002</v>
      </c>
      <c r="J36" s="153">
        <f t="shared" si="10"/>
        <v>10604.439040000001</v>
      </c>
      <c r="K36" s="153">
        <f t="shared" si="10"/>
        <v>0</v>
      </c>
      <c r="L36" s="153">
        <f>SUM(E36:K36)</f>
        <v>2758003.8489379999</v>
      </c>
      <c r="M36" s="153">
        <f>L36*0.25</f>
        <v>689500.96223449998</v>
      </c>
      <c r="N36" s="153">
        <f>M36+L36</f>
        <v>3447504.8111724998</v>
      </c>
      <c r="O36" s="153">
        <f>O$22*1.3</f>
        <v>84169.921875</v>
      </c>
    </row>
    <row r="37" spans="1:15" ht="22.5" customHeight="1">
      <c r="A37" s="18">
        <v>8</v>
      </c>
      <c r="B37" s="18" t="s">
        <v>289</v>
      </c>
      <c r="C37" s="18" t="s">
        <v>481</v>
      </c>
      <c r="D37" s="18" t="s">
        <v>306</v>
      </c>
      <c r="E37" s="141">
        <f>E$23*1.3</f>
        <v>330491.11875000002</v>
      </c>
      <c r="F37" s="141">
        <f t="shared" ref="F37:K37" si="11">F$23*1.3</f>
        <v>0</v>
      </c>
      <c r="G37" s="141">
        <f>G$23*1.3</f>
        <v>0</v>
      </c>
      <c r="H37" s="141">
        <f t="shared" si="11"/>
        <v>211.96340100000003</v>
      </c>
      <c r="I37" s="141">
        <f t="shared" si="11"/>
        <v>5313.2302079999999</v>
      </c>
      <c r="J37" s="141">
        <f t="shared" si="11"/>
        <v>1136.7615999999998</v>
      </c>
      <c r="K37" s="141">
        <f t="shared" si="11"/>
        <v>1237.0827040000001</v>
      </c>
      <c r="L37" s="141">
        <f>SUM(E37:K37)</f>
        <v>338390.15666300006</v>
      </c>
      <c r="M37" s="141">
        <f>L37*0.2</f>
        <v>67678.031332600018</v>
      </c>
      <c r="N37" s="141">
        <f>M37+L37</f>
        <v>406068.18799560005</v>
      </c>
      <c r="O37" s="141">
        <f>O$23*1.3</f>
        <v>11407.5</v>
      </c>
    </row>
    <row r="38" spans="1:15" ht="22.5" customHeight="1">
      <c r="A38" s="101"/>
      <c r="B38" s="154" t="s">
        <v>288</v>
      </c>
      <c r="C38" s="101"/>
      <c r="D38" s="155"/>
      <c r="E38" s="157">
        <f>E36+E37</f>
        <v>3075485.5015624999</v>
      </c>
      <c r="F38" s="157"/>
      <c r="G38" s="157">
        <f t="shared" ref="G38:M38" si="12">G36+G37</f>
        <v>0</v>
      </c>
      <c r="H38" s="157">
        <f t="shared" si="12"/>
        <v>1522.6735745000005</v>
      </c>
      <c r="I38" s="157">
        <f t="shared" si="12"/>
        <v>6407.5471200000002</v>
      </c>
      <c r="J38" s="157">
        <f t="shared" si="12"/>
        <v>11741.200640000001</v>
      </c>
      <c r="K38" s="157">
        <f t="shared" si="12"/>
        <v>1237.0827040000001</v>
      </c>
      <c r="L38" s="157">
        <f t="shared" si="12"/>
        <v>3096394.005601</v>
      </c>
      <c r="M38" s="157">
        <f t="shared" si="12"/>
        <v>757178.99356710003</v>
      </c>
      <c r="N38" s="157">
        <f>N36+N37</f>
        <v>3853572.9991680998</v>
      </c>
      <c r="O38" s="157">
        <f>O36+O37</f>
        <v>95577.421875</v>
      </c>
    </row>
    <row r="39" spans="1:15" ht="22.5" customHeight="1">
      <c r="A39" s="16"/>
      <c r="B39" s="16" t="s">
        <v>1001</v>
      </c>
      <c r="C39" s="16"/>
      <c r="D39" s="16"/>
      <c r="E39" s="153">
        <f>E$22*1.4</f>
        <v>2956147.796875</v>
      </c>
      <c r="F39" s="153">
        <f t="shared" ref="F39:K39" si="13">F$22*1.4</f>
        <v>0</v>
      </c>
      <c r="G39" s="153">
        <f t="shared" si="13"/>
        <v>0</v>
      </c>
      <c r="H39" s="153">
        <f t="shared" si="13"/>
        <v>1411.5340330000004</v>
      </c>
      <c r="I39" s="153">
        <f t="shared" si="13"/>
        <v>1178.495136</v>
      </c>
      <c r="J39" s="153">
        <f t="shared" si="13"/>
        <v>11420.165120000001</v>
      </c>
      <c r="K39" s="153">
        <f t="shared" si="13"/>
        <v>0</v>
      </c>
      <c r="L39" s="153">
        <f>SUM(E39:K39)</f>
        <v>2970157.9911640002</v>
      </c>
      <c r="M39" s="153">
        <f>L39*0.25</f>
        <v>742539.49779100006</v>
      </c>
      <c r="N39" s="153">
        <f>M39+L39</f>
        <v>3712697.4889550004</v>
      </c>
      <c r="O39" s="153">
        <f>O$22*1.4</f>
        <v>90644.53125</v>
      </c>
    </row>
    <row r="40" spans="1:15" ht="22.5" customHeight="1">
      <c r="A40" s="18">
        <v>9</v>
      </c>
      <c r="B40" s="18" t="s">
        <v>289</v>
      </c>
      <c r="C40" s="18" t="s">
        <v>481</v>
      </c>
      <c r="D40" s="18" t="s">
        <v>307</v>
      </c>
      <c r="E40" s="141">
        <f>E$23*1.4</f>
        <v>355913.51249999995</v>
      </c>
      <c r="F40" s="141">
        <f t="shared" ref="F40:K40" si="14">F$23*1.4</f>
        <v>0</v>
      </c>
      <c r="G40" s="141">
        <f t="shared" si="14"/>
        <v>0</v>
      </c>
      <c r="H40" s="141">
        <f t="shared" si="14"/>
        <v>228.26827800000001</v>
      </c>
      <c r="I40" s="141">
        <f t="shared" si="14"/>
        <v>5721.9402239999999</v>
      </c>
      <c r="J40" s="141">
        <f t="shared" si="14"/>
        <v>1224.2047999999998</v>
      </c>
      <c r="K40" s="141">
        <f t="shared" si="14"/>
        <v>1332.2429119999999</v>
      </c>
      <c r="L40" s="141">
        <f>SUM(E40:K40)</f>
        <v>364420.16871399997</v>
      </c>
      <c r="M40" s="141">
        <f>L40*0.2</f>
        <v>72884.033742799991</v>
      </c>
      <c r="N40" s="141">
        <f>M40+L40</f>
        <v>437304.20245679998</v>
      </c>
      <c r="O40" s="141">
        <f>O$23*1.4</f>
        <v>12285</v>
      </c>
    </row>
    <row r="41" spans="1:15" ht="22.5" customHeight="1">
      <c r="A41" s="147"/>
      <c r="B41" s="148" t="s">
        <v>288</v>
      </c>
      <c r="C41" s="147"/>
      <c r="D41" s="147"/>
      <c r="E41" s="157">
        <f>E39+E40</f>
        <v>3312061.3093750002</v>
      </c>
      <c r="F41" s="157"/>
      <c r="G41" s="157">
        <f t="shared" ref="G41:M41" si="15">G39+G40</f>
        <v>0</v>
      </c>
      <c r="H41" s="157">
        <f t="shared" si="15"/>
        <v>1639.8023110000004</v>
      </c>
      <c r="I41" s="157">
        <f t="shared" si="15"/>
        <v>6900.4353599999995</v>
      </c>
      <c r="J41" s="157">
        <f t="shared" si="15"/>
        <v>12644.369920000001</v>
      </c>
      <c r="K41" s="157">
        <f t="shared" si="15"/>
        <v>1332.2429119999999</v>
      </c>
      <c r="L41" s="157">
        <f t="shared" si="15"/>
        <v>3334578.1598780002</v>
      </c>
      <c r="M41" s="157">
        <f t="shared" si="15"/>
        <v>815423.53153380007</v>
      </c>
      <c r="N41" s="157">
        <f>N39+N40</f>
        <v>4150001.6914118002</v>
      </c>
      <c r="O41" s="157">
        <f>O39+O40</f>
        <v>102929.53125</v>
      </c>
    </row>
    <row r="42" spans="1:15" ht="22.5" customHeight="1">
      <c r="A42" s="139"/>
      <c r="B42" s="139" t="s">
        <v>1001</v>
      </c>
      <c r="C42" s="139"/>
      <c r="D42" s="139"/>
      <c r="E42" s="153">
        <f>E$22*1.6</f>
        <v>3378454.625</v>
      </c>
      <c r="F42" s="153">
        <f t="shared" ref="F42:K42" si="16">F$22*1.6</f>
        <v>0</v>
      </c>
      <c r="G42" s="153">
        <f t="shared" si="16"/>
        <v>0</v>
      </c>
      <c r="H42" s="153">
        <f t="shared" si="16"/>
        <v>1613.1817520000006</v>
      </c>
      <c r="I42" s="153">
        <f t="shared" si="16"/>
        <v>1346.8515840000002</v>
      </c>
      <c r="J42" s="153">
        <f t="shared" si="16"/>
        <v>13051.617280000002</v>
      </c>
      <c r="K42" s="153">
        <f t="shared" si="16"/>
        <v>0</v>
      </c>
      <c r="L42" s="153">
        <f>SUM(E42:K42)</f>
        <v>3394466.2756159999</v>
      </c>
      <c r="M42" s="153">
        <f>L42*0.25</f>
        <v>848616.56890399999</v>
      </c>
      <c r="N42" s="153">
        <f>M42+L42</f>
        <v>4243082.8445199998</v>
      </c>
      <c r="O42" s="153">
        <f>O$22*1.6</f>
        <v>103593.75</v>
      </c>
    </row>
    <row r="43" spans="1:15" ht="22.5" customHeight="1">
      <c r="A43" s="18">
        <v>10</v>
      </c>
      <c r="B43" s="18" t="s">
        <v>289</v>
      </c>
      <c r="C43" s="18" t="s">
        <v>481</v>
      </c>
      <c r="D43" s="18" t="s">
        <v>308</v>
      </c>
      <c r="E43" s="141">
        <f>E$23*1.6</f>
        <v>406758.30000000005</v>
      </c>
      <c r="F43" s="141">
        <f t="shared" ref="F43:K43" si="17">F$23*1.6</f>
        <v>0</v>
      </c>
      <c r="G43" s="141">
        <f t="shared" si="17"/>
        <v>0</v>
      </c>
      <c r="H43" s="141">
        <f t="shared" si="17"/>
        <v>260.87803200000002</v>
      </c>
      <c r="I43" s="141">
        <f t="shared" si="17"/>
        <v>6539.3602559999999</v>
      </c>
      <c r="J43" s="141">
        <f t="shared" si="17"/>
        <v>1399.0911999999998</v>
      </c>
      <c r="K43" s="141">
        <f t="shared" si="17"/>
        <v>1522.5633280000002</v>
      </c>
      <c r="L43" s="141">
        <f>SUM(E43:K43)</f>
        <v>416480.19281600008</v>
      </c>
      <c r="M43" s="141">
        <f>L43*0.2</f>
        <v>83296.038563200025</v>
      </c>
      <c r="N43" s="141">
        <f>M43+L43</f>
        <v>499776.23137920012</v>
      </c>
      <c r="O43" s="141">
        <f>O$23*1.6</f>
        <v>14040</v>
      </c>
    </row>
    <row r="44" spans="1:15" ht="22.5" customHeight="1">
      <c r="A44" s="101"/>
      <c r="B44" s="154" t="s">
        <v>288</v>
      </c>
      <c r="C44" s="101"/>
      <c r="D44" s="101"/>
      <c r="E44" s="157">
        <f>E42+E43</f>
        <v>3785212.9249999998</v>
      </c>
      <c r="F44" s="157"/>
      <c r="G44" s="157">
        <f t="shared" ref="G44:M44" si="18">G42+G43</f>
        <v>0</v>
      </c>
      <c r="H44" s="157">
        <f t="shared" si="18"/>
        <v>1874.0597840000007</v>
      </c>
      <c r="I44" s="157">
        <f t="shared" si="18"/>
        <v>7886.2118399999999</v>
      </c>
      <c r="J44" s="157">
        <f t="shared" si="18"/>
        <v>14450.708480000001</v>
      </c>
      <c r="K44" s="157">
        <f t="shared" si="18"/>
        <v>1522.5633280000002</v>
      </c>
      <c r="L44" s="157">
        <f t="shared" si="18"/>
        <v>3810946.4684319999</v>
      </c>
      <c r="M44" s="157">
        <f t="shared" si="18"/>
        <v>931912.60746720002</v>
      </c>
      <c r="N44" s="157">
        <f>N42+N43</f>
        <v>4742859.0758991996</v>
      </c>
      <c r="O44" s="157">
        <f>O42+O43</f>
        <v>117633.75</v>
      </c>
    </row>
    <row r="45" spans="1:15" ht="22.5" customHeight="1">
      <c r="A45" s="16"/>
      <c r="B45" s="16" t="s">
        <v>1001</v>
      </c>
      <c r="C45" s="16"/>
      <c r="D45" s="16"/>
      <c r="E45" s="153">
        <f>E$22*1.8</f>
        <v>3800761.453125</v>
      </c>
      <c r="F45" s="153">
        <f t="shared" ref="F45:K45" si="19">F$22*1.8</f>
        <v>0</v>
      </c>
      <c r="G45" s="153">
        <f t="shared" si="19"/>
        <v>0</v>
      </c>
      <c r="H45" s="153">
        <f t="shared" si="19"/>
        <v>1814.8294710000007</v>
      </c>
      <c r="I45" s="153">
        <f t="shared" si="19"/>
        <v>1515.2080320000002</v>
      </c>
      <c r="J45" s="153">
        <f t="shared" si="19"/>
        <v>14683.069440000001</v>
      </c>
      <c r="K45" s="153">
        <f t="shared" si="19"/>
        <v>0</v>
      </c>
      <c r="L45" s="153">
        <f>SUM(E45:K45)</f>
        <v>3818774.5600680001</v>
      </c>
      <c r="M45" s="153">
        <f>L45*0.25</f>
        <v>954693.64001700003</v>
      </c>
      <c r="N45" s="153">
        <f>M45+L45</f>
        <v>4773468.2000850001</v>
      </c>
      <c r="O45" s="153">
        <f>O$22*1.8</f>
        <v>116542.96875</v>
      </c>
    </row>
    <row r="46" spans="1:15" ht="22.5" customHeight="1">
      <c r="A46" s="18">
        <v>11</v>
      </c>
      <c r="B46" s="18" t="s">
        <v>289</v>
      </c>
      <c r="C46" s="18" t="s">
        <v>481</v>
      </c>
      <c r="D46" s="18" t="s">
        <v>309</v>
      </c>
      <c r="E46" s="141">
        <f>E$23*1.8</f>
        <v>457603.08750000002</v>
      </c>
      <c r="F46" s="141">
        <f t="shared" ref="F46:K46" si="20">F$23*1.8</f>
        <v>0</v>
      </c>
      <c r="G46" s="141">
        <f t="shared" si="20"/>
        <v>0</v>
      </c>
      <c r="H46" s="141">
        <f t="shared" si="20"/>
        <v>293.48778600000003</v>
      </c>
      <c r="I46" s="141">
        <f t="shared" si="20"/>
        <v>7356.7802879999999</v>
      </c>
      <c r="J46" s="141">
        <f t="shared" si="20"/>
        <v>1573.9775999999999</v>
      </c>
      <c r="K46" s="141">
        <f t="shared" si="20"/>
        <v>1712.883744</v>
      </c>
      <c r="L46" s="141">
        <f>SUM(E46:K46)</f>
        <v>468540.21691800002</v>
      </c>
      <c r="M46" s="141">
        <f>L46*0.2</f>
        <v>93708.043383600016</v>
      </c>
      <c r="N46" s="141">
        <f>M46+L46</f>
        <v>562248.26030159998</v>
      </c>
      <c r="O46" s="141">
        <f>O$23*1.8</f>
        <v>15795</v>
      </c>
    </row>
    <row r="47" spans="1:15" ht="22.5" customHeight="1">
      <c r="A47" s="101"/>
      <c r="B47" s="154" t="s">
        <v>288</v>
      </c>
      <c r="C47" s="101"/>
      <c r="D47" s="101"/>
      <c r="E47" s="157">
        <f>E45+E46</f>
        <v>4258364.5406250004</v>
      </c>
      <c r="F47" s="157"/>
      <c r="G47" s="157">
        <f t="shared" ref="G47:M47" si="21">G45+G46</f>
        <v>0</v>
      </c>
      <c r="H47" s="157">
        <f t="shared" si="21"/>
        <v>2108.3172570000006</v>
      </c>
      <c r="I47" s="157">
        <f t="shared" si="21"/>
        <v>8871.9883200000004</v>
      </c>
      <c r="J47" s="157">
        <f t="shared" si="21"/>
        <v>16257.047040000001</v>
      </c>
      <c r="K47" s="157">
        <f t="shared" si="21"/>
        <v>1712.883744</v>
      </c>
      <c r="L47" s="157">
        <f t="shared" si="21"/>
        <v>4287314.7769860001</v>
      </c>
      <c r="M47" s="157">
        <f t="shared" si="21"/>
        <v>1048401.6834006</v>
      </c>
      <c r="N47" s="157">
        <f>N45+N46</f>
        <v>5335716.4603866003</v>
      </c>
      <c r="O47" s="157">
        <f>O45+O46</f>
        <v>132337.96875</v>
      </c>
    </row>
    <row r="48" spans="1:15" ht="12.75" customHeight="1"/>
    <row r="49" spans="1:2">
      <c r="A49" s="170"/>
      <c r="B49" s="171" t="s">
        <v>550</v>
      </c>
    </row>
    <row r="50" spans="1:2" ht="17.25" customHeight="1">
      <c r="A50" s="172"/>
      <c r="B50" s="172" t="s">
        <v>310</v>
      </c>
    </row>
    <row r="51" spans="1:2" ht="17.25" customHeight="1">
      <c r="A51" s="172"/>
      <c r="B51" s="172" t="s">
        <v>311</v>
      </c>
    </row>
    <row r="52" spans="1:2" ht="17.25" customHeight="1">
      <c r="A52" s="172"/>
      <c r="B52" s="172" t="s">
        <v>312</v>
      </c>
    </row>
    <row r="53" spans="1:2" ht="22.5" customHeight="1">
      <c r="A53" s="172"/>
      <c r="B53" s="172" t="s">
        <v>313</v>
      </c>
    </row>
  </sheetData>
  <mergeCells count="34">
    <mergeCell ref="A1:O1"/>
    <mergeCell ref="N2:O2"/>
    <mergeCell ref="A3:A6"/>
    <mergeCell ref="B3:B6"/>
    <mergeCell ref="C3:C6"/>
    <mergeCell ref="D3:D6"/>
    <mergeCell ref="E3:L4"/>
    <mergeCell ref="M3:M6"/>
    <mergeCell ref="N3:N6"/>
    <mergeCell ref="O3:O6"/>
    <mergeCell ref="J5:J6"/>
    <mergeCell ref="K5:K6"/>
    <mergeCell ref="L5:L6"/>
    <mergeCell ref="A27:O27"/>
    <mergeCell ref="E5:E6"/>
    <mergeCell ref="F5:F6"/>
    <mergeCell ref="H5:H6"/>
    <mergeCell ref="I5:I6"/>
    <mergeCell ref="N28:O28"/>
    <mergeCell ref="A29:A32"/>
    <mergeCell ref="B29:B32"/>
    <mergeCell ref="C29:C32"/>
    <mergeCell ref="D29:D32"/>
    <mergeCell ref="E29:L30"/>
    <mergeCell ref="M29:M32"/>
    <mergeCell ref="N29:N32"/>
    <mergeCell ref="O29:O32"/>
    <mergeCell ref="E31:E32"/>
    <mergeCell ref="K31:K32"/>
    <mergeCell ref="L31:L32"/>
    <mergeCell ref="F31:F32"/>
    <mergeCell ref="H31:H32"/>
    <mergeCell ref="I31:I32"/>
    <mergeCell ref="J31:J32"/>
  </mergeCells>
  <phoneticPr fontId="45" type="noConversion"/>
  <printOptions horizontalCentered="1"/>
  <pageMargins left="0.74803149606299213" right="0.74803149606299213" top="0.78740157480314965" bottom="0.78740157480314965" header="0.31496062992125984" footer="0.31496062992125984"/>
  <pageSetup paperSize="9" scale="90" firstPageNumber="49" orientation="landscape" useFirstPageNumber="1" r:id="rId1"/>
  <headerFooter alignWithMargins="0">
    <oddHeader xml:space="preserve">&amp;R&amp;"Times New Roman,Regular"&amp;12&amp;UĐơn giá sản phẩm trích đo thửa đất - Khu vực nông thôn
</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R34"/>
  <sheetViews>
    <sheetView workbookViewId="0">
      <selection activeCell="F21" sqref="F21"/>
    </sheetView>
  </sheetViews>
  <sheetFormatPr defaultRowHeight="16.5"/>
  <cols>
    <col min="1" max="1" width="6.21875" customWidth="1"/>
    <col min="2" max="2" width="23.21875" customWidth="1"/>
    <col min="3" max="3" width="8.21875" customWidth="1"/>
    <col min="4" max="4" width="5.77734375" customWidth="1"/>
    <col min="5" max="5" width="10.109375" customWidth="1"/>
    <col min="6" max="6" width="9.77734375" customWidth="1"/>
    <col min="7" max="7" width="2.88671875" customWidth="1"/>
    <col min="8" max="8" width="9.21875" customWidth="1"/>
    <col min="9" max="9" width="29.88671875" customWidth="1"/>
    <col min="10" max="10" width="9.77734375" customWidth="1"/>
    <col min="11" max="11" width="14.5546875" customWidth="1"/>
    <col min="12" max="12" width="2.77734375" style="15" customWidth="1"/>
    <col min="13" max="13" width="5.33203125" style="2" customWidth="1"/>
    <col min="14" max="14" width="19.5546875" customWidth="1"/>
    <col min="16" max="16" width="6.5546875" customWidth="1"/>
    <col min="17" max="17" width="12.33203125" customWidth="1"/>
    <col min="18" max="18" width="10.6640625" customWidth="1"/>
  </cols>
  <sheetData>
    <row r="1" spans="1:18" ht="26.25" customHeight="1">
      <c r="A1" s="1066" t="s">
        <v>965</v>
      </c>
      <c r="B1" s="1066"/>
      <c r="C1" s="1066"/>
      <c r="D1" s="1066"/>
      <c r="E1" s="1066"/>
      <c r="F1" s="1066"/>
      <c r="G1" s="65"/>
      <c r="H1" s="1067" t="s">
        <v>966</v>
      </c>
      <c r="I1" s="1067"/>
      <c r="J1" s="1067"/>
      <c r="K1" s="1067"/>
      <c r="L1" s="65"/>
      <c r="M1" s="1065" t="s">
        <v>967</v>
      </c>
      <c r="N1" s="1065"/>
      <c r="O1" s="1065"/>
      <c r="P1" s="1065"/>
      <c r="Q1" s="1065"/>
      <c r="R1" s="1065"/>
    </row>
    <row r="2" spans="1:18" ht="11.25" customHeight="1">
      <c r="A2" s="66"/>
      <c r="B2" s="66"/>
      <c r="C2" s="66"/>
      <c r="D2" s="66"/>
      <c r="E2" s="66"/>
      <c r="F2" s="66"/>
      <c r="G2" s="67"/>
      <c r="H2" s="68"/>
      <c r="I2" s="68"/>
      <c r="J2" s="68"/>
      <c r="K2" s="68"/>
      <c r="L2" s="67"/>
      <c r="M2" s="94"/>
      <c r="N2" s="69"/>
      <c r="O2" s="69"/>
      <c r="P2" s="69"/>
      <c r="Q2" s="69"/>
      <c r="R2" s="69"/>
    </row>
    <row r="3" spans="1:18">
      <c r="A3" s="70" t="s">
        <v>968</v>
      </c>
      <c r="B3" s="70" t="s">
        <v>969</v>
      </c>
      <c r="C3" s="70" t="s">
        <v>970</v>
      </c>
      <c r="D3" s="70" t="s">
        <v>737</v>
      </c>
      <c r="E3" s="71" t="s">
        <v>971</v>
      </c>
      <c r="F3" s="71" t="s">
        <v>971</v>
      </c>
      <c r="G3" s="72"/>
      <c r="H3" s="73" t="s">
        <v>968</v>
      </c>
      <c r="I3" s="73" t="s">
        <v>969</v>
      </c>
      <c r="J3" s="73" t="s">
        <v>970</v>
      </c>
      <c r="K3" s="74" t="s">
        <v>971</v>
      </c>
      <c r="L3" s="72"/>
      <c r="M3" s="75" t="s">
        <v>968</v>
      </c>
      <c r="N3" s="75" t="s">
        <v>969</v>
      </c>
      <c r="O3" s="75" t="s">
        <v>970</v>
      </c>
      <c r="P3" s="75" t="s">
        <v>737</v>
      </c>
      <c r="Q3" s="76" t="s">
        <v>971</v>
      </c>
      <c r="R3" s="76" t="s">
        <v>971</v>
      </c>
    </row>
    <row r="4" spans="1:18">
      <c r="A4" s="77" t="s">
        <v>724</v>
      </c>
      <c r="B4" s="77" t="s">
        <v>972</v>
      </c>
      <c r="C4" s="77" t="s">
        <v>973</v>
      </c>
      <c r="D4" s="77" t="s">
        <v>738</v>
      </c>
      <c r="E4" s="78" t="s">
        <v>974</v>
      </c>
      <c r="F4" s="78" t="s">
        <v>975</v>
      </c>
      <c r="G4" s="79"/>
      <c r="H4" s="80" t="s">
        <v>724</v>
      </c>
      <c r="I4" s="80" t="s">
        <v>976</v>
      </c>
      <c r="J4" s="80" t="s">
        <v>973</v>
      </c>
      <c r="K4" s="81" t="s">
        <v>974</v>
      </c>
      <c r="L4" s="79"/>
      <c r="M4" s="82" t="s">
        <v>724</v>
      </c>
      <c r="N4" s="82" t="s">
        <v>977</v>
      </c>
      <c r="O4" s="82" t="s">
        <v>973</v>
      </c>
      <c r="P4" s="82" t="s">
        <v>738</v>
      </c>
      <c r="Q4" s="83" t="s">
        <v>974</v>
      </c>
      <c r="R4" s="83" t="s">
        <v>975</v>
      </c>
    </row>
    <row r="5" spans="1:18">
      <c r="A5" s="84"/>
      <c r="B5" s="85"/>
      <c r="C5" s="84"/>
      <c r="D5" s="84"/>
      <c r="E5" s="86"/>
      <c r="F5" s="86"/>
      <c r="G5" s="87"/>
      <c r="H5" s="88"/>
      <c r="I5" s="89"/>
      <c r="J5" s="88"/>
      <c r="K5" s="90"/>
      <c r="L5" s="87"/>
      <c r="M5" s="91"/>
      <c r="N5" s="92"/>
      <c r="O5" s="91"/>
      <c r="P5" s="91" t="s">
        <v>978</v>
      </c>
      <c r="Q5" s="93"/>
      <c r="R5" s="93"/>
    </row>
    <row r="6" spans="1:18">
      <c r="A6" s="27">
        <v>1</v>
      </c>
      <c r="B6" s="26" t="s">
        <v>201</v>
      </c>
      <c r="C6" s="27" t="s">
        <v>202</v>
      </c>
      <c r="D6" s="35">
        <v>36</v>
      </c>
      <c r="E6" s="35">
        <v>230000</v>
      </c>
      <c r="F6" s="36">
        <f>E6/(D6*26)</f>
        <v>245.72649572649573</v>
      </c>
      <c r="G6" s="7"/>
      <c r="H6" s="27">
        <v>1</v>
      </c>
      <c r="I6" s="42" t="s">
        <v>918</v>
      </c>
      <c r="J6" s="43" t="s">
        <v>919</v>
      </c>
      <c r="K6" s="51">
        <v>5000</v>
      </c>
      <c r="L6" s="12"/>
      <c r="M6" s="59">
        <v>1</v>
      </c>
      <c r="N6" s="58" t="s">
        <v>950</v>
      </c>
      <c r="O6" s="59" t="s">
        <v>951</v>
      </c>
      <c r="P6" s="58">
        <v>10</v>
      </c>
      <c r="Q6" s="62">
        <v>150000000</v>
      </c>
      <c r="R6" s="62">
        <f>Q6/P6/250</f>
        <v>60000</v>
      </c>
    </row>
    <row r="7" spans="1:18">
      <c r="A7" s="29">
        <v>2</v>
      </c>
      <c r="B7" s="28" t="s">
        <v>203</v>
      </c>
      <c r="C7" s="29" t="s">
        <v>202</v>
      </c>
      <c r="D7" s="37">
        <v>60</v>
      </c>
      <c r="E7" s="37">
        <v>360000</v>
      </c>
      <c r="F7" s="36">
        <f>E7/(D7*26)</f>
        <v>230.76923076923077</v>
      </c>
      <c r="G7" s="5"/>
      <c r="H7" s="29">
        <v>2</v>
      </c>
      <c r="I7" s="44" t="s">
        <v>920</v>
      </c>
      <c r="J7" s="36" t="s">
        <v>921</v>
      </c>
      <c r="K7" s="52">
        <v>2000</v>
      </c>
      <c r="L7" s="13"/>
      <c r="M7" s="61">
        <v>2</v>
      </c>
      <c r="N7" s="60" t="s">
        <v>952</v>
      </c>
      <c r="O7" s="61" t="s">
        <v>951</v>
      </c>
      <c r="P7" s="60">
        <v>5</v>
      </c>
      <c r="Q7" s="63">
        <v>15000000</v>
      </c>
      <c r="R7" s="63">
        <f>Q7/P7/500</f>
        <v>6000</v>
      </c>
    </row>
    <row r="8" spans="1:18">
      <c r="A8" s="29">
        <v>3</v>
      </c>
      <c r="B8" s="30" t="s">
        <v>204</v>
      </c>
      <c r="C8" s="29" t="s">
        <v>202</v>
      </c>
      <c r="D8" s="37">
        <v>60</v>
      </c>
      <c r="E8" s="37">
        <v>754000</v>
      </c>
      <c r="F8" s="36">
        <f>E8/(D8*26)</f>
        <v>483.33333333333331</v>
      </c>
      <c r="G8" s="5"/>
      <c r="H8" s="29">
        <v>3</v>
      </c>
      <c r="I8" s="44" t="s">
        <v>922</v>
      </c>
      <c r="J8" s="36" t="s">
        <v>921</v>
      </c>
      <c r="K8" s="52">
        <v>2000</v>
      </c>
      <c r="L8" s="13"/>
      <c r="M8" s="61">
        <v>3</v>
      </c>
      <c r="N8" s="60" t="s">
        <v>953</v>
      </c>
      <c r="O8" s="61" t="s">
        <v>951</v>
      </c>
      <c r="P8" s="60">
        <v>10</v>
      </c>
      <c r="Q8" s="63">
        <v>17000000</v>
      </c>
      <c r="R8" s="63">
        <f>Q8/P8/250</f>
        <v>6800</v>
      </c>
    </row>
    <row r="9" spans="1:18">
      <c r="A9" s="29">
        <v>4</v>
      </c>
      <c r="B9" s="30" t="s">
        <v>205</v>
      </c>
      <c r="C9" s="29" t="s">
        <v>202</v>
      </c>
      <c r="D9" s="37">
        <v>60</v>
      </c>
      <c r="E9" s="37">
        <v>2331000</v>
      </c>
      <c r="F9" s="36">
        <f t="shared" ref="F9:F20" si="0">E9/(D9*26)</f>
        <v>1494.2307692307693</v>
      </c>
      <c r="G9" s="5"/>
      <c r="H9" s="29">
        <v>4</v>
      </c>
      <c r="I9" s="44" t="s">
        <v>923</v>
      </c>
      <c r="J9" s="36" t="s">
        <v>921</v>
      </c>
      <c r="K9" s="52">
        <v>1450000</v>
      </c>
      <c r="L9" s="13"/>
      <c r="M9" s="61">
        <v>4</v>
      </c>
      <c r="N9" s="60" t="s">
        <v>954</v>
      </c>
      <c r="O9" s="61" t="s">
        <v>951</v>
      </c>
      <c r="P9" s="60">
        <v>5</v>
      </c>
      <c r="Q9" s="63">
        <v>15000000</v>
      </c>
      <c r="R9" s="63">
        <f>Q9/P9/500</f>
        <v>6000</v>
      </c>
    </row>
    <row r="10" spans="1:18">
      <c r="A10" s="29">
        <v>5</v>
      </c>
      <c r="B10" s="30" t="s">
        <v>206</v>
      </c>
      <c r="C10" s="29" t="s">
        <v>202</v>
      </c>
      <c r="D10" s="37">
        <v>24</v>
      </c>
      <c r="E10" s="37">
        <v>15000</v>
      </c>
      <c r="F10" s="36">
        <f t="shared" si="0"/>
        <v>24.03846153846154</v>
      </c>
      <c r="G10" s="5"/>
      <c r="H10" s="29">
        <v>5</v>
      </c>
      <c r="I10" s="44" t="s">
        <v>28</v>
      </c>
      <c r="J10" s="36" t="s">
        <v>925</v>
      </c>
      <c r="K10" s="52">
        <v>300000</v>
      </c>
      <c r="L10" s="13"/>
      <c r="M10" s="61">
        <v>5</v>
      </c>
      <c r="N10" s="60" t="s">
        <v>955</v>
      </c>
      <c r="O10" s="61" t="s">
        <v>951</v>
      </c>
      <c r="P10" s="60">
        <v>10</v>
      </c>
      <c r="Q10" s="63">
        <v>105000000</v>
      </c>
      <c r="R10" s="63">
        <f>Q10/P10/500</f>
        <v>21000</v>
      </c>
    </row>
    <row r="11" spans="1:18">
      <c r="A11" s="29">
        <v>6</v>
      </c>
      <c r="B11" s="30" t="s">
        <v>207</v>
      </c>
      <c r="C11" s="29" t="s">
        <v>202</v>
      </c>
      <c r="D11" s="37">
        <v>36</v>
      </c>
      <c r="E11" s="37">
        <v>270000</v>
      </c>
      <c r="F11" s="36">
        <f t="shared" si="0"/>
        <v>288.46153846153845</v>
      </c>
      <c r="G11" s="5"/>
      <c r="H11" s="29">
        <v>6</v>
      </c>
      <c r="I11" s="44" t="s">
        <v>926</v>
      </c>
      <c r="J11" s="36" t="s">
        <v>921</v>
      </c>
      <c r="K11" s="52">
        <v>3350000</v>
      </c>
      <c r="L11" s="13"/>
      <c r="M11" s="61">
        <v>6</v>
      </c>
      <c r="N11" s="60" t="s">
        <v>956</v>
      </c>
      <c r="O11" s="61" t="s">
        <v>951</v>
      </c>
      <c r="P11" s="60">
        <v>10</v>
      </c>
      <c r="Q11" s="63">
        <v>14500000</v>
      </c>
      <c r="R11" s="63">
        <f>Q11/P11/500</f>
        <v>2900</v>
      </c>
    </row>
    <row r="12" spans="1:18">
      <c r="A12" s="29">
        <v>7</v>
      </c>
      <c r="B12" s="30" t="s">
        <v>208</v>
      </c>
      <c r="C12" s="29" t="s">
        <v>202</v>
      </c>
      <c r="D12" s="37">
        <v>12</v>
      </c>
      <c r="E12" s="37">
        <v>48000</v>
      </c>
      <c r="F12" s="36">
        <f t="shared" si="0"/>
        <v>153.84615384615384</v>
      </c>
      <c r="G12" s="5"/>
      <c r="H12" s="29">
        <v>7</v>
      </c>
      <c r="I12" s="44" t="s">
        <v>927</v>
      </c>
      <c r="J12" s="36" t="s">
        <v>928</v>
      </c>
      <c r="K12" s="52">
        <v>300</v>
      </c>
      <c r="L12" s="13"/>
      <c r="M12" s="61">
        <v>7</v>
      </c>
      <c r="N12" s="60" t="s">
        <v>957</v>
      </c>
      <c r="O12" s="61" t="s">
        <v>951</v>
      </c>
      <c r="P12" s="60">
        <v>10</v>
      </c>
      <c r="Q12" s="63">
        <v>72000000</v>
      </c>
      <c r="R12" s="63">
        <f>Q12/P12/500</f>
        <v>14400</v>
      </c>
    </row>
    <row r="13" spans="1:18">
      <c r="A13" s="29">
        <v>8</v>
      </c>
      <c r="B13" s="30" t="s">
        <v>209</v>
      </c>
      <c r="C13" s="29" t="s">
        <v>202</v>
      </c>
      <c r="D13" s="37">
        <v>12</v>
      </c>
      <c r="E13" s="37">
        <v>25000</v>
      </c>
      <c r="F13" s="36">
        <f t="shared" si="0"/>
        <v>80.128205128205124</v>
      </c>
      <c r="G13" s="5"/>
      <c r="H13" s="29">
        <v>8</v>
      </c>
      <c r="I13" s="44" t="s">
        <v>559</v>
      </c>
      <c r="J13" s="36" t="s">
        <v>929</v>
      </c>
      <c r="K13" s="52">
        <v>7000</v>
      </c>
      <c r="L13" s="13"/>
      <c r="M13" s="61">
        <v>8</v>
      </c>
      <c r="N13" s="60" t="s">
        <v>958</v>
      </c>
      <c r="O13" s="61" t="s">
        <v>385</v>
      </c>
      <c r="P13" s="60">
        <v>10</v>
      </c>
      <c r="Q13" s="63">
        <v>6000000</v>
      </c>
      <c r="R13" s="63">
        <f>Q13/P13/500</f>
        <v>1200</v>
      </c>
    </row>
    <row r="14" spans="1:18">
      <c r="A14" s="29">
        <v>9</v>
      </c>
      <c r="B14" s="30" t="s">
        <v>210</v>
      </c>
      <c r="C14" s="29" t="s">
        <v>202</v>
      </c>
      <c r="D14" s="37">
        <v>12</v>
      </c>
      <c r="E14" s="37">
        <v>35000</v>
      </c>
      <c r="F14" s="36">
        <f t="shared" si="0"/>
        <v>112.17948717948718</v>
      </c>
      <c r="G14" s="5"/>
      <c r="H14" s="29">
        <v>9</v>
      </c>
      <c r="I14" s="44" t="s">
        <v>557</v>
      </c>
      <c r="J14" s="36" t="s">
        <v>928</v>
      </c>
      <c r="K14" s="52">
        <v>300</v>
      </c>
      <c r="L14" s="13"/>
      <c r="M14" s="61">
        <v>9</v>
      </c>
      <c r="N14" s="60" t="s">
        <v>386</v>
      </c>
      <c r="O14" s="61" t="s">
        <v>740</v>
      </c>
      <c r="P14" s="60"/>
      <c r="Q14" s="63">
        <v>1554</v>
      </c>
      <c r="R14" s="63">
        <v>1554</v>
      </c>
    </row>
    <row r="15" spans="1:18">
      <c r="A15" s="29">
        <v>10</v>
      </c>
      <c r="B15" s="30" t="s">
        <v>211</v>
      </c>
      <c r="C15" s="29" t="s">
        <v>202</v>
      </c>
      <c r="D15" s="37">
        <v>9</v>
      </c>
      <c r="E15" s="37">
        <v>15000</v>
      </c>
      <c r="F15" s="36">
        <f t="shared" si="0"/>
        <v>64.102564102564102</v>
      </c>
      <c r="G15" s="5"/>
      <c r="H15" s="29">
        <v>10</v>
      </c>
      <c r="I15" s="44" t="s">
        <v>930</v>
      </c>
      <c r="J15" s="36" t="s">
        <v>931</v>
      </c>
      <c r="K15" s="52">
        <v>45000</v>
      </c>
      <c r="L15" s="13"/>
      <c r="M15" s="61">
        <v>10</v>
      </c>
      <c r="N15" s="60" t="s">
        <v>950</v>
      </c>
      <c r="O15" s="61" t="s">
        <v>951</v>
      </c>
      <c r="P15" s="60">
        <v>10</v>
      </c>
      <c r="Q15" s="63">
        <v>150000000</v>
      </c>
      <c r="R15" s="63">
        <f>Q15/P15/250</f>
        <v>60000</v>
      </c>
    </row>
    <row r="16" spans="1:18">
      <c r="A16" s="29">
        <v>11</v>
      </c>
      <c r="B16" s="30" t="s">
        <v>212</v>
      </c>
      <c r="C16" s="29" t="s">
        <v>202</v>
      </c>
      <c r="D16" s="37">
        <v>12</v>
      </c>
      <c r="E16" s="37">
        <v>100000</v>
      </c>
      <c r="F16" s="36">
        <f t="shared" si="0"/>
        <v>320.5128205128205</v>
      </c>
      <c r="G16" s="5"/>
      <c r="H16" s="29">
        <v>11</v>
      </c>
      <c r="I16" s="44" t="s">
        <v>932</v>
      </c>
      <c r="J16" s="36" t="s">
        <v>931</v>
      </c>
      <c r="K16" s="52">
        <v>90000</v>
      </c>
      <c r="L16" s="13"/>
      <c r="M16" s="61">
        <v>11</v>
      </c>
      <c r="N16" s="60" t="s">
        <v>959</v>
      </c>
      <c r="O16" s="61" t="s">
        <v>202</v>
      </c>
      <c r="P16" s="60">
        <v>10</v>
      </c>
      <c r="Q16" s="63">
        <v>900000000</v>
      </c>
      <c r="R16" s="63">
        <f>Q16/P16/250</f>
        <v>360000</v>
      </c>
    </row>
    <row r="17" spans="1:18">
      <c r="A17" s="29">
        <v>12</v>
      </c>
      <c r="B17" s="30" t="s">
        <v>213</v>
      </c>
      <c r="C17" s="29" t="s">
        <v>381</v>
      </c>
      <c r="D17" s="37">
        <v>6</v>
      </c>
      <c r="E17" s="37">
        <v>18000</v>
      </c>
      <c r="F17" s="36">
        <f t="shared" si="0"/>
        <v>115.38461538461539</v>
      </c>
      <c r="G17" s="5"/>
      <c r="H17" s="29">
        <v>12</v>
      </c>
      <c r="I17" s="44" t="s">
        <v>933</v>
      </c>
      <c r="J17" s="36" t="s">
        <v>934</v>
      </c>
      <c r="K17" s="52">
        <v>25000</v>
      </c>
      <c r="L17" s="13"/>
      <c r="M17" s="61">
        <v>12</v>
      </c>
      <c r="N17" s="60" t="s">
        <v>960</v>
      </c>
      <c r="O17" s="61" t="s">
        <v>385</v>
      </c>
      <c r="P17" s="60">
        <v>10</v>
      </c>
      <c r="Q17" s="63">
        <v>300000000</v>
      </c>
      <c r="R17" s="63">
        <f>Q17/P17/250</f>
        <v>120000</v>
      </c>
    </row>
    <row r="18" spans="1:18">
      <c r="A18" s="29">
        <v>13</v>
      </c>
      <c r="B18" s="31" t="s">
        <v>382</v>
      </c>
      <c r="C18" s="29" t="s">
        <v>202</v>
      </c>
      <c r="D18" s="38">
        <v>12</v>
      </c>
      <c r="E18" s="38">
        <v>25000</v>
      </c>
      <c r="F18" s="39">
        <f t="shared" si="0"/>
        <v>80.128205128205124</v>
      </c>
      <c r="G18" s="6"/>
      <c r="H18" s="29">
        <v>13</v>
      </c>
      <c r="I18" s="45" t="s">
        <v>935</v>
      </c>
      <c r="J18" s="39" t="s">
        <v>919</v>
      </c>
      <c r="K18" s="53">
        <v>2500</v>
      </c>
      <c r="L18" s="14"/>
      <c r="M18" s="61">
        <v>13</v>
      </c>
      <c r="N18" s="60" t="s">
        <v>961</v>
      </c>
      <c r="O18" s="61" t="s">
        <v>385</v>
      </c>
      <c r="P18" s="60">
        <v>5</v>
      </c>
      <c r="Q18" s="63">
        <v>13500000</v>
      </c>
      <c r="R18" s="63">
        <f>Q18/P18/250</f>
        <v>10800</v>
      </c>
    </row>
    <row r="19" spans="1:18">
      <c r="A19" s="29">
        <v>14</v>
      </c>
      <c r="B19" s="31" t="s">
        <v>383</v>
      </c>
      <c r="C19" s="29" t="s">
        <v>202</v>
      </c>
      <c r="D19" s="38">
        <v>36</v>
      </c>
      <c r="E19" s="38">
        <v>870000</v>
      </c>
      <c r="F19" s="39">
        <f t="shared" si="0"/>
        <v>929.48717948717945</v>
      </c>
      <c r="G19" s="6"/>
      <c r="H19" s="29">
        <v>14</v>
      </c>
      <c r="I19" s="45" t="s">
        <v>936</v>
      </c>
      <c r="J19" s="39" t="s">
        <v>919</v>
      </c>
      <c r="K19" s="53">
        <v>18000</v>
      </c>
      <c r="L19" s="14"/>
      <c r="M19" s="61">
        <v>14</v>
      </c>
      <c r="N19" s="60" t="s">
        <v>962</v>
      </c>
      <c r="O19" s="61" t="s">
        <v>202</v>
      </c>
      <c r="P19" s="60">
        <v>10</v>
      </c>
      <c r="Q19" s="63">
        <v>24800000</v>
      </c>
      <c r="R19" s="64">
        <f>Q19/P19/500</f>
        <v>4960</v>
      </c>
    </row>
    <row r="20" spans="1:18">
      <c r="A20" s="29">
        <v>15</v>
      </c>
      <c r="B20" s="31" t="s">
        <v>384</v>
      </c>
      <c r="C20" s="32" t="s">
        <v>385</v>
      </c>
      <c r="D20" s="38">
        <v>30</v>
      </c>
      <c r="E20" s="38">
        <v>65000</v>
      </c>
      <c r="F20" s="39">
        <f t="shared" si="0"/>
        <v>83.333333333333329</v>
      </c>
      <c r="G20" s="6"/>
      <c r="H20" s="29">
        <v>15</v>
      </c>
      <c r="I20" s="45" t="s">
        <v>937</v>
      </c>
      <c r="J20" s="39" t="s">
        <v>919</v>
      </c>
      <c r="K20" s="53">
        <v>15000</v>
      </c>
      <c r="L20" s="14"/>
      <c r="M20" s="61">
        <v>15</v>
      </c>
      <c r="N20" s="60" t="s">
        <v>963</v>
      </c>
      <c r="O20" s="61" t="s">
        <v>202</v>
      </c>
      <c r="P20" s="60">
        <v>10</v>
      </c>
      <c r="Q20" s="63">
        <v>25500000</v>
      </c>
      <c r="R20" s="64">
        <f>Q20/P20/500</f>
        <v>5100</v>
      </c>
    </row>
    <row r="21" spans="1:18">
      <c r="A21" s="29">
        <v>16</v>
      </c>
      <c r="B21" s="31" t="s">
        <v>386</v>
      </c>
      <c r="C21" s="32" t="s">
        <v>740</v>
      </c>
      <c r="D21" s="38"/>
      <c r="E21" s="38">
        <v>1554</v>
      </c>
      <c r="F21" s="39">
        <f>E21</f>
        <v>1554</v>
      </c>
      <c r="G21" s="6"/>
      <c r="H21" s="29">
        <v>16</v>
      </c>
      <c r="I21" s="45" t="s">
        <v>938</v>
      </c>
      <c r="J21" s="39" t="s">
        <v>939</v>
      </c>
      <c r="K21" s="53">
        <v>1000</v>
      </c>
      <c r="L21" s="14"/>
      <c r="M21" s="61">
        <v>16</v>
      </c>
      <c r="N21" s="60" t="s">
        <v>964</v>
      </c>
      <c r="O21" s="61" t="s">
        <v>202</v>
      </c>
      <c r="P21" s="60">
        <v>10</v>
      </c>
      <c r="Q21" s="63">
        <v>5800000</v>
      </c>
      <c r="R21" s="64">
        <f>Q21/P21/500</f>
        <v>1160</v>
      </c>
    </row>
    <row r="22" spans="1:18">
      <c r="A22" s="34">
        <v>17</v>
      </c>
      <c r="B22" s="33" t="s">
        <v>501</v>
      </c>
      <c r="C22" s="34" t="s">
        <v>202</v>
      </c>
      <c r="D22" s="34">
        <v>48</v>
      </c>
      <c r="E22" s="40">
        <v>150000</v>
      </c>
      <c r="F22" s="39">
        <f>E22/(D22*26)</f>
        <v>120.19230769230769</v>
      </c>
      <c r="G22" s="9"/>
      <c r="H22" s="29">
        <v>17</v>
      </c>
      <c r="I22" s="45" t="s">
        <v>940</v>
      </c>
      <c r="J22" s="46" t="s">
        <v>941</v>
      </c>
      <c r="K22" s="54">
        <v>10000</v>
      </c>
      <c r="L22" s="10"/>
      <c r="M22" s="61">
        <v>17</v>
      </c>
      <c r="N22" s="60" t="s">
        <v>573</v>
      </c>
      <c r="O22" s="61" t="s">
        <v>202</v>
      </c>
      <c r="P22" s="60">
        <v>10</v>
      </c>
      <c r="Q22" s="63">
        <v>28500000</v>
      </c>
      <c r="R22" s="60">
        <f>Q22/P22/500</f>
        <v>5700</v>
      </c>
    </row>
    <row r="23" spans="1:18">
      <c r="A23" s="34">
        <v>18</v>
      </c>
      <c r="B23" s="33" t="s">
        <v>502</v>
      </c>
      <c r="C23" s="34" t="s">
        <v>202</v>
      </c>
      <c r="D23" s="34">
        <v>24</v>
      </c>
      <c r="E23" s="40">
        <v>50000</v>
      </c>
      <c r="F23" s="39">
        <f>E23/(D23*26)</f>
        <v>80.128205128205124</v>
      </c>
      <c r="G23" s="9"/>
      <c r="H23" s="29">
        <v>18</v>
      </c>
      <c r="I23" s="45" t="s">
        <v>942</v>
      </c>
      <c r="J23" s="46" t="s">
        <v>928</v>
      </c>
      <c r="K23" s="54">
        <v>1500</v>
      </c>
      <c r="L23" s="10"/>
      <c r="M23" s="61"/>
      <c r="N23" s="60"/>
      <c r="O23" s="60"/>
      <c r="P23" s="60"/>
      <c r="Q23" s="60"/>
      <c r="R23" s="60"/>
    </row>
    <row r="24" spans="1:18">
      <c r="A24" s="34">
        <v>19</v>
      </c>
      <c r="B24" s="33" t="s">
        <v>632</v>
      </c>
      <c r="C24" s="34" t="s">
        <v>633</v>
      </c>
      <c r="D24" s="34">
        <v>48</v>
      </c>
      <c r="E24" s="40">
        <v>25000</v>
      </c>
      <c r="F24" s="39">
        <f>E24/(D24*26)</f>
        <v>20.032051282051281</v>
      </c>
      <c r="G24" s="9"/>
      <c r="H24" s="29">
        <v>19</v>
      </c>
      <c r="I24" s="45" t="s">
        <v>943</v>
      </c>
      <c r="J24" s="46" t="s">
        <v>921</v>
      </c>
      <c r="K24" s="54">
        <v>2400000</v>
      </c>
      <c r="L24" s="10"/>
      <c r="M24" s="61"/>
      <c r="N24" s="60"/>
      <c r="O24" s="60"/>
      <c r="P24" s="60"/>
      <c r="Q24" s="60"/>
      <c r="R24" s="60"/>
    </row>
    <row r="25" spans="1:18">
      <c r="A25" s="34">
        <v>20</v>
      </c>
      <c r="B25" s="33" t="s">
        <v>503</v>
      </c>
      <c r="C25" s="34" t="s">
        <v>633</v>
      </c>
      <c r="D25" s="34">
        <v>48</v>
      </c>
      <c r="E25" s="40">
        <v>25000</v>
      </c>
      <c r="F25" s="39">
        <f>E25/(D25*26)</f>
        <v>20.032051282051281</v>
      </c>
      <c r="G25" s="9"/>
      <c r="H25" s="29">
        <v>20</v>
      </c>
      <c r="I25" s="45" t="s">
        <v>944</v>
      </c>
      <c r="J25" s="46" t="s">
        <v>945</v>
      </c>
      <c r="K25" s="54">
        <v>4500</v>
      </c>
      <c r="L25" s="10"/>
      <c r="M25" s="61"/>
      <c r="N25" s="60"/>
      <c r="O25" s="60"/>
      <c r="P25" s="60"/>
      <c r="Q25" s="60"/>
      <c r="R25" s="60"/>
    </row>
    <row r="26" spans="1:18">
      <c r="A26" s="34"/>
      <c r="B26" s="33"/>
      <c r="C26" s="34"/>
      <c r="D26" s="34"/>
      <c r="E26" s="40"/>
      <c r="F26" s="41"/>
      <c r="G26" s="9"/>
      <c r="H26" s="55">
        <v>21</v>
      </c>
      <c r="I26" s="47" t="s">
        <v>946</v>
      </c>
      <c r="J26" s="46" t="s">
        <v>928</v>
      </c>
      <c r="K26" s="54">
        <v>300</v>
      </c>
      <c r="L26" s="10"/>
      <c r="M26" s="61"/>
      <c r="N26" s="60"/>
      <c r="O26" s="60"/>
      <c r="P26" s="60"/>
      <c r="Q26" s="60"/>
      <c r="R26" s="60"/>
    </row>
    <row r="27" spans="1:18">
      <c r="A27" s="3"/>
      <c r="B27" s="4"/>
      <c r="C27" s="3"/>
      <c r="D27" s="3"/>
      <c r="E27" s="8"/>
      <c r="F27" s="9"/>
      <c r="G27" s="9"/>
      <c r="H27" s="55">
        <v>22</v>
      </c>
      <c r="I27" s="47" t="s">
        <v>947</v>
      </c>
      <c r="J27" s="46" t="s">
        <v>941</v>
      </c>
      <c r="K27" s="54">
        <v>10000</v>
      </c>
      <c r="L27" s="10"/>
      <c r="M27" s="61"/>
      <c r="N27" s="60"/>
      <c r="O27" s="60"/>
      <c r="P27" s="60"/>
      <c r="Q27" s="60"/>
      <c r="R27" s="60"/>
    </row>
    <row r="28" spans="1:18">
      <c r="A28" s="3"/>
      <c r="B28" s="4"/>
      <c r="C28" s="3"/>
      <c r="D28" s="3"/>
      <c r="E28" s="8"/>
      <c r="F28" s="9"/>
      <c r="G28" s="9"/>
      <c r="H28" s="55">
        <v>23</v>
      </c>
      <c r="I28" s="47" t="s">
        <v>948</v>
      </c>
      <c r="J28" s="46" t="s">
        <v>919</v>
      </c>
      <c r="K28" s="54">
        <v>3000</v>
      </c>
      <c r="L28" s="10"/>
      <c r="M28" s="61"/>
      <c r="N28" s="60"/>
      <c r="O28" s="60"/>
      <c r="P28" s="60"/>
      <c r="Q28" s="60"/>
      <c r="R28" s="60"/>
    </row>
    <row r="29" spans="1:18">
      <c r="H29" s="56">
        <v>24</v>
      </c>
      <c r="I29" s="48" t="s">
        <v>949</v>
      </c>
      <c r="J29" s="49" t="s">
        <v>921</v>
      </c>
      <c r="K29" s="57">
        <v>1250000</v>
      </c>
      <c r="M29" s="95"/>
      <c r="N29" s="50"/>
      <c r="O29" s="50"/>
      <c r="P29" s="50"/>
      <c r="Q29" s="50"/>
      <c r="R29" s="50"/>
    </row>
    <row r="30" spans="1:18">
      <c r="H30" s="50"/>
      <c r="I30" s="48" t="s">
        <v>767</v>
      </c>
      <c r="J30" s="46" t="s">
        <v>919</v>
      </c>
      <c r="K30" s="57">
        <v>150000</v>
      </c>
      <c r="M30" s="95"/>
      <c r="N30" s="50"/>
      <c r="O30" s="50"/>
      <c r="P30" s="50"/>
      <c r="Q30" s="50"/>
      <c r="R30" s="50"/>
    </row>
    <row r="31" spans="1:18">
      <c r="H31" s="50"/>
      <c r="I31" s="50"/>
      <c r="J31" s="50"/>
      <c r="K31" s="50"/>
      <c r="M31" s="95"/>
      <c r="N31" s="50"/>
      <c r="O31" s="50"/>
      <c r="P31" s="50"/>
      <c r="Q31" s="50"/>
      <c r="R31" s="50"/>
    </row>
    <row r="32" spans="1:18">
      <c r="H32" s="50"/>
      <c r="I32" s="50"/>
      <c r="J32" s="50"/>
      <c r="K32" s="50"/>
      <c r="M32" s="95"/>
      <c r="N32" s="50"/>
      <c r="O32" s="50"/>
      <c r="P32" s="50"/>
      <c r="Q32" s="50"/>
      <c r="R32" s="50"/>
    </row>
    <row r="33" spans="8:18">
      <c r="H33" s="50"/>
      <c r="I33" s="50"/>
      <c r="J33" s="50"/>
      <c r="K33" s="50"/>
      <c r="M33" s="95"/>
      <c r="N33" s="50"/>
      <c r="O33" s="50"/>
      <c r="P33" s="50"/>
      <c r="Q33" s="50"/>
      <c r="R33" s="50"/>
    </row>
    <row r="34" spans="8:18">
      <c r="H34" s="50"/>
      <c r="I34" s="50"/>
      <c r="J34" s="50"/>
      <c r="K34" s="50"/>
    </row>
  </sheetData>
  <mergeCells count="3">
    <mergeCell ref="M1:R1"/>
    <mergeCell ref="A1:F1"/>
    <mergeCell ref="H1:K1"/>
  </mergeCells>
  <phoneticPr fontId="5" type="noConversion"/>
  <printOptions horizontalCentered="1"/>
  <pageMargins left="1.1417322834645669" right="0.9448818897637796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W777"/>
  <sheetViews>
    <sheetView showZeros="0" tabSelected="1" topLeftCell="B1" zoomScale="75" zoomScaleNormal="85" workbookViewId="0">
      <selection activeCell="J8" sqref="J8"/>
    </sheetView>
  </sheetViews>
  <sheetFormatPr defaultRowHeight="16.5"/>
  <cols>
    <col min="1" max="1" width="7" style="841" customWidth="1"/>
    <col min="2" max="2" width="42.109375" style="1007" customWidth="1"/>
    <col min="3" max="3" width="7.6640625" style="843" customWidth="1"/>
    <col min="4" max="4" width="5.77734375" style="844" customWidth="1"/>
    <col min="5" max="5" width="10.109375" style="459" customWidth="1"/>
    <col min="6" max="6" width="8.33203125" style="459" customWidth="1"/>
    <col min="7" max="7" width="6.5546875" style="845" hidden="1" customWidth="1"/>
    <col min="8" max="8" width="8" style="459" customWidth="1"/>
    <col min="9" max="9" width="8.6640625" style="459" customWidth="1"/>
    <col min="10" max="10" width="7.6640625" style="459" customWidth="1"/>
    <col min="11" max="11" width="8.21875" style="459" customWidth="1"/>
    <col min="12" max="12" width="11.33203125" style="459" customWidth="1"/>
    <col min="13" max="13" width="8.44140625" style="459" customWidth="1"/>
    <col min="14" max="15" width="11.33203125" style="459" customWidth="1"/>
    <col min="16" max="16" width="11.44140625" style="409" customWidth="1"/>
    <col min="17" max="17" width="7.109375" style="409" customWidth="1"/>
    <col min="18" max="18" width="10.77734375" style="409" customWidth="1"/>
    <col min="19" max="19" width="8.88671875" style="527"/>
    <col min="20" max="20" width="9.21875" style="527" customWidth="1"/>
    <col min="21" max="16384" width="8.88671875" style="527"/>
  </cols>
  <sheetData>
    <row r="1" spans="1:21" ht="46.5" customHeight="1">
      <c r="A1" s="1085" t="s">
        <v>832</v>
      </c>
      <c r="B1" s="1085"/>
      <c r="C1" s="1085"/>
      <c r="D1" s="1085"/>
      <c r="E1" s="1085"/>
      <c r="F1" s="1085"/>
      <c r="G1" s="1085"/>
      <c r="H1" s="1085"/>
      <c r="I1" s="1085"/>
      <c r="J1" s="1085"/>
      <c r="K1" s="1085"/>
      <c r="L1" s="1085"/>
      <c r="M1" s="1085"/>
      <c r="N1" s="1085"/>
      <c r="O1" s="1085"/>
      <c r="P1" s="774" t="s">
        <v>607</v>
      </c>
      <c r="Q1" s="775">
        <v>0</v>
      </c>
    </row>
    <row r="2" spans="1:21" ht="13.9" customHeight="1">
      <c r="A2" s="410"/>
      <c r="B2" s="923"/>
      <c r="C2" s="923"/>
      <c r="D2" s="924"/>
      <c r="E2" s="410"/>
      <c r="F2" s="410"/>
      <c r="G2" s="925"/>
      <c r="H2" s="410"/>
      <c r="I2" s="410"/>
    </row>
    <row r="3" spans="1:21" ht="24.6" customHeight="1">
      <c r="A3" s="1070" t="s">
        <v>716</v>
      </c>
      <c r="B3" s="1070"/>
      <c r="C3" s="1070"/>
      <c r="D3" s="1070"/>
      <c r="E3" s="1070"/>
      <c r="F3" s="1070"/>
      <c r="G3" s="1070"/>
      <c r="H3" s="1070"/>
      <c r="I3" s="1070"/>
      <c r="J3" s="1070"/>
      <c r="K3" s="1070"/>
      <c r="L3" s="1070"/>
      <c r="M3" s="1070"/>
      <c r="N3" s="1070"/>
      <c r="O3" s="1070"/>
    </row>
    <row r="4" spans="1:21" s="421" customFormat="1" ht="16.149999999999999" customHeight="1">
      <c r="A4" s="414"/>
      <c r="B4" s="926"/>
      <c r="C4" s="776"/>
      <c r="D4" s="777" t="s">
        <v>430</v>
      </c>
      <c r="E4" s="419"/>
      <c r="F4" s="778"/>
      <c r="G4" s="779"/>
      <c r="H4" s="778"/>
      <c r="I4" s="780"/>
      <c r="J4" s="778"/>
      <c r="K4" s="778"/>
      <c r="L4" s="781" t="s">
        <v>262</v>
      </c>
      <c r="M4" s="778"/>
      <c r="N4" s="780"/>
      <c r="O4" s="419"/>
      <c r="P4" s="420"/>
      <c r="Q4" s="420"/>
      <c r="R4" s="420"/>
    </row>
    <row r="5" spans="1:21" s="421" customFormat="1" ht="7.5" customHeight="1">
      <c r="A5" s="414"/>
      <c r="B5" s="926"/>
      <c r="C5" s="776"/>
      <c r="D5" s="821"/>
      <c r="E5" s="419"/>
      <c r="F5" s="419"/>
      <c r="G5" s="822"/>
      <c r="H5" s="419"/>
      <c r="I5" s="419"/>
      <c r="J5" s="419"/>
      <c r="K5" s="419"/>
      <c r="L5" s="419"/>
      <c r="M5" s="419"/>
      <c r="N5" s="419"/>
      <c r="O5" s="419"/>
      <c r="P5" s="420"/>
      <c r="Q5" s="420"/>
      <c r="R5" s="420"/>
    </row>
    <row r="6" spans="1:21" s="824" customFormat="1" ht="23.25" customHeight="1">
      <c r="A6" s="1068" t="s">
        <v>718</v>
      </c>
      <c r="B6" s="1068" t="s">
        <v>198</v>
      </c>
      <c r="C6" s="1071" t="s">
        <v>263</v>
      </c>
      <c r="D6" s="1071" t="s">
        <v>264</v>
      </c>
      <c r="E6" s="1071" t="s">
        <v>683</v>
      </c>
      <c r="F6" s="1071"/>
      <c r="G6" s="1071"/>
      <c r="H6" s="1071"/>
      <c r="I6" s="1071"/>
      <c r="J6" s="1071"/>
      <c r="K6" s="1071"/>
      <c r="L6" s="1071"/>
      <c r="M6" s="1071" t="s">
        <v>435</v>
      </c>
      <c r="N6" s="1071" t="s">
        <v>684</v>
      </c>
      <c r="O6" s="1071" t="s">
        <v>685</v>
      </c>
      <c r="P6" s="815"/>
      <c r="Q6" s="815"/>
      <c r="R6" s="816"/>
    </row>
    <row r="7" spans="1:21" s="824" customFormat="1" ht="36" customHeight="1">
      <c r="A7" s="1068"/>
      <c r="B7" s="1068"/>
      <c r="C7" s="1071"/>
      <c r="D7" s="1071"/>
      <c r="E7" s="783" t="s">
        <v>686</v>
      </c>
      <c r="F7" s="783" t="s">
        <v>687</v>
      </c>
      <c r="G7" s="784" t="s">
        <v>285</v>
      </c>
      <c r="H7" s="783" t="s">
        <v>499</v>
      </c>
      <c r="I7" s="783" t="s">
        <v>688</v>
      </c>
      <c r="J7" s="783" t="s">
        <v>531</v>
      </c>
      <c r="K7" s="783" t="s">
        <v>689</v>
      </c>
      <c r="L7" s="783" t="s">
        <v>690</v>
      </c>
      <c r="M7" s="1071"/>
      <c r="N7" s="1071"/>
      <c r="O7" s="1071"/>
      <c r="P7" s="815"/>
      <c r="Q7" s="815"/>
      <c r="R7" s="816"/>
    </row>
    <row r="8" spans="1:21" s="833" customFormat="1" ht="47.25" customHeight="1">
      <c r="A8" s="785"/>
      <c r="B8" s="839" t="s">
        <v>1014</v>
      </c>
      <c r="C8" s="783"/>
      <c r="D8" s="783"/>
      <c r="E8" s="783"/>
      <c r="F8" s="783"/>
      <c r="G8" s="784"/>
      <c r="H8" s="783"/>
      <c r="I8" s="783"/>
      <c r="J8" s="783"/>
      <c r="K8" s="783"/>
      <c r="L8" s="783"/>
      <c r="M8" s="783"/>
      <c r="N8" s="783"/>
      <c r="O8" s="783"/>
      <c r="P8" s="830"/>
      <c r="Q8" s="830"/>
      <c r="R8" s="832"/>
    </row>
    <row r="9" spans="1:21" s="833" customFormat="1" ht="16.149999999999999" customHeight="1">
      <c r="A9" s="1068"/>
      <c r="B9" s="1086" t="s">
        <v>668</v>
      </c>
      <c r="C9" s="1071" t="s">
        <v>532</v>
      </c>
      <c r="D9" s="783">
        <v>1</v>
      </c>
      <c r="E9" s="788" t="e">
        <f>E16+E46+E80</f>
        <v>#VALUE!</v>
      </c>
      <c r="F9" s="788">
        <f t="shared" ref="F9:L9" si="0">F16+F46+F80</f>
        <v>18760.875</v>
      </c>
      <c r="G9" s="788">
        <f t="shared" si="0"/>
        <v>0</v>
      </c>
      <c r="H9" s="852">
        <f>H16+H46+H80</f>
        <v>0.73967522519030449</v>
      </c>
      <c r="I9" s="852">
        <f t="shared" si="0"/>
        <v>4.1197274999999998</v>
      </c>
      <c r="J9" s="852">
        <f t="shared" si="0"/>
        <v>0.41727249999999999</v>
      </c>
      <c r="K9" s="852">
        <f t="shared" si="0"/>
        <v>0.80866274999999999</v>
      </c>
      <c r="L9" s="852" t="e">
        <f t="shared" si="0"/>
        <v>#VALUE!</v>
      </c>
      <c r="M9" s="796" t="e">
        <f>M16+M46+M80</f>
        <v>#VALUE!</v>
      </c>
      <c r="N9" s="796" t="e">
        <f>N16+N46+N80</f>
        <v>#VALUE!</v>
      </c>
      <c r="O9" s="796">
        <f>O16+O46+O80</f>
        <v>9903.7834134615387</v>
      </c>
      <c r="P9" s="830"/>
      <c r="Q9" s="830"/>
      <c r="R9" s="832"/>
    </row>
    <row r="10" spans="1:21" s="833" customFormat="1" ht="16.149999999999999" customHeight="1">
      <c r="A10" s="1068"/>
      <c r="B10" s="1087"/>
      <c r="C10" s="1071"/>
      <c r="D10" s="783">
        <v>2</v>
      </c>
      <c r="E10" s="788" t="e">
        <f t="shared" ref="E10:N10" si="1">E17+E46+E80</f>
        <v>#VALUE!</v>
      </c>
      <c r="F10" s="788">
        <f t="shared" si="1"/>
        <v>21406.875000000004</v>
      </c>
      <c r="G10" s="788">
        <f t="shared" si="1"/>
        <v>0</v>
      </c>
      <c r="H10" s="852">
        <f t="shared" si="1"/>
        <v>0.76005674160657055</v>
      </c>
      <c r="I10" s="852">
        <f t="shared" si="1"/>
        <v>4.1197274999999998</v>
      </c>
      <c r="J10" s="852">
        <f t="shared" si="1"/>
        <v>0.41727249999999999</v>
      </c>
      <c r="K10" s="852">
        <f t="shared" si="1"/>
        <v>0.80866274999999999</v>
      </c>
      <c r="L10" s="852" t="e">
        <f t="shared" si="1"/>
        <v>#VALUE!</v>
      </c>
      <c r="M10" s="796" t="e">
        <f t="shared" si="1"/>
        <v>#VALUE!</v>
      </c>
      <c r="N10" s="796" t="e">
        <f t="shared" si="1"/>
        <v>#VALUE!</v>
      </c>
      <c r="O10" s="796">
        <f>O17+O46+O80</f>
        <v>10284.964182692307</v>
      </c>
      <c r="P10" s="830"/>
      <c r="Q10" s="830"/>
      <c r="R10" s="832"/>
      <c r="U10" s="917"/>
    </row>
    <row r="11" spans="1:21" s="833" customFormat="1" ht="16.149999999999999" customHeight="1">
      <c r="A11" s="1068"/>
      <c r="B11" s="1088"/>
      <c r="C11" s="1071"/>
      <c r="D11" s="783">
        <v>3</v>
      </c>
      <c r="E11" s="788" t="e">
        <f t="shared" ref="E11:N11" si="2">E18+E46+E80</f>
        <v>#VALUE!</v>
      </c>
      <c r="F11" s="788">
        <f t="shared" si="2"/>
        <v>24493.875</v>
      </c>
      <c r="G11" s="788">
        <f t="shared" si="2"/>
        <v>0</v>
      </c>
      <c r="H11" s="852">
        <f t="shared" si="2"/>
        <v>0.80081977443910268</v>
      </c>
      <c r="I11" s="852">
        <f t="shared" si="2"/>
        <v>4.1197274999999998</v>
      </c>
      <c r="J11" s="852">
        <f t="shared" si="2"/>
        <v>0.41727249999999999</v>
      </c>
      <c r="K11" s="852">
        <f t="shared" si="2"/>
        <v>0.80866274999999999</v>
      </c>
      <c r="L11" s="852" t="e">
        <f t="shared" si="2"/>
        <v>#VALUE!</v>
      </c>
      <c r="M11" s="796" t="e">
        <f t="shared" si="2"/>
        <v>#VALUE!</v>
      </c>
      <c r="N11" s="796" t="e">
        <f t="shared" si="2"/>
        <v>#VALUE!</v>
      </c>
      <c r="O11" s="796">
        <f>O18+O46+O80</f>
        <v>10727.625721153847</v>
      </c>
      <c r="P11" s="830"/>
      <c r="Q11" s="830"/>
      <c r="R11" s="832"/>
    </row>
    <row r="12" spans="1:21" s="833" customFormat="1" ht="21" customHeight="1">
      <c r="A12" s="1093"/>
      <c r="B12" s="1086" t="s">
        <v>669</v>
      </c>
      <c r="C12" s="1071" t="s">
        <v>532</v>
      </c>
      <c r="D12" s="783">
        <v>1</v>
      </c>
      <c r="E12" s="788" t="e">
        <f t="shared" ref="E12:N12" si="3">E19+E47+E81</f>
        <v>#VALUE!</v>
      </c>
      <c r="F12" s="788">
        <f t="shared" si="3"/>
        <v>18760.875</v>
      </c>
      <c r="G12" s="788">
        <f t="shared" si="3"/>
        <v>0</v>
      </c>
      <c r="H12" s="927">
        <f t="shared" si="3"/>
        <v>0.73967522519030449</v>
      </c>
      <c r="I12" s="927">
        <f t="shared" si="3"/>
        <v>4.1197274999999998</v>
      </c>
      <c r="J12" s="927">
        <f t="shared" si="3"/>
        <v>0.41727249999999999</v>
      </c>
      <c r="K12" s="927">
        <f t="shared" si="3"/>
        <v>0.80866274999999999</v>
      </c>
      <c r="L12" s="788" t="e">
        <f t="shared" si="3"/>
        <v>#VALUE!</v>
      </c>
      <c r="M12" s="788" t="e">
        <f t="shared" si="3"/>
        <v>#VALUE!</v>
      </c>
      <c r="N12" s="788" t="e">
        <f t="shared" si="3"/>
        <v>#VALUE!</v>
      </c>
      <c r="O12" s="788">
        <f>O19+O47+O81</f>
        <v>9288.9757211538454</v>
      </c>
      <c r="P12" s="830"/>
      <c r="Q12" s="830"/>
      <c r="R12" s="832"/>
    </row>
    <row r="13" spans="1:21" s="833" customFormat="1" ht="21" customHeight="1">
      <c r="A13" s="1094"/>
      <c r="B13" s="1087"/>
      <c r="C13" s="1071"/>
      <c r="D13" s="783">
        <v>2</v>
      </c>
      <c r="E13" s="788" t="e">
        <f t="shared" ref="E13:N13" si="4">E20+E47+E81</f>
        <v>#VALUE!</v>
      </c>
      <c r="F13" s="788">
        <f t="shared" si="4"/>
        <v>21406.875000000004</v>
      </c>
      <c r="G13" s="788">
        <f t="shared" si="4"/>
        <v>0</v>
      </c>
      <c r="H13" s="927">
        <f t="shared" si="4"/>
        <v>0.76005674160657055</v>
      </c>
      <c r="I13" s="927">
        <f t="shared" si="4"/>
        <v>4.1197274999999998</v>
      </c>
      <c r="J13" s="927">
        <f t="shared" si="4"/>
        <v>0.41727249999999999</v>
      </c>
      <c r="K13" s="927">
        <f t="shared" si="4"/>
        <v>0.80866274999999999</v>
      </c>
      <c r="L13" s="788" t="e">
        <f t="shared" si="4"/>
        <v>#VALUE!</v>
      </c>
      <c r="M13" s="788" t="e">
        <f t="shared" si="4"/>
        <v>#VALUE!</v>
      </c>
      <c r="N13" s="788" t="e">
        <f t="shared" si="4"/>
        <v>#VALUE!</v>
      </c>
      <c r="O13" s="788">
        <f>O20+O47+O81</f>
        <v>9670.1564903846156</v>
      </c>
      <c r="P13" s="846">
        <f>'He so chung'!$D$22</f>
        <v>5346.1538461538457</v>
      </c>
      <c r="Q13" s="846">
        <f>'He so chung'!$D$23</f>
        <v>801.92307692307691</v>
      </c>
      <c r="R13" s="836"/>
    </row>
    <row r="14" spans="1:21" s="833" customFormat="1" ht="21" customHeight="1">
      <c r="A14" s="1095"/>
      <c r="B14" s="1088"/>
      <c r="C14" s="1071"/>
      <c r="D14" s="783">
        <v>3</v>
      </c>
      <c r="E14" s="788" t="e">
        <f t="shared" ref="E14:N14" si="5">E21+E47+E81</f>
        <v>#VALUE!</v>
      </c>
      <c r="F14" s="788">
        <f t="shared" si="5"/>
        <v>24493.875</v>
      </c>
      <c r="G14" s="788">
        <f t="shared" si="5"/>
        <v>0</v>
      </c>
      <c r="H14" s="927">
        <f t="shared" si="5"/>
        <v>0.80081977443910268</v>
      </c>
      <c r="I14" s="927">
        <f t="shared" si="5"/>
        <v>4.1197274999999998</v>
      </c>
      <c r="J14" s="927">
        <f t="shared" si="5"/>
        <v>0.41727249999999999</v>
      </c>
      <c r="K14" s="927">
        <f t="shared" si="5"/>
        <v>0.80866274999999999</v>
      </c>
      <c r="L14" s="788" t="e">
        <f t="shared" si="5"/>
        <v>#VALUE!</v>
      </c>
      <c r="M14" s="788" t="e">
        <f>M21+M47+M81</f>
        <v>#VALUE!</v>
      </c>
      <c r="N14" s="788" t="e">
        <f t="shared" si="5"/>
        <v>#VALUE!</v>
      </c>
      <c r="O14" s="788">
        <f>O21+O47+O81</f>
        <v>10112.818028846154</v>
      </c>
      <c r="P14" s="834"/>
      <c r="Q14" s="834"/>
      <c r="R14" s="836"/>
    </row>
    <row r="15" spans="1:21" s="833" customFormat="1" ht="33" customHeight="1">
      <c r="A15" s="928" t="s">
        <v>1000</v>
      </c>
      <c r="B15" s="929" t="s">
        <v>460</v>
      </c>
      <c r="C15" s="783"/>
      <c r="D15" s="783"/>
      <c r="E15" s="783"/>
      <c r="F15" s="783"/>
      <c r="G15" s="784"/>
      <c r="H15" s="783"/>
      <c r="I15" s="783"/>
      <c r="J15" s="783"/>
      <c r="K15" s="783"/>
      <c r="L15" s="783"/>
      <c r="M15" s="783"/>
      <c r="N15" s="783"/>
      <c r="O15" s="783"/>
      <c r="P15" s="834"/>
      <c r="Q15" s="834"/>
      <c r="R15" s="836"/>
    </row>
    <row r="16" spans="1:21" s="837" customFormat="1" ht="18.75" customHeight="1">
      <c r="A16" s="1089" t="s">
        <v>1008</v>
      </c>
      <c r="B16" s="1086" t="s">
        <v>668</v>
      </c>
      <c r="C16" s="1071" t="s">
        <v>532</v>
      </c>
      <c r="D16" s="851">
        <v>1</v>
      </c>
      <c r="E16" s="796" t="e">
        <f>E23+E24+E25+E27+E29+E30+E31+E35+E37+E38+E40+E42+E43+E44</f>
        <v>#VALUE!</v>
      </c>
      <c r="F16" s="796">
        <f>F23+F24+F25+F27+F29+F30+F31+F35+F37+F38+F40+F42+F43+F44</f>
        <v>18760.875</v>
      </c>
      <c r="G16" s="796">
        <f>G22+G29+G30+G31+G35+G36+G37+G38+G40+G41+G42+G43+G44</f>
        <v>0</v>
      </c>
      <c r="H16" s="852">
        <f>'Dcu-DKDD'!H28/8000</f>
        <v>0.34648577907652245</v>
      </c>
      <c r="I16" s="852">
        <f>'VL-DKDD'!F31/8000</f>
        <v>0.86683500000000002</v>
      </c>
      <c r="J16" s="852">
        <f>'TB-DKDD'!I14/8000</f>
        <v>2.0497499999999998E-2</v>
      </c>
      <c r="K16" s="852">
        <f>'NL-DKDD'!F9/8000</f>
        <v>3.9821250000000002E-2</v>
      </c>
      <c r="L16" s="796" t="e">
        <f t="shared" ref="L16:L21" si="6">SUM(E16:K16)</f>
        <v>#VALUE!</v>
      </c>
      <c r="M16" s="796" t="e">
        <f>L16*'He so chung'!$D$17/100</f>
        <v>#VALUE!</v>
      </c>
      <c r="N16" s="796" t="e">
        <f t="shared" ref="N16:N21" si="7">L16+M16</f>
        <v>#VALUE!</v>
      </c>
      <c r="O16" s="796">
        <f>O23+O24+O25+O27+O29+O30+O31+O35+O37+O38+O40+O42+O43+O44</f>
        <v>5558.6300480769223</v>
      </c>
      <c r="P16" s="853"/>
      <c r="Q16" s="853"/>
      <c r="R16" s="836"/>
    </row>
    <row r="17" spans="1:18" s="837" customFormat="1" ht="18.75" customHeight="1">
      <c r="A17" s="1089"/>
      <c r="B17" s="1087"/>
      <c r="C17" s="1071"/>
      <c r="D17" s="851">
        <v>2</v>
      </c>
      <c r="E17" s="796" t="e">
        <f>E23+E24+E25+E27+E29+E30+E32+E35+E37+E38+E40+E42+E43+E44</f>
        <v>#VALUE!</v>
      </c>
      <c r="F17" s="796">
        <f>F23+F24+F25+F27+F29+F30+F32+F35+F37+F38+F40+F42+F43+F44</f>
        <v>21406.875000000004</v>
      </c>
      <c r="G17" s="796">
        <f>G22+G29+G30+G32+G35+G36+G37+G38+G40+G41+G42+G43+G44</f>
        <v>0</v>
      </c>
      <c r="H17" s="852">
        <f>'Dcu-DKDD'!H29/8000</f>
        <v>0.36686729549278851</v>
      </c>
      <c r="I17" s="852">
        <f>'VL-DKDD'!F31/8000</f>
        <v>0.86683500000000002</v>
      </c>
      <c r="J17" s="852">
        <f>'TB-DKDD'!I14/8000</f>
        <v>2.0497499999999998E-2</v>
      </c>
      <c r="K17" s="852">
        <f>'NL-DKDD'!F9/8000</f>
        <v>3.9821250000000002E-2</v>
      </c>
      <c r="L17" s="796" t="e">
        <f t="shared" si="6"/>
        <v>#VALUE!</v>
      </c>
      <c r="M17" s="796" t="e">
        <f>L17*'He so chung'!$D$17/100</f>
        <v>#VALUE!</v>
      </c>
      <c r="N17" s="796" t="e">
        <f t="shared" si="7"/>
        <v>#VALUE!</v>
      </c>
      <c r="O17" s="796">
        <f>O23+O24+O25+O27+O29+O30+O32+O35+O37+O38+O40+O42+O43+O44</f>
        <v>5939.8108173076907</v>
      </c>
      <c r="P17" s="853"/>
      <c r="Q17" s="853"/>
      <c r="R17" s="836"/>
    </row>
    <row r="18" spans="1:18" s="837" customFormat="1" ht="18.75" customHeight="1">
      <c r="A18" s="1089"/>
      <c r="B18" s="1088"/>
      <c r="C18" s="1071"/>
      <c r="D18" s="851">
        <v>3</v>
      </c>
      <c r="E18" s="796" t="e">
        <f>E23+E24+E25+E27+E29+E30+E33+E35+E37+E38+E40+E42+E43+E44</f>
        <v>#VALUE!</v>
      </c>
      <c r="F18" s="796">
        <f>F23+F24+F25+F27+F29+F30+F33+F35+F37+F38+F40+F42+F43+F44</f>
        <v>24493.875</v>
      </c>
      <c r="G18" s="796">
        <f>G22+G29+G30+G33+G35+G36+G37+G38+G40+G41+G42+G43+G44</f>
        <v>0</v>
      </c>
      <c r="H18" s="852">
        <f>'Dcu-DKDD'!H30/8000</f>
        <v>0.40763032832532059</v>
      </c>
      <c r="I18" s="852">
        <f>'VL-DKDD'!F31/8000</f>
        <v>0.86683500000000002</v>
      </c>
      <c r="J18" s="852">
        <f>'TB-DKDD'!I14/8000</f>
        <v>2.0497499999999998E-2</v>
      </c>
      <c r="K18" s="852">
        <f>'NL-DKDD'!F9/8000</f>
        <v>3.9821250000000002E-2</v>
      </c>
      <c r="L18" s="796" t="e">
        <f t="shared" si="6"/>
        <v>#VALUE!</v>
      </c>
      <c r="M18" s="796" t="e">
        <f>L18*'He so chung'!$D$17/100</f>
        <v>#VALUE!</v>
      </c>
      <c r="N18" s="796" t="e">
        <f t="shared" si="7"/>
        <v>#VALUE!</v>
      </c>
      <c r="O18" s="796">
        <f>O23+O24+O25+O27+O29+O30+O33+O35+O37+O38+O40+O42+O43+O44</f>
        <v>6382.4723557692305</v>
      </c>
      <c r="P18" s="853"/>
      <c r="Q18" s="853"/>
      <c r="R18" s="836"/>
    </row>
    <row r="19" spans="1:18" s="837" customFormat="1" ht="18.75" customHeight="1">
      <c r="A19" s="1090" t="s">
        <v>1009</v>
      </c>
      <c r="B19" s="1086" t="s">
        <v>669</v>
      </c>
      <c r="C19" s="1071" t="s">
        <v>532</v>
      </c>
      <c r="D19" s="851">
        <v>1</v>
      </c>
      <c r="E19" s="796" t="e">
        <f>E23+E24+E25+E28+E29+E30+E31+E36+E37+E38+E41+E42+E43+E44</f>
        <v>#VALUE!</v>
      </c>
      <c r="F19" s="796">
        <f>F23+F24+F25+F28+F29+F30+F31+F36+F37+F38+F41+F42+F43+F44</f>
        <v>18760.875</v>
      </c>
      <c r="G19" s="796">
        <f>G25+G32+G33+G34+G38+G39+G40+G41+G43+G44+G46+G48+G49</f>
        <v>0</v>
      </c>
      <c r="H19" s="852">
        <f>H16</f>
        <v>0.34648577907652245</v>
      </c>
      <c r="I19" s="852">
        <f>I16</f>
        <v>0.86683500000000002</v>
      </c>
      <c r="J19" s="852">
        <f>J16</f>
        <v>2.0497499999999998E-2</v>
      </c>
      <c r="K19" s="852">
        <f>K16</f>
        <v>3.9821250000000002E-2</v>
      </c>
      <c r="L19" s="796" t="e">
        <f t="shared" si="6"/>
        <v>#VALUE!</v>
      </c>
      <c r="M19" s="796" t="e">
        <f>L19*'He so chung'!$D$17/100</f>
        <v>#VALUE!</v>
      </c>
      <c r="N19" s="796" t="e">
        <f t="shared" si="7"/>
        <v>#VALUE!</v>
      </c>
      <c r="O19" s="796">
        <f>O23+O24+O25+O28+O29+O30+O31+O36+O37+O38+O41+O42+O43+O44</f>
        <v>5159.0050480769223</v>
      </c>
      <c r="P19" s="853"/>
      <c r="Q19" s="853"/>
      <c r="R19" s="836"/>
    </row>
    <row r="20" spans="1:18" s="837" customFormat="1" ht="18.75" customHeight="1">
      <c r="A20" s="1091"/>
      <c r="B20" s="1087"/>
      <c r="C20" s="1071"/>
      <c r="D20" s="851">
        <v>2</v>
      </c>
      <c r="E20" s="796" t="e">
        <f>E23+E24+E25+E28+E29+E30+E32+E36+E37+E38+E41+E42+E43+E44</f>
        <v>#VALUE!</v>
      </c>
      <c r="F20" s="796">
        <f>F23+F24+F25+F28+F29+F30+F32+F36+F37+F38+F41+F42+F43+F44</f>
        <v>21406.875000000004</v>
      </c>
      <c r="G20" s="796">
        <f>G25+G32+G33+G35+G38+G39+G40+G41+G43+G44+G46+G48+G49</f>
        <v>0</v>
      </c>
      <c r="H20" s="852">
        <f t="shared" ref="H20:K21" si="8">H17</f>
        <v>0.36686729549278851</v>
      </c>
      <c r="I20" s="852">
        <f t="shared" si="8"/>
        <v>0.86683500000000002</v>
      </c>
      <c r="J20" s="852">
        <f t="shared" si="8"/>
        <v>2.0497499999999998E-2</v>
      </c>
      <c r="K20" s="852">
        <f t="shared" si="8"/>
        <v>3.9821250000000002E-2</v>
      </c>
      <c r="L20" s="796" t="e">
        <f t="shared" si="6"/>
        <v>#VALUE!</v>
      </c>
      <c r="M20" s="796" t="e">
        <f>L20*'He so chung'!$D$17/100</f>
        <v>#VALUE!</v>
      </c>
      <c r="N20" s="796" t="e">
        <f t="shared" si="7"/>
        <v>#VALUE!</v>
      </c>
      <c r="O20" s="796">
        <f>O23+O24+O25+O28+O29+O30+O32+O36+O37+O38+O41+O42+O43+O44</f>
        <v>5540.1858173076926</v>
      </c>
      <c r="P20" s="853"/>
      <c r="Q20" s="853"/>
      <c r="R20" s="836"/>
    </row>
    <row r="21" spans="1:18" s="837" customFormat="1" ht="18.75" customHeight="1">
      <c r="A21" s="1092"/>
      <c r="B21" s="1088"/>
      <c r="C21" s="1071"/>
      <c r="D21" s="851">
        <v>3</v>
      </c>
      <c r="E21" s="796" t="e">
        <f>E23+E24+E25+E28+E29+E30+E33+E36+E37+E38+E41+E42+E43+E44</f>
        <v>#VALUE!</v>
      </c>
      <c r="F21" s="796">
        <f>F23+F24+F25+F28+F29+F30+F33+F36+F37+F38+F41+F42+F43+F44</f>
        <v>24493.875</v>
      </c>
      <c r="G21" s="796">
        <f>G25+G32+G33+G36+G38+G39+G40+G41+G43+G44+G46+G48+G49</f>
        <v>0</v>
      </c>
      <c r="H21" s="852">
        <f t="shared" si="8"/>
        <v>0.40763032832532059</v>
      </c>
      <c r="I21" s="852">
        <f t="shared" si="8"/>
        <v>0.86683500000000002</v>
      </c>
      <c r="J21" s="852">
        <f t="shared" si="8"/>
        <v>2.0497499999999998E-2</v>
      </c>
      <c r="K21" s="852">
        <f t="shared" si="8"/>
        <v>3.9821250000000002E-2</v>
      </c>
      <c r="L21" s="796" t="e">
        <f t="shared" si="6"/>
        <v>#VALUE!</v>
      </c>
      <c r="M21" s="796" t="e">
        <f>L21*'He so chung'!$D$17/100</f>
        <v>#VALUE!</v>
      </c>
      <c r="N21" s="796" t="e">
        <f t="shared" si="7"/>
        <v>#VALUE!</v>
      </c>
      <c r="O21" s="796">
        <f>O23+O24+O25+O28+O29+O30+O33+O36+O37+O38+O41+O42+O43+O44</f>
        <v>5982.8473557692305</v>
      </c>
      <c r="P21" s="853"/>
      <c r="Q21" s="853"/>
      <c r="R21" s="836"/>
    </row>
    <row r="22" spans="1:18" s="837" customFormat="1" ht="23.25" customHeight="1">
      <c r="A22" s="798">
        <v>1</v>
      </c>
      <c r="B22" s="799" t="s">
        <v>453</v>
      </c>
      <c r="C22" s="798"/>
      <c r="D22" s="798"/>
      <c r="E22" s="796"/>
      <c r="F22" s="796"/>
      <c r="G22" s="796"/>
      <c r="H22" s="852"/>
      <c r="I22" s="852"/>
      <c r="J22" s="852"/>
      <c r="K22" s="852"/>
      <c r="L22" s="796"/>
      <c r="M22" s="796"/>
      <c r="N22" s="796"/>
      <c r="O22" s="796"/>
      <c r="P22" s="858"/>
      <c r="Q22" s="858"/>
      <c r="R22" s="930"/>
    </row>
    <row r="23" spans="1:18" s="837" customFormat="1" ht="23.25" customHeight="1">
      <c r="A23" s="798" t="s">
        <v>733</v>
      </c>
      <c r="B23" s="799" t="s">
        <v>834</v>
      </c>
      <c r="C23" s="798" t="s">
        <v>532</v>
      </c>
      <c r="D23" s="792" t="s">
        <v>187</v>
      </c>
      <c r="E23" s="857" t="e">
        <f>NC_DKDD!H8/8000*10</f>
        <v>#VALUE!</v>
      </c>
      <c r="F23" s="857">
        <f>NC_DKDD!H9/8000*10</f>
        <v>367.5</v>
      </c>
      <c r="G23" s="795">
        <f>$Q$1*10*P23</f>
        <v>0</v>
      </c>
      <c r="H23" s="931"/>
      <c r="I23" s="852"/>
      <c r="J23" s="852"/>
      <c r="K23" s="852"/>
      <c r="L23" s="796"/>
      <c r="M23" s="796"/>
      <c r="N23" s="796"/>
      <c r="O23" s="857">
        <f>P23+Q23</f>
        <v>30.740384615384613</v>
      </c>
      <c r="P23" s="932">
        <f>R23*$P$13</f>
        <v>26.73076923076923</v>
      </c>
      <c r="Q23" s="932">
        <f>R23*$Q$13</f>
        <v>4.009615384615385</v>
      </c>
      <c r="R23" s="933">
        <f>NC_DKDD!G8/8000*10</f>
        <v>5.0000000000000001E-3</v>
      </c>
    </row>
    <row r="24" spans="1:18" s="837" customFormat="1" ht="54.75" customHeight="1">
      <c r="A24" s="798" t="s">
        <v>741</v>
      </c>
      <c r="B24" s="799" t="s">
        <v>837</v>
      </c>
      <c r="C24" s="798" t="s">
        <v>532</v>
      </c>
      <c r="D24" s="792" t="s">
        <v>187</v>
      </c>
      <c r="E24" s="857" t="e">
        <f>NC_DKDD!H10/8000</f>
        <v>#VALUE!</v>
      </c>
      <c r="F24" s="857"/>
      <c r="G24" s="795">
        <f t="shared" ref="G24:G88" si="9">$Q$1*10*P24</f>
        <v>0</v>
      </c>
      <c r="H24" s="931"/>
      <c r="I24" s="852"/>
      <c r="J24" s="852"/>
      <c r="K24" s="852"/>
      <c r="L24" s="796"/>
      <c r="M24" s="796"/>
      <c r="N24" s="796"/>
      <c r="O24" s="857">
        <f t="shared" ref="O24:O88" si="10">P24+Q24</f>
        <v>36.888461538461534</v>
      </c>
      <c r="P24" s="932">
        <f t="shared" ref="P24:P88" si="11">R24*$P$13</f>
        <v>32.076923076923073</v>
      </c>
      <c r="Q24" s="932">
        <f t="shared" ref="Q24:Q88" si="12">R24*$Q$13</f>
        <v>4.8115384615384613</v>
      </c>
      <c r="R24" s="931">
        <f>NC_DKDD!G10/8000</f>
        <v>6.0000000000000001E-3</v>
      </c>
    </row>
    <row r="25" spans="1:18" s="837" customFormat="1" ht="30.75" customHeight="1">
      <c r="A25" s="798" t="s">
        <v>734</v>
      </c>
      <c r="B25" s="799" t="s">
        <v>840</v>
      </c>
      <c r="C25" s="798" t="s">
        <v>532</v>
      </c>
      <c r="D25" s="792" t="s">
        <v>187</v>
      </c>
      <c r="E25" s="857" t="e">
        <f>NC_DKDD!H11/8000*10</f>
        <v>#VALUE!</v>
      </c>
      <c r="F25" s="857">
        <f>NC_DKDD!H12/8000*10</f>
        <v>459.375</v>
      </c>
      <c r="G25" s="795">
        <f t="shared" si="9"/>
        <v>0</v>
      </c>
      <c r="H25" s="931"/>
      <c r="I25" s="852"/>
      <c r="J25" s="852"/>
      <c r="K25" s="852"/>
      <c r="L25" s="796"/>
      <c r="M25" s="796"/>
      <c r="N25" s="796"/>
      <c r="O25" s="857">
        <f t="shared" si="10"/>
        <v>19.212740384615387</v>
      </c>
      <c r="P25" s="932">
        <f t="shared" si="11"/>
        <v>16.70673076923077</v>
      </c>
      <c r="Q25" s="932">
        <f t="shared" si="12"/>
        <v>2.5060096153846154</v>
      </c>
      <c r="R25" s="934">
        <f>NC_DKDD!G11/8000*10</f>
        <v>3.1250000000000002E-3</v>
      </c>
    </row>
    <row r="26" spans="1:18" s="837" customFormat="1" ht="23.25" customHeight="1">
      <c r="A26" s="798" t="s">
        <v>843</v>
      </c>
      <c r="B26" s="799" t="s">
        <v>844</v>
      </c>
      <c r="C26" s="798"/>
      <c r="D26" s="798"/>
      <c r="E26" s="935"/>
      <c r="F26" s="857"/>
      <c r="G26" s="795">
        <f t="shared" si="9"/>
        <v>0</v>
      </c>
      <c r="H26" s="931"/>
      <c r="I26" s="852"/>
      <c r="J26" s="852"/>
      <c r="K26" s="852"/>
      <c r="L26" s="796"/>
      <c r="M26" s="796"/>
      <c r="N26" s="796"/>
      <c r="O26" s="857">
        <f t="shared" si="10"/>
        <v>0</v>
      </c>
      <c r="P26" s="932">
        <f t="shared" si="11"/>
        <v>0</v>
      </c>
      <c r="Q26" s="932">
        <f t="shared" si="12"/>
        <v>0</v>
      </c>
      <c r="R26" s="936"/>
    </row>
    <row r="27" spans="1:18" s="837" customFormat="1" ht="23.25" customHeight="1">
      <c r="A27" s="798" t="s">
        <v>845</v>
      </c>
      <c r="B27" s="799" t="s">
        <v>846</v>
      </c>
      <c r="C27" s="798" t="s">
        <v>532</v>
      </c>
      <c r="D27" s="792" t="s">
        <v>187</v>
      </c>
      <c r="E27" s="857" t="e">
        <f>NC_DKDD!H14</f>
        <v>#VALUE!</v>
      </c>
      <c r="F27" s="857"/>
      <c r="G27" s="795">
        <f t="shared" si="9"/>
        <v>0</v>
      </c>
      <c r="H27" s="931"/>
      <c r="I27" s="852"/>
      <c r="J27" s="852"/>
      <c r="K27" s="852"/>
      <c r="L27" s="796"/>
      <c r="M27" s="796"/>
      <c r="N27" s="796"/>
      <c r="O27" s="857">
        <f t="shared" si="10"/>
        <v>614.80769230769238</v>
      </c>
      <c r="P27" s="932">
        <f t="shared" si="11"/>
        <v>534.61538461538464</v>
      </c>
      <c r="Q27" s="932">
        <f t="shared" si="12"/>
        <v>80.192307692307693</v>
      </c>
      <c r="R27" s="931">
        <f>NC_DKDD!G14</f>
        <v>0.1</v>
      </c>
    </row>
    <row r="28" spans="1:18" s="837" customFormat="1" ht="23.25" customHeight="1">
      <c r="A28" s="798" t="s">
        <v>848</v>
      </c>
      <c r="B28" s="799" t="s">
        <v>849</v>
      </c>
      <c r="C28" s="798" t="s">
        <v>532</v>
      </c>
      <c r="D28" s="792" t="s">
        <v>187</v>
      </c>
      <c r="E28" s="857" t="e">
        <f>NC_DKDD!H15</f>
        <v>#VALUE!</v>
      </c>
      <c r="F28" s="857"/>
      <c r="G28" s="795">
        <f t="shared" si="9"/>
        <v>0</v>
      </c>
      <c r="H28" s="931"/>
      <c r="I28" s="852"/>
      <c r="J28" s="852"/>
      <c r="K28" s="852"/>
      <c r="L28" s="796"/>
      <c r="M28" s="796"/>
      <c r="N28" s="796"/>
      <c r="O28" s="857">
        <f t="shared" si="10"/>
        <v>307.40384615384619</v>
      </c>
      <c r="P28" s="932">
        <f t="shared" si="11"/>
        <v>267.30769230769232</v>
      </c>
      <c r="Q28" s="932">
        <f t="shared" si="12"/>
        <v>40.096153846153847</v>
      </c>
      <c r="R28" s="931">
        <f>NC_DKDD!G15</f>
        <v>0.05</v>
      </c>
    </row>
    <row r="29" spans="1:18" s="837" customFormat="1" ht="45" customHeight="1">
      <c r="A29" s="798">
        <v>2</v>
      </c>
      <c r="B29" s="799" t="s">
        <v>850</v>
      </c>
      <c r="C29" s="798" t="s">
        <v>532</v>
      </c>
      <c r="D29" s="792" t="s">
        <v>187</v>
      </c>
      <c r="E29" s="857" t="e">
        <f>NC_DKDD!H16</f>
        <v>#VALUE!</v>
      </c>
      <c r="F29" s="857"/>
      <c r="G29" s="795">
        <f t="shared" si="9"/>
        <v>0</v>
      </c>
      <c r="H29" s="931"/>
      <c r="I29" s="852"/>
      <c r="J29" s="852"/>
      <c r="K29" s="852"/>
      <c r="L29" s="796"/>
      <c r="M29" s="796"/>
      <c r="N29" s="796"/>
      <c r="O29" s="857">
        <f t="shared" si="10"/>
        <v>614.80769230769238</v>
      </c>
      <c r="P29" s="932">
        <f t="shared" si="11"/>
        <v>534.61538461538464</v>
      </c>
      <c r="Q29" s="932">
        <f t="shared" si="12"/>
        <v>80.192307692307693</v>
      </c>
      <c r="R29" s="931">
        <f>NC_DKDD!G16</f>
        <v>0.1</v>
      </c>
    </row>
    <row r="30" spans="1:18" s="837" customFormat="1" ht="33.75" customHeight="1">
      <c r="A30" s="798">
        <v>3</v>
      </c>
      <c r="B30" s="799" t="s">
        <v>851</v>
      </c>
      <c r="C30" s="798" t="s">
        <v>375</v>
      </c>
      <c r="D30" s="792" t="s">
        <v>187</v>
      </c>
      <c r="E30" s="857" t="e">
        <f>NC_DKDD!H17</f>
        <v>#VALUE!</v>
      </c>
      <c r="F30" s="857"/>
      <c r="G30" s="795">
        <f t="shared" si="9"/>
        <v>0</v>
      </c>
      <c r="H30" s="931"/>
      <c r="I30" s="852"/>
      <c r="J30" s="852"/>
      <c r="K30" s="852"/>
      <c r="L30" s="796"/>
      <c r="M30" s="796"/>
      <c r="N30" s="796"/>
      <c r="O30" s="857">
        <f t="shared" si="10"/>
        <v>657.84423076923065</v>
      </c>
      <c r="P30" s="932">
        <f t="shared" si="11"/>
        <v>572.03846153846143</v>
      </c>
      <c r="Q30" s="932">
        <f t="shared" si="12"/>
        <v>85.805769230769229</v>
      </c>
      <c r="R30" s="931">
        <f>NC_DKDD!G17</f>
        <v>0.107</v>
      </c>
    </row>
    <row r="31" spans="1:18" s="837" customFormat="1" ht="18.75" customHeight="1">
      <c r="A31" s="1084">
        <v>4</v>
      </c>
      <c r="B31" s="1096" t="s">
        <v>852</v>
      </c>
      <c r="C31" s="1084" t="s">
        <v>532</v>
      </c>
      <c r="D31" s="798">
        <v>1</v>
      </c>
      <c r="E31" s="857" t="e">
        <f>NC_DKDD!H18</f>
        <v>#VALUE!</v>
      </c>
      <c r="F31" s="857">
        <f>NC_DKDD!H19</f>
        <v>17934</v>
      </c>
      <c r="G31" s="795">
        <f t="shared" si="9"/>
        <v>0</v>
      </c>
      <c r="H31" s="931"/>
      <c r="I31" s="852"/>
      <c r="J31" s="852"/>
      <c r="K31" s="852"/>
      <c r="L31" s="796"/>
      <c r="M31" s="796"/>
      <c r="N31" s="796"/>
      <c r="O31" s="857">
        <f t="shared" si="10"/>
        <v>2533.0076923076922</v>
      </c>
      <c r="P31" s="932">
        <f t="shared" si="11"/>
        <v>2202.6153846153843</v>
      </c>
      <c r="Q31" s="932">
        <f t="shared" si="12"/>
        <v>330.39230769230767</v>
      </c>
      <c r="R31" s="931">
        <f>NC_DKDD!G18</f>
        <v>0.41199999999999998</v>
      </c>
    </row>
    <row r="32" spans="1:18" s="837" customFormat="1" ht="18.75" customHeight="1">
      <c r="A32" s="1084"/>
      <c r="B32" s="1096"/>
      <c r="C32" s="1084"/>
      <c r="D32" s="798">
        <v>2</v>
      </c>
      <c r="E32" s="857" t="e">
        <f>NC_DKDD!H20</f>
        <v>#VALUE!</v>
      </c>
      <c r="F32" s="857">
        <f>NC_DKDD!H21</f>
        <v>20580.000000000004</v>
      </c>
      <c r="G32" s="795">
        <f t="shared" si="9"/>
        <v>0</v>
      </c>
      <c r="H32" s="931"/>
      <c r="I32" s="852"/>
      <c r="J32" s="852"/>
      <c r="K32" s="852"/>
      <c r="L32" s="796"/>
      <c r="M32" s="796"/>
      <c r="N32" s="796"/>
      <c r="O32" s="857">
        <f t="shared" si="10"/>
        <v>2914.1884615384615</v>
      </c>
      <c r="P32" s="932">
        <f t="shared" si="11"/>
        <v>2534.0769230769229</v>
      </c>
      <c r="Q32" s="932">
        <f t="shared" si="12"/>
        <v>380.11153846153843</v>
      </c>
      <c r="R32" s="931">
        <f>NC_DKDD!G20</f>
        <v>0.47399999999999998</v>
      </c>
    </row>
    <row r="33" spans="1:18" s="837" customFormat="1" ht="18.75" customHeight="1">
      <c r="A33" s="1084"/>
      <c r="B33" s="1096"/>
      <c r="C33" s="1084"/>
      <c r="D33" s="798">
        <v>3</v>
      </c>
      <c r="E33" s="857" t="e">
        <f>NC_DKDD!H22</f>
        <v>#VALUE!</v>
      </c>
      <c r="F33" s="857">
        <f>NC_DKDD!H23</f>
        <v>23667</v>
      </c>
      <c r="G33" s="795">
        <f t="shared" si="9"/>
        <v>0</v>
      </c>
      <c r="H33" s="931"/>
      <c r="I33" s="852"/>
      <c r="J33" s="852"/>
      <c r="K33" s="852"/>
      <c r="L33" s="796"/>
      <c r="M33" s="796"/>
      <c r="N33" s="796"/>
      <c r="O33" s="857">
        <f t="shared" si="10"/>
        <v>3356.85</v>
      </c>
      <c r="P33" s="932">
        <f t="shared" si="11"/>
        <v>2919</v>
      </c>
      <c r="Q33" s="932">
        <f t="shared" si="12"/>
        <v>437.85</v>
      </c>
      <c r="R33" s="931">
        <f>NC_DKDD!G22</f>
        <v>0.54600000000000004</v>
      </c>
    </row>
    <row r="34" spans="1:18" s="837" customFormat="1" ht="27.75" customHeight="1">
      <c r="A34" s="798">
        <v>5</v>
      </c>
      <c r="B34" s="799" t="s">
        <v>579</v>
      </c>
      <c r="C34" s="798"/>
      <c r="D34" s="798"/>
      <c r="E34" s="935"/>
      <c r="F34" s="857"/>
      <c r="G34" s="795">
        <f t="shared" si="9"/>
        <v>0</v>
      </c>
      <c r="H34" s="931"/>
      <c r="I34" s="852"/>
      <c r="J34" s="852"/>
      <c r="K34" s="852"/>
      <c r="L34" s="796"/>
      <c r="M34" s="796"/>
      <c r="N34" s="796"/>
      <c r="O34" s="857">
        <f t="shared" si="10"/>
        <v>0</v>
      </c>
      <c r="P34" s="932">
        <f t="shared" si="11"/>
        <v>0</v>
      </c>
      <c r="Q34" s="932">
        <f t="shared" si="12"/>
        <v>0</v>
      </c>
      <c r="R34" s="936"/>
    </row>
    <row r="35" spans="1:18" s="837" customFormat="1" ht="23.25" customHeight="1">
      <c r="A35" s="798" t="s">
        <v>461</v>
      </c>
      <c r="B35" s="799" t="s">
        <v>846</v>
      </c>
      <c r="C35" s="798" t="s">
        <v>532</v>
      </c>
      <c r="D35" s="792" t="s">
        <v>187</v>
      </c>
      <c r="E35" s="857" t="e">
        <f>NC_DKDD!H25</f>
        <v>#VALUE!</v>
      </c>
      <c r="F35" s="857"/>
      <c r="G35" s="795">
        <f t="shared" si="9"/>
        <v>0</v>
      </c>
      <c r="H35" s="931"/>
      <c r="I35" s="852"/>
      <c r="J35" s="852"/>
      <c r="K35" s="852"/>
      <c r="L35" s="796"/>
      <c r="M35" s="796"/>
      <c r="N35" s="796"/>
      <c r="O35" s="857">
        <f t="shared" si="10"/>
        <v>307.40384615384619</v>
      </c>
      <c r="P35" s="932">
        <f t="shared" si="11"/>
        <v>267.30769230769232</v>
      </c>
      <c r="Q35" s="932">
        <f t="shared" si="12"/>
        <v>40.096153846153847</v>
      </c>
      <c r="R35" s="931">
        <f>NC_DKDD!G25</f>
        <v>0.05</v>
      </c>
    </row>
    <row r="36" spans="1:18" s="837" customFormat="1" ht="23.25" customHeight="1">
      <c r="A36" s="798" t="s">
        <v>462</v>
      </c>
      <c r="B36" s="799" t="s">
        <v>849</v>
      </c>
      <c r="C36" s="798" t="s">
        <v>532</v>
      </c>
      <c r="D36" s="792" t="s">
        <v>187</v>
      </c>
      <c r="E36" s="857" t="e">
        <f>NC_DKDD!H26</f>
        <v>#VALUE!</v>
      </c>
      <c r="F36" s="857"/>
      <c r="G36" s="795">
        <f t="shared" si="9"/>
        <v>0</v>
      </c>
      <c r="H36" s="931"/>
      <c r="I36" s="852"/>
      <c r="J36" s="852"/>
      <c r="K36" s="852"/>
      <c r="L36" s="796"/>
      <c r="M36" s="796"/>
      <c r="N36" s="796"/>
      <c r="O36" s="857">
        <f t="shared" si="10"/>
        <v>245.92307692307691</v>
      </c>
      <c r="P36" s="932">
        <f t="shared" si="11"/>
        <v>213.84615384615384</v>
      </c>
      <c r="Q36" s="932">
        <f t="shared" si="12"/>
        <v>32.07692307692308</v>
      </c>
      <c r="R36" s="931">
        <f>NC_DKDD!G26</f>
        <v>0.04</v>
      </c>
    </row>
    <row r="37" spans="1:18" s="837" customFormat="1" ht="33" customHeight="1">
      <c r="A37" s="798">
        <v>6</v>
      </c>
      <c r="B37" s="799" t="s">
        <v>580</v>
      </c>
      <c r="C37" s="798" t="s">
        <v>375</v>
      </c>
      <c r="D37" s="792" t="s">
        <v>187</v>
      </c>
      <c r="E37" s="857" t="e">
        <f>NC_DKDD!H27</f>
        <v>#VALUE!</v>
      </c>
      <c r="F37" s="857"/>
      <c r="G37" s="795">
        <f t="shared" si="9"/>
        <v>0</v>
      </c>
      <c r="H37" s="931"/>
      <c r="I37" s="852"/>
      <c r="J37" s="852"/>
      <c r="K37" s="852"/>
      <c r="L37" s="796"/>
      <c r="M37" s="796"/>
      <c r="N37" s="796"/>
      <c r="O37" s="857">
        <f t="shared" si="10"/>
        <v>18.444230769230767</v>
      </c>
      <c r="P37" s="932">
        <f t="shared" si="11"/>
        <v>16.038461538461537</v>
      </c>
      <c r="Q37" s="932">
        <f t="shared" si="12"/>
        <v>2.4057692307692307</v>
      </c>
      <c r="R37" s="931">
        <f>NC_DKDD!G27</f>
        <v>3.0000000000000001E-3</v>
      </c>
    </row>
    <row r="38" spans="1:18" s="837" customFormat="1" ht="30" customHeight="1">
      <c r="A38" s="798">
        <v>7</v>
      </c>
      <c r="B38" s="799" t="s">
        <v>148</v>
      </c>
      <c r="C38" s="798" t="s">
        <v>532</v>
      </c>
      <c r="D38" s="792" t="s">
        <v>187</v>
      </c>
      <c r="E38" s="857" t="e">
        <f>NC_DKDD!H28</f>
        <v>#VALUE!</v>
      </c>
      <c r="F38" s="857"/>
      <c r="G38" s="795">
        <f t="shared" si="9"/>
        <v>0</v>
      </c>
      <c r="H38" s="931"/>
      <c r="I38" s="852"/>
      <c r="J38" s="852"/>
      <c r="K38" s="852"/>
      <c r="L38" s="796"/>
      <c r="M38" s="796"/>
      <c r="N38" s="796"/>
      <c r="O38" s="857">
        <f t="shared" si="10"/>
        <v>79.924999999999983</v>
      </c>
      <c r="P38" s="932">
        <f t="shared" si="11"/>
        <v>69.499999999999986</v>
      </c>
      <c r="Q38" s="932">
        <f t="shared" si="12"/>
        <v>10.424999999999999</v>
      </c>
      <c r="R38" s="931">
        <f>NC_DKDD!G28</f>
        <v>1.2999999999999999E-2</v>
      </c>
    </row>
    <row r="39" spans="1:18" s="837" customFormat="1" ht="31.5" customHeight="1">
      <c r="A39" s="798">
        <v>8</v>
      </c>
      <c r="B39" s="799" t="s">
        <v>167</v>
      </c>
      <c r="C39" s="798"/>
      <c r="D39" s="798"/>
      <c r="E39" s="857">
        <f>NC_DKDD!H29</f>
        <v>0</v>
      </c>
      <c r="F39" s="857"/>
      <c r="G39" s="795">
        <f t="shared" si="9"/>
        <v>0</v>
      </c>
      <c r="H39" s="931"/>
      <c r="I39" s="852"/>
      <c r="J39" s="852"/>
      <c r="K39" s="852"/>
      <c r="L39" s="796"/>
      <c r="M39" s="796"/>
      <c r="N39" s="796"/>
      <c r="O39" s="857">
        <f t="shared" si="10"/>
        <v>0</v>
      </c>
      <c r="P39" s="932">
        <f t="shared" si="11"/>
        <v>0</v>
      </c>
      <c r="Q39" s="932">
        <f t="shared" si="12"/>
        <v>0</v>
      </c>
      <c r="R39" s="931">
        <f>NC_DKDD!G29</f>
        <v>0</v>
      </c>
    </row>
    <row r="40" spans="1:18" s="837" customFormat="1" ht="20.25" customHeight="1">
      <c r="A40" s="798" t="s">
        <v>191</v>
      </c>
      <c r="B40" s="799" t="s">
        <v>846</v>
      </c>
      <c r="C40" s="798" t="s">
        <v>532</v>
      </c>
      <c r="D40" s="792" t="s">
        <v>187</v>
      </c>
      <c r="E40" s="857" t="e">
        <f>NC_DKDD!H30</f>
        <v>#VALUE!</v>
      </c>
      <c r="F40" s="857"/>
      <c r="G40" s="795">
        <f t="shared" si="9"/>
        <v>0</v>
      </c>
      <c r="H40" s="931"/>
      <c r="I40" s="852"/>
      <c r="J40" s="852"/>
      <c r="K40" s="852"/>
      <c r="L40" s="796"/>
      <c r="M40" s="796"/>
      <c r="N40" s="796"/>
      <c r="O40" s="857">
        <f t="shared" si="10"/>
        <v>92.22115384615384</v>
      </c>
      <c r="P40" s="932">
        <f t="shared" si="11"/>
        <v>80.192307692307679</v>
      </c>
      <c r="Q40" s="932">
        <f t="shared" si="12"/>
        <v>12.028846153846153</v>
      </c>
      <c r="R40" s="931">
        <f>NC_DKDD!G30</f>
        <v>1.4999999999999999E-2</v>
      </c>
    </row>
    <row r="41" spans="1:18" s="837" customFormat="1" ht="20.25" customHeight="1">
      <c r="A41" s="798" t="s">
        <v>192</v>
      </c>
      <c r="B41" s="799" t="s">
        <v>849</v>
      </c>
      <c r="C41" s="798" t="s">
        <v>532</v>
      </c>
      <c r="D41" s="792" t="s">
        <v>187</v>
      </c>
      <c r="E41" s="857" t="e">
        <f>NC_DKDD!H31</f>
        <v>#VALUE!</v>
      </c>
      <c r="F41" s="857"/>
      <c r="G41" s="795">
        <f t="shared" si="9"/>
        <v>0</v>
      </c>
      <c r="H41" s="931"/>
      <c r="I41" s="852"/>
      <c r="J41" s="852"/>
      <c r="K41" s="852"/>
      <c r="L41" s="796"/>
      <c r="M41" s="796"/>
      <c r="N41" s="796"/>
      <c r="O41" s="857">
        <f t="shared" si="10"/>
        <v>61.480769230769226</v>
      </c>
      <c r="P41" s="932">
        <f t="shared" si="11"/>
        <v>53.46153846153846</v>
      </c>
      <c r="Q41" s="932">
        <f t="shared" si="12"/>
        <v>8.0192307692307701</v>
      </c>
      <c r="R41" s="931">
        <f>NC_DKDD!G31</f>
        <v>0.01</v>
      </c>
    </row>
    <row r="42" spans="1:18" s="837" customFormat="1" ht="26.25" customHeight="1">
      <c r="A42" s="798">
        <v>9</v>
      </c>
      <c r="B42" s="799" t="s">
        <v>149</v>
      </c>
      <c r="C42" s="798" t="s">
        <v>532</v>
      </c>
      <c r="D42" s="792" t="s">
        <v>187</v>
      </c>
      <c r="E42" s="857" t="e">
        <f>NC_DKDD!H32</f>
        <v>#VALUE!</v>
      </c>
      <c r="F42" s="857"/>
      <c r="G42" s="795">
        <f t="shared" si="9"/>
        <v>0</v>
      </c>
      <c r="H42" s="931"/>
      <c r="I42" s="852"/>
      <c r="J42" s="852"/>
      <c r="K42" s="852"/>
      <c r="L42" s="796"/>
      <c r="M42" s="796"/>
      <c r="N42" s="796"/>
      <c r="O42" s="857">
        <f t="shared" si="10"/>
        <v>307.40384615384619</v>
      </c>
      <c r="P42" s="932">
        <f t="shared" si="11"/>
        <v>267.30769230769232</v>
      </c>
      <c r="Q42" s="932">
        <f t="shared" si="12"/>
        <v>40.096153846153847</v>
      </c>
      <c r="R42" s="931">
        <f>NC_DKDD!G32</f>
        <v>0.05</v>
      </c>
    </row>
    <row r="43" spans="1:18" s="837" customFormat="1" ht="57">
      <c r="A43" s="798">
        <v>10</v>
      </c>
      <c r="B43" s="799" t="s">
        <v>150</v>
      </c>
      <c r="C43" s="798" t="s">
        <v>532</v>
      </c>
      <c r="D43" s="792" t="s">
        <v>187</v>
      </c>
      <c r="E43" s="857" t="e">
        <f>NC_DKDD!H33</f>
        <v>#VALUE!</v>
      </c>
      <c r="F43" s="857"/>
      <c r="G43" s="795">
        <f t="shared" si="9"/>
        <v>0</v>
      </c>
      <c r="H43" s="931"/>
      <c r="I43" s="852"/>
      <c r="J43" s="852"/>
      <c r="K43" s="852"/>
      <c r="L43" s="796"/>
      <c r="M43" s="796"/>
      <c r="N43" s="796"/>
      <c r="O43" s="857">
        <f t="shared" si="10"/>
        <v>122.96153846153845</v>
      </c>
      <c r="P43" s="932">
        <f t="shared" si="11"/>
        <v>106.92307692307692</v>
      </c>
      <c r="Q43" s="932">
        <f t="shared" si="12"/>
        <v>16.03846153846154</v>
      </c>
      <c r="R43" s="931">
        <f>NC_DKDD!G33</f>
        <v>0.02</v>
      </c>
    </row>
    <row r="44" spans="1:18" s="837" customFormat="1" ht="57.75" customHeight="1">
      <c r="A44" s="798">
        <v>11</v>
      </c>
      <c r="B44" s="799" t="s">
        <v>581</v>
      </c>
      <c r="C44" s="798" t="s">
        <v>532</v>
      </c>
      <c r="D44" s="792" t="s">
        <v>187</v>
      </c>
      <c r="E44" s="857" t="e">
        <f>NC_DKDD!H34</f>
        <v>#VALUE!</v>
      </c>
      <c r="F44" s="857"/>
      <c r="G44" s="795">
        <f t="shared" si="9"/>
        <v>0</v>
      </c>
      <c r="H44" s="931"/>
      <c r="I44" s="852"/>
      <c r="J44" s="852"/>
      <c r="K44" s="852"/>
      <c r="L44" s="796"/>
      <c r="M44" s="796"/>
      <c r="N44" s="796"/>
      <c r="O44" s="857">
        <f t="shared" si="10"/>
        <v>122.96153846153845</v>
      </c>
      <c r="P44" s="932">
        <f t="shared" si="11"/>
        <v>106.92307692307692</v>
      </c>
      <c r="Q44" s="932">
        <f t="shared" si="12"/>
        <v>16.03846153846154</v>
      </c>
      <c r="R44" s="931">
        <f>NC_DKDD!G34</f>
        <v>0.02</v>
      </c>
    </row>
    <row r="45" spans="1:18" s="837" customFormat="1" ht="32.25" customHeight="1">
      <c r="A45" s="798"/>
      <c r="B45" s="787" t="s">
        <v>582</v>
      </c>
      <c r="C45" s="798"/>
      <c r="D45" s="792"/>
      <c r="E45" s="857"/>
      <c r="F45" s="857"/>
      <c r="G45" s="795"/>
      <c r="H45" s="931"/>
      <c r="I45" s="852"/>
      <c r="J45" s="852"/>
      <c r="K45" s="852"/>
      <c r="L45" s="796"/>
      <c r="M45" s="796"/>
      <c r="N45" s="796"/>
      <c r="O45" s="796"/>
      <c r="P45" s="932"/>
      <c r="Q45" s="932"/>
      <c r="R45" s="931"/>
    </row>
    <row r="46" spans="1:18" s="837" customFormat="1" ht="22.5" customHeight="1">
      <c r="A46" s="791" t="s">
        <v>1010</v>
      </c>
      <c r="B46" s="787" t="s">
        <v>668</v>
      </c>
      <c r="C46" s="798" t="s">
        <v>532</v>
      </c>
      <c r="D46" s="792" t="s">
        <v>187</v>
      </c>
      <c r="E46" s="854" t="e">
        <f>E49+E51+E52+E53+E55+E59+E61+E63+E66+E68+E69+E70+E73+E74+E75+E76+E77+E78</f>
        <v>#VALUE!</v>
      </c>
      <c r="F46" s="857"/>
      <c r="G46" s="795">
        <f t="shared" si="9"/>
        <v>0</v>
      </c>
      <c r="H46" s="931">
        <f>'Dcu-DKDD'!J28/8000</f>
        <v>0.31491246284054486</v>
      </c>
      <c r="I46" s="852">
        <f>'VL-DKDD'!H31/8000</f>
        <v>1.9610775</v>
      </c>
      <c r="J46" s="852">
        <f>'TB-DKDD'!K14/8000</f>
        <v>0.27631749999999999</v>
      </c>
      <c r="K46" s="852">
        <f>'NL-DKDD'!H9/8000</f>
        <v>0.54234599999999999</v>
      </c>
      <c r="L46" s="796" t="e">
        <f>SUM(E46:K46)</f>
        <v>#VALUE!</v>
      </c>
      <c r="M46" s="796" t="e">
        <f>L46*'He so chung'!$D$17/100</f>
        <v>#VALUE!</v>
      </c>
      <c r="N46" s="796" t="e">
        <f>L46+M46</f>
        <v>#VALUE!</v>
      </c>
      <c r="O46" s="854">
        <f>O49+O51+O52+O53+O55+O59+O61+O63+O66+O68+O69+O70+O73+O74+O75+O76+O77+O78</f>
        <v>3891.7326923076921</v>
      </c>
      <c r="P46" s="932">
        <f t="shared" si="11"/>
        <v>3384.1153846153848</v>
      </c>
      <c r="Q46" s="932">
        <f t="shared" si="12"/>
        <v>507.6173076923078</v>
      </c>
      <c r="R46" s="854">
        <f>R49+R51+R52+R53+R55+R59+R61+R63+R66+R68+R69+R70+R73+R74+R75+R76+R77+R78</f>
        <v>0.63300000000000012</v>
      </c>
    </row>
    <row r="47" spans="1:18" s="837" customFormat="1" ht="22.5" customHeight="1">
      <c r="A47" s="791" t="s">
        <v>1011</v>
      </c>
      <c r="B47" s="787" t="s">
        <v>669</v>
      </c>
      <c r="C47" s="798" t="s">
        <v>532</v>
      </c>
      <c r="D47" s="792" t="s">
        <v>187</v>
      </c>
      <c r="E47" s="854" t="e">
        <f>E50+E51+E52+E53+E55+E58+E62+E63+E66+E68+E69+E70+E73+E74+E75+E76+E77+E78</f>
        <v>#VALUE!</v>
      </c>
      <c r="F47" s="857"/>
      <c r="G47" s="795"/>
      <c r="H47" s="931">
        <f>H46</f>
        <v>0.31491246284054486</v>
      </c>
      <c r="I47" s="852">
        <f t="shared" ref="I47:N47" si="13">I46</f>
        <v>1.9610775</v>
      </c>
      <c r="J47" s="852">
        <f t="shared" si="13"/>
        <v>0.27631749999999999</v>
      </c>
      <c r="K47" s="852">
        <f t="shared" si="13"/>
        <v>0.54234599999999999</v>
      </c>
      <c r="L47" s="857" t="e">
        <f t="shared" si="13"/>
        <v>#VALUE!</v>
      </c>
      <c r="M47" s="857" t="e">
        <f t="shared" si="13"/>
        <v>#VALUE!</v>
      </c>
      <c r="N47" s="857" t="e">
        <f t="shared" si="13"/>
        <v>#VALUE!</v>
      </c>
      <c r="O47" s="854">
        <f>O50+O51+O52+O53+O55+O58+O62+O63+O66+O68+O69+O70+O73+O74+O75+O76+O77+O78</f>
        <v>3676.5499999999997</v>
      </c>
      <c r="P47" s="932">
        <f>R47*$P$13</f>
        <v>3197.0000000000009</v>
      </c>
      <c r="Q47" s="932">
        <f>R47*$Q$13</f>
        <v>479.55000000000013</v>
      </c>
      <c r="R47" s="854">
        <f>R50+R51+R52+R53+R55+R58+R62+R63+R66+R68+R69+R70+R73+R74+R75+R76+R77+R78</f>
        <v>0.5980000000000002</v>
      </c>
    </row>
    <row r="48" spans="1:18" s="837" customFormat="1" ht="30.75" customHeight="1">
      <c r="A48" s="798">
        <v>1</v>
      </c>
      <c r="B48" s="799" t="s">
        <v>583</v>
      </c>
      <c r="C48" s="798"/>
      <c r="D48" s="798"/>
      <c r="E48" s="857"/>
      <c r="F48" s="857"/>
      <c r="G48" s="795">
        <f t="shared" si="9"/>
        <v>0</v>
      </c>
      <c r="H48" s="931"/>
      <c r="I48" s="852"/>
      <c r="J48" s="852"/>
      <c r="K48" s="852"/>
      <c r="L48" s="796"/>
      <c r="M48" s="796"/>
      <c r="N48" s="796"/>
      <c r="O48" s="857">
        <f t="shared" si="10"/>
        <v>0</v>
      </c>
      <c r="P48" s="932">
        <f t="shared" si="11"/>
        <v>0</v>
      </c>
      <c r="Q48" s="932">
        <f t="shared" si="12"/>
        <v>0</v>
      </c>
      <c r="R48" s="931">
        <f>NC_DKDD!G36</f>
        <v>0</v>
      </c>
    </row>
    <row r="49" spans="1:18" s="837" customFormat="1" ht="23.25" customHeight="1">
      <c r="A49" s="798" t="s">
        <v>733</v>
      </c>
      <c r="B49" s="799" t="s">
        <v>846</v>
      </c>
      <c r="C49" s="798" t="s">
        <v>532</v>
      </c>
      <c r="D49" s="792" t="s">
        <v>187</v>
      </c>
      <c r="E49" s="857" t="e">
        <f>NC_DKDD!H37</f>
        <v>#VALUE!</v>
      </c>
      <c r="F49" s="857"/>
      <c r="G49" s="795">
        <f t="shared" si="9"/>
        <v>0</v>
      </c>
      <c r="H49" s="931"/>
      <c r="I49" s="852"/>
      <c r="J49" s="852"/>
      <c r="K49" s="852"/>
      <c r="L49" s="796"/>
      <c r="M49" s="796"/>
      <c r="N49" s="796"/>
      <c r="O49" s="857">
        <f t="shared" si="10"/>
        <v>245.92307692307691</v>
      </c>
      <c r="P49" s="932">
        <f t="shared" si="11"/>
        <v>213.84615384615384</v>
      </c>
      <c r="Q49" s="932">
        <f t="shared" si="12"/>
        <v>32.07692307692308</v>
      </c>
      <c r="R49" s="931">
        <f>NC_DKDD!G37</f>
        <v>0.04</v>
      </c>
    </row>
    <row r="50" spans="1:18" s="837" customFormat="1" ht="23.25" customHeight="1">
      <c r="A50" s="798" t="s">
        <v>741</v>
      </c>
      <c r="B50" s="799" t="s">
        <v>849</v>
      </c>
      <c r="C50" s="798" t="s">
        <v>532</v>
      </c>
      <c r="D50" s="792" t="s">
        <v>187</v>
      </c>
      <c r="E50" s="857" t="e">
        <f>NC_DKDD!H38</f>
        <v>#VALUE!</v>
      </c>
      <c r="F50" s="857"/>
      <c r="G50" s="795">
        <f t="shared" si="9"/>
        <v>0</v>
      </c>
      <c r="H50" s="931"/>
      <c r="I50" s="852"/>
      <c r="J50" s="852"/>
      <c r="K50" s="852"/>
      <c r="L50" s="796"/>
      <c r="M50" s="796"/>
      <c r="N50" s="796"/>
      <c r="O50" s="857">
        <f t="shared" si="10"/>
        <v>153.70192307692309</v>
      </c>
      <c r="P50" s="932">
        <f t="shared" si="11"/>
        <v>133.65384615384616</v>
      </c>
      <c r="Q50" s="932">
        <f t="shared" si="12"/>
        <v>20.048076923076923</v>
      </c>
      <c r="R50" s="931">
        <f>NC_DKDD!G38</f>
        <v>2.5000000000000001E-2</v>
      </c>
    </row>
    <row r="51" spans="1:18" s="837" customFormat="1" ht="35.25" customHeight="1">
      <c r="A51" s="798">
        <v>2</v>
      </c>
      <c r="B51" s="799" t="s">
        <v>584</v>
      </c>
      <c r="C51" s="798" t="s">
        <v>532</v>
      </c>
      <c r="D51" s="792" t="s">
        <v>187</v>
      </c>
      <c r="E51" s="857" t="e">
        <f>NC_DKDD!H39</f>
        <v>#VALUE!</v>
      </c>
      <c r="F51" s="857"/>
      <c r="G51" s="795">
        <f t="shared" si="9"/>
        <v>0</v>
      </c>
      <c r="H51" s="931"/>
      <c r="I51" s="852"/>
      <c r="J51" s="852"/>
      <c r="K51" s="852"/>
      <c r="L51" s="796"/>
      <c r="M51" s="796"/>
      <c r="N51" s="796"/>
      <c r="O51" s="857">
        <f t="shared" si="10"/>
        <v>122.96153846153845</v>
      </c>
      <c r="P51" s="932">
        <f t="shared" si="11"/>
        <v>106.92307692307692</v>
      </c>
      <c r="Q51" s="932">
        <f t="shared" si="12"/>
        <v>16.03846153846154</v>
      </c>
      <c r="R51" s="931">
        <f>NC_DKDD!G39</f>
        <v>0.02</v>
      </c>
    </row>
    <row r="52" spans="1:18" s="837" customFormat="1" ht="32.25" customHeight="1">
      <c r="A52" s="798">
        <v>3</v>
      </c>
      <c r="B52" s="799" t="s">
        <v>585</v>
      </c>
      <c r="C52" s="798" t="s">
        <v>532</v>
      </c>
      <c r="D52" s="792" t="s">
        <v>187</v>
      </c>
      <c r="E52" s="857" t="e">
        <f>NC_DKDD!H40</f>
        <v>#VALUE!</v>
      </c>
      <c r="F52" s="857"/>
      <c r="G52" s="795">
        <f t="shared" si="9"/>
        <v>0</v>
      </c>
      <c r="H52" s="931"/>
      <c r="I52" s="852"/>
      <c r="J52" s="852"/>
      <c r="K52" s="852"/>
      <c r="L52" s="796"/>
      <c r="M52" s="796"/>
      <c r="N52" s="796"/>
      <c r="O52" s="857">
        <f t="shared" si="10"/>
        <v>1229.6153846153848</v>
      </c>
      <c r="P52" s="932">
        <f t="shared" si="11"/>
        <v>1069.2307692307693</v>
      </c>
      <c r="Q52" s="932">
        <f t="shared" si="12"/>
        <v>160.38461538461539</v>
      </c>
      <c r="R52" s="931">
        <f>NC_DKDD!G40</f>
        <v>0.2</v>
      </c>
    </row>
    <row r="53" spans="1:18" s="837" customFormat="1" ht="35.25" customHeight="1">
      <c r="A53" s="798">
        <v>4</v>
      </c>
      <c r="B53" s="799" t="s">
        <v>2</v>
      </c>
      <c r="C53" s="798" t="s">
        <v>375</v>
      </c>
      <c r="D53" s="792" t="s">
        <v>187</v>
      </c>
      <c r="E53" s="857" t="e">
        <f>NC_DKDD!H41</f>
        <v>#VALUE!</v>
      </c>
      <c r="F53" s="857"/>
      <c r="G53" s="795">
        <f t="shared" si="9"/>
        <v>0</v>
      </c>
      <c r="H53" s="931"/>
      <c r="I53" s="852"/>
      <c r="J53" s="852"/>
      <c r="K53" s="852"/>
      <c r="L53" s="796"/>
      <c r="M53" s="796"/>
      <c r="N53" s="796"/>
      <c r="O53" s="857">
        <f t="shared" si="10"/>
        <v>36.888461538461534</v>
      </c>
      <c r="P53" s="932">
        <f t="shared" si="11"/>
        <v>32.076923076923073</v>
      </c>
      <c r="Q53" s="932">
        <f t="shared" si="12"/>
        <v>4.8115384615384613</v>
      </c>
      <c r="R53" s="931">
        <f>NC_DKDD!G41</f>
        <v>6.0000000000000001E-3</v>
      </c>
    </row>
    <row r="54" spans="1:18" s="837" customFormat="1" ht="21" customHeight="1">
      <c r="A54" s="798">
        <v>5</v>
      </c>
      <c r="B54" s="799" t="s">
        <v>23</v>
      </c>
      <c r="C54" s="798"/>
      <c r="D54" s="937"/>
      <c r="E54" s="857">
        <f>NC_DKDD!H42</f>
        <v>0</v>
      </c>
      <c r="F54" s="857"/>
      <c r="G54" s="795">
        <f t="shared" si="9"/>
        <v>0</v>
      </c>
      <c r="H54" s="931"/>
      <c r="I54" s="852"/>
      <c r="J54" s="852"/>
      <c r="K54" s="852"/>
      <c r="L54" s="796"/>
      <c r="M54" s="796"/>
      <c r="N54" s="796"/>
      <c r="O54" s="857">
        <f t="shared" si="10"/>
        <v>0</v>
      </c>
      <c r="P54" s="932">
        <f t="shared" si="11"/>
        <v>0</v>
      </c>
      <c r="Q54" s="932">
        <f t="shared" si="12"/>
        <v>0</v>
      </c>
      <c r="R54" s="931">
        <f>NC_DKDD!G42</f>
        <v>0</v>
      </c>
    </row>
    <row r="55" spans="1:18" s="837" customFormat="1" ht="21" customHeight="1">
      <c r="A55" s="798" t="s">
        <v>461</v>
      </c>
      <c r="B55" s="799" t="s">
        <v>587</v>
      </c>
      <c r="C55" s="798" t="s">
        <v>375</v>
      </c>
      <c r="D55" s="792" t="s">
        <v>187</v>
      </c>
      <c r="E55" s="857" t="e">
        <f>NC_DKDD!H43</f>
        <v>#VALUE!</v>
      </c>
      <c r="F55" s="857"/>
      <c r="G55" s="795">
        <f t="shared" si="9"/>
        <v>0</v>
      </c>
      <c r="H55" s="931"/>
      <c r="I55" s="852"/>
      <c r="J55" s="852"/>
      <c r="K55" s="852"/>
      <c r="L55" s="796"/>
      <c r="M55" s="796"/>
      <c r="N55" s="796"/>
      <c r="O55" s="857">
        <f t="shared" si="10"/>
        <v>153.70192307692309</v>
      </c>
      <c r="P55" s="932">
        <f t="shared" si="11"/>
        <v>133.65384615384616</v>
      </c>
      <c r="Q55" s="932">
        <f t="shared" si="12"/>
        <v>20.048076923076923</v>
      </c>
      <c r="R55" s="938">
        <f>NC_DKDD!G43</f>
        <v>2.5000000000000001E-2</v>
      </c>
    </row>
    <row r="56" spans="1:18" s="837" customFormat="1" ht="21" customHeight="1">
      <c r="A56" s="798" t="s">
        <v>462</v>
      </c>
      <c r="B56" s="799" t="s">
        <v>588</v>
      </c>
      <c r="C56" s="798" t="s">
        <v>375</v>
      </c>
      <c r="D56" s="792" t="s">
        <v>187</v>
      </c>
      <c r="E56" s="857" t="e">
        <f>NC_DKDD!H44</f>
        <v>#VALUE!</v>
      </c>
      <c r="F56" s="857"/>
      <c r="G56" s="795">
        <f t="shared" si="9"/>
        <v>0</v>
      </c>
      <c r="H56" s="931"/>
      <c r="I56" s="852"/>
      <c r="J56" s="852"/>
      <c r="K56" s="852"/>
      <c r="L56" s="796"/>
      <c r="M56" s="796"/>
      <c r="N56" s="796"/>
      <c r="O56" s="857">
        <f t="shared" si="10"/>
        <v>307.40384615384619</v>
      </c>
      <c r="P56" s="932">
        <f t="shared" si="11"/>
        <v>267.30769230769232</v>
      </c>
      <c r="Q56" s="932">
        <f t="shared" si="12"/>
        <v>40.096153846153847</v>
      </c>
      <c r="R56" s="938">
        <f>NC_DKDD!G44</f>
        <v>0.05</v>
      </c>
    </row>
    <row r="57" spans="1:18" s="837" customFormat="1" ht="42.75">
      <c r="A57" s="798">
        <v>6</v>
      </c>
      <c r="B57" s="799" t="s">
        <v>589</v>
      </c>
      <c r="C57" s="798"/>
      <c r="D57" s="798"/>
      <c r="E57" s="857">
        <f>NC_DKDD!H45</f>
        <v>0</v>
      </c>
      <c r="F57" s="857"/>
      <c r="G57" s="795">
        <f t="shared" si="9"/>
        <v>0</v>
      </c>
      <c r="H57" s="931"/>
      <c r="I57" s="852"/>
      <c r="J57" s="852"/>
      <c r="K57" s="852"/>
      <c r="L57" s="796"/>
      <c r="M57" s="796"/>
      <c r="N57" s="796"/>
      <c r="O57" s="857">
        <f t="shared" si="10"/>
        <v>0</v>
      </c>
      <c r="P57" s="932">
        <f t="shared" si="11"/>
        <v>0</v>
      </c>
      <c r="Q57" s="932">
        <f t="shared" si="12"/>
        <v>0</v>
      </c>
      <c r="R57" s="938">
        <f>NC_DKDD!G45</f>
        <v>0</v>
      </c>
    </row>
    <row r="58" spans="1:18" s="837" customFormat="1" ht="20.25" customHeight="1">
      <c r="A58" s="798" t="s">
        <v>661</v>
      </c>
      <c r="B58" s="799" t="s">
        <v>590</v>
      </c>
      <c r="C58" s="798" t="s">
        <v>532</v>
      </c>
      <c r="D58" s="792" t="s">
        <v>187</v>
      </c>
      <c r="E58" s="857" t="e">
        <f>NC_DKDD!H46</f>
        <v>#VALUE!</v>
      </c>
      <c r="F58" s="857"/>
      <c r="G58" s="795">
        <f t="shared" si="9"/>
        <v>0</v>
      </c>
      <c r="H58" s="931"/>
      <c r="I58" s="852"/>
      <c r="J58" s="852"/>
      <c r="K58" s="852"/>
      <c r="L58" s="796"/>
      <c r="M58" s="796"/>
      <c r="N58" s="796"/>
      <c r="O58" s="857">
        <f t="shared" si="10"/>
        <v>184.44230769230768</v>
      </c>
      <c r="P58" s="932">
        <f t="shared" si="11"/>
        <v>160.38461538461536</v>
      </c>
      <c r="Q58" s="932">
        <f t="shared" si="12"/>
        <v>24.057692307692307</v>
      </c>
      <c r="R58" s="938">
        <f>NC_DKDD!G46</f>
        <v>0.03</v>
      </c>
    </row>
    <row r="59" spans="1:18" s="837" customFormat="1" ht="20.25" customHeight="1">
      <c r="A59" s="798" t="s">
        <v>662</v>
      </c>
      <c r="B59" s="799" t="s">
        <v>591</v>
      </c>
      <c r="C59" s="798" t="s">
        <v>532</v>
      </c>
      <c r="D59" s="792" t="s">
        <v>187</v>
      </c>
      <c r="E59" s="857" t="e">
        <f>NC_DKDD!H47</f>
        <v>#VALUE!</v>
      </c>
      <c r="F59" s="857"/>
      <c r="G59" s="795">
        <f t="shared" si="9"/>
        <v>0</v>
      </c>
      <c r="H59" s="931"/>
      <c r="I59" s="852"/>
      <c r="J59" s="852"/>
      <c r="K59" s="852"/>
      <c r="L59" s="796"/>
      <c r="M59" s="796"/>
      <c r="N59" s="796"/>
      <c r="O59" s="857">
        <f t="shared" si="10"/>
        <v>245.92307692307691</v>
      </c>
      <c r="P59" s="932">
        <f t="shared" si="11"/>
        <v>213.84615384615384</v>
      </c>
      <c r="Q59" s="932">
        <f t="shared" si="12"/>
        <v>32.07692307692308</v>
      </c>
      <c r="R59" s="938">
        <f>NC_DKDD!G47</f>
        <v>0.04</v>
      </c>
    </row>
    <row r="60" spans="1:18" s="837" customFormat="1" ht="42.75">
      <c r="A60" s="798">
        <v>7</v>
      </c>
      <c r="B60" s="799" t="s">
        <v>592</v>
      </c>
      <c r="C60" s="798"/>
      <c r="D60" s="798"/>
      <c r="E60" s="857">
        <f>NC_DKDD!H48</f>
        <v>0</v>
      </c>
      <c r="F60" s="857"/>
      <c r="G60" s="795">
        <f t="shared" si="9"/>
        <v>0</v>
      </c>
      <c r="H60" s="931"/>
      <c r="I60" s="852"/>
      <c r="J60" s="852"/>
      <c r="K60" s="852"/>
      <c r="L60" s="796"/>
      <c r="M60" s="796"/>
      <c r="N60" s="796"/>
      <c r="O60" s="857">
        <f t="shared" si="10"/>
        <v>0</v>
      </c>
      <c r="P60" s="932">
        <f t="shared" si="11"/>
        <v>0</v>
      </c>
      <c r="Q60" s="932">
        <f t="shared" si="12"/>
        <v>0</v>
      </c>
      <c r="R60" s="938">
        <f>NC_DKDD!G48</f>
        <v>0</v>
      </c>
    </row>
    <row r="61" spans="1:18" s="837" customFormat="1" ht="33" customHeight="1">
      <c r="A61" s="798" t="s">
        <v>714</v>
      </c>
      <c r="B61" s="799" t="s">
        <v>593</v>
      </c>
      <c r="C61" s="798" t="s">
        <v>532</v>
      </c>
      <c r="D61" s="792" t="s">
        <v>187</v>
      </c>
      <c r="E61" s="857" t="e">
        <f>NC_DKDD!H49</f>
        <v>#VALUE!</v>
      </c>
      <c r="F61" s="857"/>
      <c r="G61" s="795">
        <f t="shared" si="9"/>
        <v>0</v>
      </c>
      <c r="H61" s="931"/>
      <c r="I61" s="852"/>
      <c r="J61" s="852"/>
      <c r="K61" s="852"/>
      <c r="L61" s="796"/>
      <c r="M61" s="796"/>
      <c r="N61" s="796"/>
      <c r="O61" s="857">
        <f t="shared" si="10"/>
        <v>245.92307692307691</v>
      </c>
      <c r="P61" s="932">
        <f t="shared" si="11"/>
        <v>213.84615384615384</v>
      </c>
      <c r="Q61" s="932">
        <f t="shared" si="12"/>
        <v>32.07692307692308</v>
      </c>
      <c r="R61" s="931">
        <f>NC_DKDD!G49</f>
        <v>0.04</v>
      </c>
    </row>
    <row r="62" spans="1:18" s="837" customFormat="1" ht="32.25" customHeight="1">
      <c r="A62" s="798" t="s">
        <v>715</v>
      </c>
      <c r="B62" s="799" t="s">
        <v>594</v>
      </c>
      <c r="C62" s="798" t="s">
        <v>532</v>
      </c>
      <c r="D62" s="792" t="s">
        <v>187</v>
      </c>
      <c r="E62" s="857" t="e">
        <f>NC_DKDD!H50</f>
        <v>#VALUE!</v>
      </c>
      <c r="F62" s="857"/>
      <c r="G62" s="795">
        <f t="shared" si="9"/>
        <v>0</v>
      </c>
      <c r="H62" s="931"/>
      <c r="I62" s="852"/>
      <c r="J62" s="852"/>
      <c r="K62" s="852"/>
      <c r="L62" s="796"/>
      <c r="M62" s="796"/>
      <c r="N62" s="796"/>
      <c r="O62" s="857">
        <f t="shared" si="10"/>
        <v>184.44230769230768</v>
      </c>
      <c r="P62" s="932">
        <f t="shared" si="11"/>
        <v>160.38461538461536</v>
      </c>
      <c r="Q62" s="932">
        <f t="shared" si="12"/>
        <v>24.057692307692307</v>
      </c>
      <c r="R62" s="931">
        <f>NC_DKDD!G50</f>
        <v>0.03</v>
      </c>
    </row>
    <row r="63" spans="1:18" s="837" customFormat="1" ht="27.75" customHeight="1">
      <c r="A63" s="798">
        <v>8</v>
      </c>
      <c r="B63" s="799" t="s">
        <v>78</v>
      </c>
      <c r="C63" s="798" t="s">
        <v>375</v>
      </c>
      <c r="D63" s="792" t="s">
        <v>187</v>
      </c>
      <c r="E63" s="857" t="e">
        <f>NC_DKDD!H51</f>
        <v>#VALUE!</v>
      </c>
      <c r="F63" s="857"/>
      <c r="G63" s="795">
        <f t="shared" si="9"/>
        <v>0</v>
      </c>
      <c r="H63" s="931"/>
      <c r="I63" s="852"/>
      <c r="J63" s="852"/>
      <c r="K63" s="852"/>
      <c r="L63" s="796"/>
      <c r="M63" s="796"/>
      <c r="N63" s="796"/>
      <c r="O63" s="857">
        <f t="shared" si="10"/>
        <v>184.44230769230768</v>
      </c>
      <c r="P63" s="932">
        <f t="shared" si="11"/>
        <v>160.38461538461536</v>
      </c>
      <c r="Q63" s="932">
        <f t="shared" si="12"/>
        <v>24.057692307692307</v>
      </c>
      <c r="R63" s="931">
        <f>NC_DKDD!G51</f>
        <v>0.03</v>
      </c>
    </row>
    <row r="64" spans="1:18" s="918" customFormat="1" ht="24.75" customHeight="1">
      <c r="A64" s="939">
        <v>9</v>
      </c>
      <c r="B64" s="940" t="s">
        <v>260</v>
      </c>
      <c r="C64" s="939" t="s">
        <v>376</v>
      </c>
      <c r="D64" s="941" t="s">
        <v>187</v>
      </c>
      <c r="E64" s="942" t="e">
        <f>NC_DKDD!H52</f>
        <v>#VALUE!</v>
      </c>
      <c r="F64" s="942"/>
      <c r="G64" s="943">
        <f t="shared" si="9"/>
        <v>0</v>
      </c>
      <c r="H64" s="944"/>
      <c r="I64" s="945"/>
      <c r="J64" s="945"/>
      <c r="K64" s="945"/>
      <c r="L64" s="946"/>
      <c r="M64" s="946"/>
      <c r="N64" s="946"/>
      <c r="O64" s="942">
        <f t="shared" si="10"/>
        <v>1229.6153846153848</v>
      </c>
      <c r="P64" s="947">
        <f t="shared" si="11"/>
        <v>1069.2307692307693</v>
      </c>
      <c r="Q64" s="947">
        <f t="shared" si="12"/>
        <v>160.38461538461539</v>
      </c>
      <c r="R64" s="944">
        <f>NC_DKDD!G52</f>
        <v>0.2</v>
      </c>
    </row>
    <row r="65" spans="1:18" s="837" customFormat="1" ht="24.75" customHeight="1">
      <c r="A65" s="798">
        <v>10</v>
      </c>
      <c r="B65" s="799" t="s">
        <v>80</v>
      </c>
      <c r="C65" s="798"/>
      <c r="D65" s="798"/>
      <c r="E65" s="857">
        <f>NC_DKDD!H53</f>
        <v>0</v>
      </c>
      <c r="F65" s="857"/>
      <c r="G65" s="795">
        <f t="shared" si="9"/>
        <v>0</v>
      </c>
      <c r="H65" s="931"/>
      <c r="I65" s="852"/>
      <c r="J65" s="852"/>
      <c r="K65" s="852"/>
      <c r="L65" s="796"/>
      <c r="M65" s="796"/>
      <c r="N65" s="796"/>
      <c r="O65" s="857">
        <f t="shared" si="10"/>
        <v>0</v>
      </c>
      <c r="P65" s="932">
        <f t="shared" si="11"/>
        <v>0</v>
      </c>
      <c r="Q65" s="932">
        <f t="shared" si="12"/>
        <v>0</v>
      </c>
      <c r="R65" s="931">
        <f>NC_DKDD!G53</f>
        <v>0</v>
      </c>
    </row>
    <row r="66" spans="1:18" s="837" customFormat="1" ht="24.75" customHeight="1">
      <c r="A66" s="798" t="s">
        <v>81</v>
      </c>
      <c r="B66" s="799" t="s">
        <v>82</v>
      </c>
      <c r="C66" s="798" t="s">
        <v>559</v>
      </c>
      <c r="D66" s="792" t="s">
        <v>187</v>
      </c>
      <c r="E66" s="857" t="e">
        <f>NC_DKDD!H54</f>
        <v>#VALUE!</v>
      </c>
      <c r="F66" s="857"/>
      <c r="G66" s="795">
        <f t="shared" si="9"/>
        <v>0</v>
      </c>
      <c r="H66" s="931"/>
      <c r="I66" s="852"/>
      <c r="J66" s="852"/>
      <c r="K66" s="852"/>
      <c r="L66" s="796"/>
      <c r="M66" s="796"/>
      <c r="N66" s="796"/>
      <c r="O66" s="857">
        <f t="shared" si="10"/>
        <v>307.40384615384619</v>
      </c>
      <c r="P66" s="932">
        <f t="shared" si="11"/>
        <v>267.30769230769232</v>
      </c>
      <c r="Q66" s="932">
        <f t="shared" si="12"/>
        <v>40.096153846153847</v>
      </c>
      <c r="R66" s="931">
        <f>NC_DKDD!G54</f>
        <v>0.05</v>
      </c>
    </row>
    <row r="67" spans="1:18" s="837" customFormat="1" ht="24.75" customHeight="1">
      <c r="A67" s="798" t="s">
        <v>83</v>
      </c>
      <c r="B67" s="799" t="s">
        <v>84</v>
      </c>
      <c r="C67" s="798" t="s">
        <v>559</v>
      </c>
      <c r="D67" s="792" t="s">
        <v>187</v>
      </c>
      <c r="E67" s="857" t="e">
        <f>NC_DKDD!H55</f>
        <v>#VALUE!</v>
      </c>
      <c r="F67" s="857"/>
      <c r="G67" s="795">
        <f t="shared" si="9"/>
        <v>0</v>
      </c>
      <c r="H67" s="931"/>
      <c r="I67" s="852"/>
      <c r="J67" s="852"/>
      <c r="K67" s="852"/>
      <c r="L67" s="796"/>
      <c r="M67" s="796"/>
      <c r="N67" s="796"/>
      <c r="O67" s="857">
        <f t="shared" si="10"/>
        <v>614.80769230769238</v>
      </c>
      <c r="P67" s="932">
        <f t="shared" si="11"/>
        <v>534.61538461538464</v>
      </c>
      <c r="Q67" s="932">
        <f t="shared" si="12"/>
        <v>80.192307692307693</v>
      </c>
      <c r="R67" s="931">
        <f>NC_DKDD!G55</f>
        <v>0.1</v>
      </c>
    </row>
    <row r="68" spans="1:18" s="837" customFormat="1" ht="36" customHeight="1">
      <c r="A68" s="798">
        <v>11</v>
      </c>
      <c r="B68" s="799" t="s">
        <v>85</v>
      </c>
      <c r="C68" s="798" t="s">
        <v>532</v>
      </c>
      <c r="D68" s="792" t="s">
        <v>187</v>
      </c>
      <c r="E68" s="857" t="e">
        <f>NC_DKDD!H56</f>
        <v>#VALUE!</v>
      </c>
      <c r="F68" s="857"/>
      <c r="G68" s="795">
        <f t="shared" si="9"/>
        <v>0</v>
      </c>
      <c r="H68" s="931"/>
      <c r="I68" s="852"/>
      <c r="J68" s="852"/>
      <c r="K68" s="852"/>
      <c r="L68" s="796"/>
      <c r="M68" s="796"/>
      <c r="N68" s="796"/>
      <c r="O68" s="857">
        <f t="shared" si="10"/>
        <v>245.92307692307691</v>
      </c>
      <c r="P68" s="932">
        <f t="shared" si="11"/>
        <v>213.84615384615384</v>
      </c>
      <c r="Q68" s="932">
        <f t="shared" si="12"/>
        <v>32.07692307692308</v>
      </c>
      <c r="R68" s="931">
        <f>NC_DKDD!G56</f>
        <v>0.04</v>
      </c>
    </row>
    <row r="69" spans="1:18" s="837" customFormat="1" ht="28.5">
      <c r="A69" s="798">
        <v>12</v>
      </c>
      <c r="B69" s="799" t="s">
        <v>86</v>
      </c>
      <c r="C69" s="798" t="s">
        <v>532</v>
      </c>
      <c r="D69" s="792" t="s">
        <v>187</v>
      </c>
      <c r="E69" s="857" t="e">
        <f>NC_DKDD!H57</f>
        <v>#VALUE!</v>
      </c>
      <c r="F69" s="857"/>
      <c r="G69" s="795">
        <f t="shared" si="9"/>
        <v>0</v>
      </c>
      <c r="H69" s="931"/>
      <c r="I69" s="852"/>
      <c r="J69" s="852"/>
      <c r="K69" s="852"/>
      <c r="L69" s="796"/>
      <c r="M69" s="796"/>
      <c r="N69" s="796"/>
      <c r="O69" s="857">
        <f t="shared" si="10"/>
        <v>122.96153846153845</v>
      </c>
      <c r="P69" s="932">
        <f t="shared" si="11"/>
        <v>106.92307692307692</v>
      </c>
      <c r="Q69" s="932">
        <f t="shared" si="12"/>
        <v>16.03846153846154</v>
      </c>
      <c r="R69" s="931">
        <f>NC_DKDD!G57</f>
        <v>0.02</v>
      </c>
    </row>
    <row r="70" spans="1:18" s="837" customFormat="1" ht="26.25" customHeight="1">
      <c r="A70" s="798">
        <v>13</v>
      </c>
      <c r="B70" s="799" t="s">
        <v>87</v>
      </c>
      <c r="C70" s="798" t="s">
        <v>375</v>
      </c>
      <c r="D70" s="792" t="s">
        <v>187</v>
      </c>
      <c r="E70" s="857" t="e">
        <f>NC_DKDD!H58</f>
        <v>#VALUE!</v>
      </c>
      <c r="F70" s="857"/>
      <c r="G70" s="795">
        <f t="shared" si="9"/>
        <v>0</v>
      </c>
      <c r="H70" s="931"/>
      <c r="I70" s="852"/>
      <c r="J70" s="852"/>
      <c r="K70" s="852"/>
      <c r="L70" s="796"/>
      <c r="M70" s="796"/>
      <c r="N70" s="796"/>
      <c r="O70" s="857">
        <f t="shared" si="10"/>
        <v>202.88653846153844</v>
      </c>
      <c r="P70" s="932">
        <f t="shared" si="11"/>
        <v>176.42307692307691</v>
      </c>
      <c r="Q70" s="932">
        <f t="shared" si="12"/>
        <v>26.463461538461541</v>
      </c>
      <c r="R70" s="931">
        <f>NC_DKDD!G58</f>
        <v>3.3000000000000002E-2</v>
      </c>
    </row>
    <row r="71" spans="1:18" s="837" customFormat="1" ht="26.25" customHeight="1">
      <c r="A71" s="798">
        <v>14</v>
      </c>
      <c r="B71" s="799" t="s">
        <v>88</v>
      </c>
      <c r="C71" s="798"/>
      <c r="D71" s="798"/>
      <c r="E71" s="857">
        <f>NC_DKDD!H59</f>
        <v>0</v>
      </c>
      <c r="F71" s="857"/>
      <c r="G71" s="795">
        <f t="shared" si="9"/>
        <v>0</v>
      </c>
      <c r="H71" s="931"/>
      <c r="I71" s="852"/>
      <c r="J71" s="852"/>
      <c r="K71" s="852"/>
      <c r="L71" s="796"/>
      <c r="M71" s="796"/>
      <c r="N71" s="796"/>
      <c r="O71" s="857">
        <f t="shared" si="10"/>
        <v>0</v>
      </c>
      <c r="P71" s="932">
        <f t="shared" si="11"/>
        <v>0</v>
      </c>
      <c r="Q71" s="932">
        <f t="shared" si="12"/>
        <v>0</v>
      </c>
      <c r="R71" s="931">
        <f>NC_DKDD!G59</f>
        <v>0</v>
      </c>
    </row>
    <row r="72" spans="1:18" s="837" customFormat="1" ht="28.5">
      <c r="A72" s="798" t="s">
        <v>860</v>
      </c>
      <c r="B72" s="799" t="s">
        <v>775</v>
      </c>
      <c r="C72" s="798"/>
      <c r="D72" s="798"/>
      <c r="E72" s="857">
        <f>NC_DKDD!H60</f>
        <v>0</v>
      </c>
      <c r="F72" s="857"/>
      <c r="G72" s="795">
        <f t="shared" si="9"/>
        <v>0</v>
      </c>
      <c r="H72" s="931"/>
      <c r="I72" s="852"/>
      <c r="J72" s="852"/>
      <c r="K72" s="852"/>
      <c r="L72" s="796"/>
      <c r="M72" s="796"/>
      <c r="N72" s="796"/>
      <c r="O72" s="857">
        <f t="shared" si="10"/>
        <v>0</v>
      </c>
      <c r="P72" s="932">
        <f t="shared" si="11"/>
        <v>0</v>
      </c>
      <c r="Q72" s="932">
        <f t="shared" si="12"/>
        <v>0</v>
      </c>
      <c r="R72" s="931"/>
    </row>
    <row r="73" spans="1:18" s="837" customFormat="1" ht="26.25" customHeight="1">
      <c r="A73" s="798" t="s">
        <v>776</v>
      </c>
      <c r="B73" s="799" t="s">
        <v>777</v>
      </c>
      <c r="C73" s="798" t="s">
        <v>377</v>
      </c>
      <c r="D73" s="792" t="s">
        <v>187</v>
      </c>
      <c r="E73" s="857" t="e">
        <f>NC_DKDD!H61</f>
        <v>#VALUE!</v>
      </c>
      <c r="F73" s="857"/>
      <c r="G73" s="795">
        <f t="shared" si="9"/>
        <v>0</v>
      </c>
      <c r="H73" s="931"/>
      <c r="I73" s="852"/>
      <c r="J73" s="852"/>
      <c r="K73" s="852"/>
      <c r="L73" s="796"/>
      <c r="M73" s="796"/>
      <c r="N73" s="796"/>
      <c r="O73" s="857">
        <f t="shared" si="10"/>
        <v>98.369230769230768</v>
      </c>
      <c r="P73" s="932">
        <f t="shared" si="11"/>
        <v>85.538461538461533</v>
      </c>
      <c r="Q73" s="932">
        <f t="shared" si="12"/>
        <v>12.830769230769231</v>
      </c>
      <c r="R73" s="931">
        <f>NC_DKDD!G61</f>
        <v>1.6E-2</v>
      </c>
    </row>
    <row r="74" spans="1:18" s="837" customFormat="1" ht="26.25" customHeight="1">
      <c r="A74" s="798" t="s">
        <v>780</v>
      </c>
      <c r="B74" s="799" t="s">
        <v>781</v>
      </c>
      <c r="C74" s="798" t="s">
        <v>377</v>
      </c>
      <c r="D74" s="792" t="s">
        <v>187</v>
      </c>
      <c r="E74" s="857" t="e">
        <f>NC_DKDD!H62</f>
        <v>#VALUE!</v>
      </c>
      <c r="F74" s="857"/>
      <c r="G74" s="795">
        <f t="shared" si="9"/>
        <v>0</v>
      </c>
      <c r="H74" s="931"/>
      <c r="I74" s="852"/>
      <c r="J74" s="852"/>
      <c r="K74" s="852"/>
      <c r="L74" s="796"/>
      <c r="M74" s="796"/>
      <c r="N74" s="796"/>
      <c r="O74" s="857">
        <f t="shared" si="10"/>
        <v>49.184615384615384</v>
      </c>
      <c r="P74" s="932">
        <f t="shared" si="11"/>
        <v>42.769230769230766</v>
      </c>
      <c r="Q74" s="932">
        <f t="shared" si="12"/>
        <v>6.4153846153846157</v>
      </c>
      <c r="R74" s="931">
        <f>NC_DKDD!G62</f>
        <v>8.0000000000000002E-3</v>
      </c>
    </row>
    <row r="75" spans="1:18" s="837" customFormat="1" ht="28.5">
      <c r="A75" s="798" t="s">
        <v>782</v>
      </c>
      <c r="B75" s="799" t="s">
        <v>861</v>
      </c>
      <c r="C75" s="798" t="s">
        <v>377</v>
      </c>
      <c r="D75" s="792" t="s">
        <v>187</v>
      </c>
      <c r="E75" s="857" t="e">
        <f>NC_DKDD!H63</f>
        <v>#VALUE!</v>
      </c>
      <c r="F75" s="857"/>
      <c r="G75" s="795">
        <f t="shared" si="9"/>
        <v>0</v>
      </c>
      <c r="H75" s="931"/>
      <c r="I75" s="852"/>
      <c r="J75" s="852"/>
      <c r="K75" s="852"/>
      <c r="L75" s="796"/>
      <c r="M75" s="796"/>
      <c r="N75" s="796"/>
      <c r="O75" s="857">
        <f t="shared" si="10"/>
        <v>24.592307692307692</v>
      </c>
      <c r="P75" s="932">
        <f t="shared" si="11"/>
        <v>21.384615384615383</v>
      </c>
      <c r="Q75" s="932">
        <f t="shared" si="12"/>
        <v>3.2076923076923078</v>
      </c>
      <c r="R75" s="931">
        <f>NC_DKDD!G63</f>
        <v>4.0000000000000001E-3</v>
      </c>
    </row>
    <row r="76" spans="1:18" s="837" customFormat="1" ht="28.5">
      <c r="A76" s="798" t="s">
        <v>862</v>
      </c>
      <c r="B76" s="799" t="s">
        <v>863</v>
      </c>
      <c r="C76" s="798" t="s">
        <v>375</v>
      </c>
      <c r="D76" s="792" t="s">
        <v>187</v>
      </c>
      <c r="E76" s="857" t="e">
        <f>NC_DKDD!H64</f>
        <v>#VALUE!</v>
      </c>
      <c r="F76" s="857"/>
      <c r="G76" s="795">
        <f t="shared" si="9"/>
        <v>0</v>
      </c>
      <c r="H76" s="931"/>
      <c r="I76" s="852"/>
      <c r="J76" s="852"/>
      <c r="K76" s="852"/>
      <c r="L76" s="796"/>
      <c r="M76" s="796"/>
      <c r="N76" s="796"/>
      <c r="O76" s="857">
        <f t="shared" si="10"/>
        <v>61.480769230769226</v>
      </c>
      <c r="P76" s="932">
        <f t="shared" si="11"/>
        <v>53.46153846153846</v>
      </c>
      <c r="Q76" s="932">
        <f t="shared" si="12"/>
        <v>8.0192307692307701</v>
      </c>
      <c r="R76" s="931">
        <f>NC_DKDD!G64</f>
        <v>0.01</v>
      </c>
    </row>
    <row r="77" spans="1:18" s="837" customFormat="1" ht="42.75">
      <c r="A77" s="798">
        <v>15</v>
      </c>
      <c r="B77" s="799" t="s">
        <v>336</v>
      </c>
      <c r="C77" s="798" t="s">
        <v>532</v>
      </c>
      <c r="D77" s="792" t="s">
        <v>187</v>
      </c>
      <c r="E77" s="857" t="e">
        <f>NC_DKDD!H65</f>
        <v>#VALUE!</v>
      </c>
      <c r="F77" s="857"/>
      <c r="G77" s="795">
        <f t="shared" si="9"/>
        <v>0</v>
      </c>
      <c r="H77" s="931"/>
      <c r="I77" s="852"/>
      <c r="J77" s="852"/>
      <c r="K77" s="852"/>
      <c r="L77" s="796"/>
      <c r="M77" s="796"/>
      <c r="N77" s="796"/>
      <c r="O77" s="857">
        <f t="shared" si="10"/>
        <v>307.40384615384619</v>
      </c>
      <c r="P77" s="932">
        <f t="shared" si="11"/>
        <v>267.30769230769232</v>
      </c>
      <c r="Q77" s="932">
        <f t="shared" si="12"/>
        <v>40.096153846153847</v>
      </c>
      <c r="R77" s="931">
        <f>NC_DKDD!G65</f>
        <v>0.05</v>
      </c>
    </row>
    <row r="78" spans="1:18" s="837" customFormat="1" ht="30" customHeight="1">
      <c r="A78" s="798">
        <v>16</v>
      </c>
      <c r="B78" s="799" t="s">
        <v>337</v>
      </c>
      <c r="C78" s="798" t="s">
        <v>532</v>
      </c>
      <c r="D78" s="792" t="s">
        <v>187</v>
      </c>
      <c r="E78" s="857" t="e">
        <f>NC_DKDD!H66/8000</f>
        <v>#VALUE!</v>
      </c>
      <c r="F78" s="857"/>
      <c r="G78" s="795">
        <f t="shared" si="9"/>
        <v>0</v>
      </c>
      <c r="H78" s="931"/>
      <c r="I78" s="852"/>
      <c r="J78" s="852"/>
      <c r="K78" s="852"/>
      <c r="L78" s="796"/>
      <c r="M78" s="796"/>
      <c r="N78" s="796"/>
      <c r="O78" s="857">
        <f t="shared" si="10"/>
        <v>6.148076923076923</v>
      </c>
      <c r="P78" s="932">
        <f t="shared" si="11"/>
        <v>5.3461538461538458</v>
      </c>
      <c r="Q78" s="932">
        <f t="shared" si="12"/>
        <v>0.80192307692307696</v>
      </c>
      <c r="R78" s="933">
        <f>NC_DKDD!G66/8000</f>
        <v>1E-3</v>
      </c>
    </row>
    <row r="79" spans="1:18" s="837" customFormat="1" ht="32.25" customHeight="1">
      <c r="A79" s="791" t="s">
        <v>755</v>
      </c>
      <c r="B79" s="787" t="s">
        <v>339</v>
      </c>
      <c r="C79" s="798"/>
      <c r="D79" s="792"/>
      <c r="E79" s="857"/>
      <c r="F79" s="857"/>
      <c r="G79" s="795"/>
      <c r="H79" s="931"/>
      <c r="I79" s="852"/>
      <c r="J79" s="852"/>
      <c r="K79" s="852"/>
      <c r="L79" s="796"/>
      <c r="M79" s="796"/>
      <c r="N79" s="796"/>
      <c r="O79" s="796"/>
      <c r="P79" s="932"/>
      <c r="Q79" s="932"/>
      <c r="R79" s="933"/>
    </row>
    <row r="80" spans="1:18" s="837" customFormat="1" ht="24" customHeight="1">
      <c r="A80" s="791" t="s">
        <v>1012</v>
      </c>
      <c r="B80" s="787" t="s">
        <v>668</v>
      </c>
      <c r="C80" s="798"/>
      <c r="D80" s="798"/>
      <c r="E80" s="854" t="e">
        <f>SUM(E82:E88)</f>
        <v>#VALUE!</v>
      </c>
      <c r="F80" s="857"/>
      <c r="G80" s="795">
        <f t="shared" si="9"/>
        <v>0</v>
      </c>
      <c r="H80" s="931">
        <f>'Dcu-DKDD'!L28/8000</f>
        <v>7.8276983273237177E-2</v>
      </c>
      <c r="I80" s="852">
        <f>'VL-DKDD'!J31/8000</f>
        <v>1.2918150000000002</v>
      </c>
      <c r="J80" s="852">
        <f>'TB-DKDD'!M14/8000</f>
        <v>0.1204575</v>
      </c>
      <c r="K80" s="852">
        <f>'NL-DKDD'!J9/8000</f>
        <v>0.22649549999999999</v>
      </c>
      <c r="L80" s="796" t="e">
        <f>SUM(E80:K80)</f>
        <v>#VALUE!</v>
      </c>
      <c r="M80" s="796" t="e">
        <f>L80*'He so chung'!$D$17/100</f>
        <v>#VALUE!</v>
      </c>
      <c r="N80" s="796" t="e">
        <f>L80+M80</f>
        <v>#VALUE!</v>
      </c>
      <c r="O80" s="854">
        <f>SUM(O82:O88)</f>
        <v>453.42067307692304</v>
      </c>
      <c r="P80" s="932">
        <f t="shared" si="11"/>
        <v>394.27884615384619</v>
      </c>
      <c r="Q80" s="932">
        <f t="shared" si="12"/>
        <v>59.141826923076927</v>
      </c>
      <c r="R80" s="854">
        <f>SUM(R82:R88)</f>
        <v>7.375000000000001E-2</v>
      </c>
    </row>
    <row r="81" spans="1:18" s="837" customFormat="1" ht="24" customHeight="1">
      <c r="A81" s="791" t="s">
        <v>1013</v>
      </c>
      <c r="B81" s="787" t="s">
        <v>669</v>
      </c>
      <c r="C81" s="798"/>
      <c r="D81" s="798"/>
      <c r="E81" s="854" t="e">
        <f>SUM(E82:E88)</f>
        <v>#VALUE!</v>
      </c>
      <c r="F81" s="857"/>
      <c r="G81" s="795"/>
      <c r="H81" s="931">
        <f>H80</f>
        <v>7.8276983273237177E-2</v>
      </c>
      <c r="I81" s="852">
        <f t="shared" ref="I81:N81" si="14">I80</f>
        <v>1.2918150000000002</v>
      </c>
      <c r="J81" s="852">
        <f t="shared" si="14"/>
        <v>0.1204575</v>
      </c>
      <c r="K81" s="852">
        <f t="shared" si="14"/>
        <v>0.22649549999999999</v>
      </c>
      <c r="L81" s="796" t="e">
        <f t="shared" si="14"/>
        <v>#VALUE!</v>
      </c>
      <c r="M81" s="857" t="e">
        <f>M80</f>
        <v>#VALUE!</v>
      </c>
      <c r="N81" s="857" t="e">
        <f t="shared" si="14"/>
        <v>#VALUE!</v>
      </c>
      <c r="O81" s="854">
        <f>SUM(O82:O88)</f>
        <v>453.42067307692304</v>
      </c>
      <c r="P81" s="932">
        <f>R81*$P$13</f>
        <v>394.27884615384619</v>
      </c>
      <c r="Q81" s="932">
        <f>R81*$Q$13</f>
        <v>59.141826923076927</v>
      </c>
      <c r="R81" s="854">
        <f>SUM(R82:R88)</f>
        <v>7.375000000000001E-2</v>
      </c>
    </row>
    <row r="82" spans="1:18" s="837" customFormat="1" ht="27" customHeight="1">
      <c r="A82" s="798">
        <v>1</v>
      </c>
      <c r="B82" s="799" t="s">
        <v>530</v>
      </c>
      <c r="C82" s="798"/>
      <c r="D82" s="798"/>
      <c r="E82" s="857"/>
      <c r="F82" s="857"/>
      <c r="G82" s="795">
        <f t="shared" si="9"/>
        <v>0</v>
      </c>
      <c r="H82" s="931"/>
      <c r="I82" s="852"/>
      <c r="J82" s="852"/>
      <c r="K82" s="852"/>
      <c r="L82" s="796"/>
      <c r="M82" s="796"/>
      <c r="N82" s="796"/>
      <c r="O82" s="857">
        <f t="shared" si="10"/>
        <v>0</v>
      </c>
      <c r="P82" s="932">
        <f t="shared" si="11"/>
        <v>0</v>
      </c>
      <c r="Q82" s="932">
        <f t="shared" si="12"/>
        <v>0</v>
      </c>
      <c r="R82" s="931"/>
    </row>
    <row r="83" spans="1:18" s="837" customFormat="1" ht="28.5">
      <c r="A83" s="798" t="s">
        <v>733</v>
      </c>
      <c r="B83" s="799" t="s">
        <v>340</v>
      </c>
      <c r="C83" s="798" t="s">
        <v>532</v>
      </c>
      <c r="D83" s="792" t="s">
        <v>187</v>
      </c>
      <c r="E83" s="857" t="e">
        <f>NC_DKDD!H69/8000</f>
        <v>#VALUE!</v>
      </c>
      <c r="F83" s="857"/>
      <c r="G83" s="795">
        <f t="shared" si="9"/>
        <v>0</v>
      </c>
      <c r="H83" s="931"/>
      <c r="I83" s="852"/>
      <c r="J83" s="852"/>
      <c r="K83" s="852"/>
      <c r="L83" s="796"/>
      <c r="M83" s="796"/>
      <c r="N83" s="796"/>
      <c r="O83" s="857">
        <f t="shared" si="10"/>
        <v>230.55288461538458</v>
      </c>
      <c r="P83" s="932">
        <f t="shared" si="11"/>
        <v>200.4807692307692</v>
      </c>
      <c r="Q83" s="932">
        <f t="shared" si="12"/>
        <v>30.072115384615383</v>
      </c>
      <c r="R83" s="931">
        <f>NC_DKDD!G69/8000</f>
        <v>3.7499999999999999E-2</v>
      </c>
    </row>
    <row r="84" spans="1:18" s="837" customFormat="1" ht="26.25" customHeight="1">
      <c r="A84" s="798" t="s">
        <v>741</v>
      </c>
      <c r="B84" s="799" t="s">
        <v>343</v>
      </c>
      <c r="C84" s="798" t="s">
        <v>375</v>
      </c>
      <c r="D84" s="792" t="s">
        <v>187</v>
      </c>
      <c r="E84" s="857" t="e">
        <f>NC_DKDD!H70</f>
        <v>#VALUE!</v>
      </c>
      <c r="F84" s="857"/>
      <c r="G84" s="795">
        <f t="shared" si="9"/>
        <v>0</v>
      </c>
      <c r="H84" s="931"/>
      <c r="I84" s="852"/>
      <c r="J84" s="852"/>
      <c r="K84" s="852"/>
      <c r="L84" s="796"/>
      <c r="M84" s="796"/>
      <c r="N84" s="796"/>
      <c r="O84" s="857">
        <f t="shared" si="10"/>
        <v>61.480769230769226</v>
      </c>
      <c r="P84" s="932">
        <f t="shared" si="11"/>
        <v>53.46153846153846</v>
      </c>
      <c r="Q84" s="932">
        <f t="shared" si="12"/>
        <v>8.0192307692307701</v>
      </c>
      <c r="R84" s="931">
        <f>NC_DKDD!G70</f>
        <v>0.01</v>
      </c>
    </row>
    <row r="85" spans="1:18" s="837" customFormat="1" ht="28.5">
      <c r="A85" s="798">
        <v>2</v>
      </c>
      <c r="B85" s="799" t="s">
        <v>344</v>
      </c>
      <c r="C85" s="798"/>
      <c r="D85" s="798"/>
      <c r="E85" s="857">
        <f>NC_DKDD!H71</f>
        <v>0</v>
      </c>
      <c r="F85" s="857"/>
      <c r="G85" s="795">
        <f t="shared" si="9"/>
        <v>0</v>
      </c>
      <c r="H85" s="931"/>
      <c r="I85" s="852"/>
      <c r="J85" s="852"/>
      <c r="K85" s="852"/>
      <c r="L85" s="796"/>
      <c r="M85" s="796"/>
      <c r="N85" s="796"/>
      <c r="O85" s="857">
        <f t="shared" si="10"/>
        <v>0</v>
      </c>
      <c r="P85" s="932">
        <f t="shared" si="11"/>
        <v>0</v>
      </c>
      <c r="Q85" s="932">
        <f t="shared" si="12"/>
        <v>0</v>
      </c>
      <c r="R85" s="931"/>
    </row>
    <row r="86" spans="1:18" s="837" customFormat="1" ht="27" customHeight="1">
      <c r="A86" s="798" t="s">
        <v>742</v>
      </c>
      <c r="B86" s="799" t="s">
        <v>345</v>
      </c>
      <c r="C86" s="798" t="s">
        <v>495</v>
      </c>
      <c r="D86" s="792" t="s">
        <v>187</v>
      </c>
      <c r="E86" s="857" t="e">
        <f>NC_DKDD!H72/60</f>
        <v>#VALUE!</v>
      </c>
      <c r="F86" s="857"/>
      <c r="G86" s="795">
        <f t="shared" si="9"/>
        <v>0</v>
      </c>
      <c r="H86" s="931"/>
      <c r="I86" s="852"/>
      <c r="J86" s="852"/>
      <c r="K86" s="852"/>
      <c r="L86" s="796"/>
      <c r="M86" s="796"/>
      <c r="N86" s="796"/>
      <c r="O86" s="857">
        <f t="shared" si="10"/>
        <v>153.70192307692309</v>
      </c>
      <c r="P86" s="932">
        <f t="shared" si="11"/>
        <v>133.65384615384616</v>
      </c>
      <c r="Q86" s="932">
        <f t="shared" si="12"/>
        <v>20.048076923076923</v>
      </c>
      <c r="R86" s="933">
        <f>NC_DKDD!G72</f>
        <v>2.5000000000000001E-2</v>
      </c>
    </row>
    <row r="87" spans="1:18" s="837" customFormat="1" ht="27" customHeight="1">
      <c r="A87" s="798" t="s">
        <v>743</v>
      </c>
      <c r="B87" s="799" t="s">
        <v>346</v>
      </c>
      <c r="C87" s="798" t="s">
        <v>532</v>
      </c>
      <c r="D87" s="792" t="s">
        <v>187</v>
      </c>
      <c r="E87" s="857" t="e">
        <f>NC_DKDD!H73/8000</f>
        <v>#VALUE!</v>
      </c>
      <c r="F87" s="857"/>
      <c r="G87" s="795">
        <f t="shared" si="9"/>
        <v>0</v>
      </c>
      <c r="H87" s="931"/>
      <c r="I87" s="852"/>
      <c r="J87" s="852"/>
      <c r="K87" s="852"/>
      <c r="L87" s="796"/>
      <c r="M87" s="796"/>
      <c r="N87" s="796"/>
      <c r="O87" s="857">
        <f t="shared" si="10"/>
        <v>1.5370192307692307</v>
      </c>
      <c r="P87" s="932">
        <f t="shared" si="11"/>
        <v>1.3365384615384615</v>
      </c>
      <c r="Q87" s="932">
        <f t="shared" si="12"/>
        <v>0.20048076923076924</v>
      </c>
      <c r="R87" s="933">
        <f>NC_DKDD!G73/8000</f>
        <v>2.5000000000000001E-4</v>
      </c>
    </row>
    <row r="88" spans="1:18" s="837" customFormat="1" ht="28.5">
      <c r="A88" s="798">
        <v>3</v>
      </c>
      <c r="B88" s="799" t="s">
        <v>347</v>
      </c>
      <c r="C88" s="798" t="s">
        <v>532</v>
      </c>
      <c r="D88" s="792" t="s">
        <v>187</v>
      </c>
      <c r="E88" s="857" t="e">
        <f>NC_DKDD!H74/8000</f>
        <v>#VALUE!</v>
      </c>
      <c r="F88" s="857"/>
      <c r="G88" s="795">
        <f t="shared" si="9"/>
        <v>0</v>
      </c>
      <c r="H88" s="931"/>
      <c r="I88" s="852"/>
      <c r="J88" s="852"/>
      <c r="K88" s="852"/>
      <c r="L88" s="796"/>
      <c r="M88" s="796"/>
      <c r="N88" s="796"/>
      <c r="O88" s="857">
        <f t="shared" si="10"/>
        <v>6.148076923076923</v>
      </c>
      <c r="P88" s="932">
        <f t="shared" si="11"/>
        <v>5.3461538461538458</v>
      </c>
      <c r="Q88" s="932">
        <f t="shared" si="12"/>
        <v>0.80192307692307696</v>
      </c>
      <c r="R88" s="933">
        <f>NC_DKDD!G74/8000</f>
        <v>1E-3</v>
      </c>
    </row>
    <row r="89" spans="1:18" ht="25.5" customHeight="1">
      <c r="A89" s="437"/>
      <c r="B89" s="948" t="s">
        <v>533</v>
      </c>
      <c r="C89" s="439"/>
      <c r="D89" s="437"/>
      <c r="E89" s="803"/>
      <c r="F89" s="803"/>
      <c r="G89" s="804"/>
      <c r="H89" s="803"/>
      <c r="I89" s="803"/>
      <c r="J89" s="805"/>
      <c r="K89" s="805"/>
      <c r="L89" s="805"/>
      <c r="M89" s="419"/>
      <c r="N89" s="419"/>
      <c r="O89" s="442"/>
      <c r="P89" s="420"/>
      <c r="Q89" s="420"/>
    </row>
    <row r="90" spans="1:18" ht="27.75" customHeight="1">
      <c r="A90" s="455"/>
      <c r="B90" s="1097" t="s">
        <v>833</v>
      </c>
      <c r="C90" s="1097"/>
      <c r="D90" s="1097"/>
      <c r="E90" s="1097"/>
      <c r="F90" s="1097"/>
      <c r="G90" s="1097"/>
      <c r="H90" s="1097"/>
      <c r="I90" s="1097"/>
      <c r="J90" s="1097"/>
      <c r="K90" s="1097"/>
      <c r="L90" s="1097"/>
      <c r="M90" s="1097"/>
      <c r="N90" s="1097"/>
      <c r="O90" s="1097"/>
      <c r="P90" s="420"/>
      <c r="Q90" s="420"/>
    </row>
    <row r="91" spans="1:18" ht="27.75" customHeight="1">
      <c r="A91" s="455"/>
      <c r="B91" s="1069" t="s">
        <v>744</v>
      </c>
      <c r="C91" s="1069"/>
      <c r="D91" s="1069"/>
      <c r="E91" s="1069"/>
      <c r="F91" s="1069"/>
      <c r="G91" s="1069"/>
      <c r="H91" s="1069"/>
      <c r="I91" s="1069"/>
      <c r="J91" s="1069"/>
      <c r="K91" s="1069"/>
      <c r="L91" s="1069"/>
      <c r="M91" s="1069"/>
      <c r="N91" s="1069"/>
      <c r="O91" s="1069"/>
      <c r="P91" s="420"/>
      <c r="Q91" s="420"/>
    </row>
    <row r="92" spans="1:18" ht="34.5" customHeight="1">
      <c r="A92" s="455"/>
      <c r="B92" s="1069" t="s">
        <v>97</v>
      </c>
      <c r="C92" s="1069"/>
      <c r="D92" s="1069"/>
      <c r="E92" s="1069"/>
      <c r="F92" s="1069"/>
      <c r="G92" s="1069"/>
      <c r="H92" s="1069"/>
      <c r="I92" s="1069"/>
      <c r="J92" s="1069"/>
      <c r="K92" s="1069"/>
      <c r="L92" s="1069"/>
      <c r="M92" s="1069"/>
      <c r="N92" s="1069"/>
      <c r="O92" s="1069"/>
      <c r="P92" s="420"/>
      <c r="Q92" s="420"/>
    </row>
    <row r="93" spans="1:18" ht="34.5" customHeight="1">
      <c r="A93" s="455"/>
      <c r="B93" s="1069" t="s">
        <v>98</v>
      </c>
      <c r="C93" s="1069"/>
      <c r="D93" s="1069"/>
      <c r="E93" s="1069"/>
      <c r="F93" s="1069"/>
      <c r="G93" s="1069"/>
      <c r="H93" s="1069"/>
      <c r="I93" s="1069"/>
      <c r="J93" s="1069"/>
      <c r="K93" s="1069"/>
      <c r="L93" s="1069"/>
      <c r="M93" s="1069"/>
      <c r="N93" s="1069"/>
      <c r="O93" s="1069"/>
      <c r="P93" s="420"/>
      <c r="Q93" s="420"/>
    </row>
    <row r="94" spans="1:18" ht="34.5" customHeight="1">
      <c r="A94" s="455"/>
      <c r="B94" s="1069" t="s">
        <v>99</v>
      </c>
      <c r="C94" s="1069"/>
      <c r="D94" s="1069"/>
      <c r="E94" s="1069"/>
      <c r="F94" s="1069"/>
      <c r="G94" s="1069"/>
      <c r="H94" s="1069"/>
      <c r="I94" s="1069"/>
      <c r="J94" s="1069"/>
      <c r="K94" s="1069"/>
      <c r="L94" s="1069"/>
      <c r="M94" s="1069"/>
      <c r="N94" s="1069"/>
      <c r="O94" s="1069"/>
      <c r="P94" s="420"/>
      <c r="Q94" s="420"/>
    </row>
    <row r="95" spans="1:18" ht="42.75" customHeight="1">
      <c r="A95" s="455"/>
      <c r="B95" s="1069" t="s">
        <v>507</v>
      </c>
      <c r="C95" s="1069"/>
      <c r="D95" s="1069"/>
      <c r="E95" s="1069"/>
      <c r="F95" s="1069"/>
      <c r="G95" s="1069"/>
      <c r="H95" s="1069"/>
      <c r="I95" s="1069"/>
      <c r="J95" s="1069"/>
      <c r="K95" s="1069"/>
      <c r="L95" s="1069"/>
      <c r="M95" s="1069"/>
      <c r="N95" s="1069"/>
      <c r="O95" s="1069"/>
      <c r="P95" s="420"/>
      <c r="Q95" s="420"/>
    </row>
    <row r="96" spans="1:18" ht="42.75" customHeight="1">
      <c r="A96" s="455"/>
      <c r="B96" s="1098" t="s">
        <v>5</v>
      </c>
      <c r="C96" s="1098"/>
      <c r="D96" s="1098"/>
      <c r="E96" s="1098"/>
      <c r="F96" s="1098"/>
      <c r="G96" s="1098"/>
      <c r="H96" s="1098"/>
      <c r="I96" s="1098"/>
      <c r="J96" s="1098"/>
      <c r="K96" s="1098"/>
      <c r="L96" s="1098"/>
      <c r="M96" s="1098"/>
      <c r="N96" s="1098"/>
      <c r="O96" s="1098"/>
      <c r="P96" s="420"/>
      <c r="Q96" s="420"/>
    </row>
    <row r="97" spans="1:18" ht="42" customHeight="1">
      <c r="A97" s="1070" t="s">
        <v>717</v>
      </c>
      <c r="B97" s="1070"/>
      <c r="C97" s="1070"/>
      <c r="D97" s="1070"/>
      <c r="E97" s="1070"/>
      <c r="F97" s="1070"/>
      <c r="G97" s="1070"/>
      <c r="H97" s="1070"/>
      <c r="I97" s="1070"/>
      <c r="J97" s="1070"/>
      <c r="K97" s="1070"/>
      <c r="L97" s="1070"/>
      <c r="M97" s="1070"/>
      <c r="N97" s="1070"/>
      <c r="O97" s="1070"/>
    </row>
    <row r="98" spans="1:18" s="421" customFormat="1" ht="19.5" customHeight="1">
      <c r="A98" s="414"/>
      <c r="B98" s="926"/>
      <c r="C98" s="776"/>
      <c r="D98" s="777" t="s">
        <v>430</v>
      </c>
      <c r="E98" s="419"/>
      <c r="F98" s="778"/>
      <c r="G98" s="779"/>
      <c r="H98" s="778"/>
      <c r="I98" s="780"/>
      <c r="J98" s="778"/>
      <c r="K98" s="778"/>
      <c r="L98" s="781" t="s">
        <v>262</v>
      </c>
      <c r="M98" s="778"/>
      <c r="N98" s="780"/>
      <c r="O98" s="419"/>
      <c r="P98" s="420"/>
      <c r="Q98" s="420"/>
      <c r="R98" s="420"/>
    </row>
    <row r="99" spans="1:18" s="421" customFormat="1" ht="7.5" customHeight="1">
      <c r="A99" s="414"/>
      <c r="B99" s="926"/>
      <c r="C99" s="776"/>
      <c r="D99" s="821"/>
      <c r="E99" s="419"/>
      <c r="F99" s="419"/>
      <c r="G99" s="822"/>
      <c r="H99" s="419"/>
      <c r="I99" s="419"/>
      <c r="J99" s="419"/>
      <c r="K99" s="419"/>
      <c r="L99" s="419"/>
      <c r="M99" s="419"/>
      <c r="N99" s="419"/>
      <c r="O99" s="419"/>
      <c r="P99" s="420"/>
      <c r="Q99" s="420"/>
      <c r="R99" s="420"/>
    </row>
    <row r="100" spans="1:18" s="824" customFormat="1" ht="23.25" customHeight="1">
      <c r="A100" s="1068" t="s">
        <v>718</v>
      </c>
      <c r="B100" s="1068" t="s">
        <v>198</v>
      </c>
      <c r="C100" s="1071" t="s">
        <v>263</v>
      </c>
      <c r="D100" s="1071" t="s">
        <v>264</v>
      </c>
      <c r="E100" s="1071" t="s">
        <v>683</v>
      </c>
      <c r="F100" s="1071"/>
      <c r="G100" s="1071"/>
      <c r="H100" s="1071"/>
      <c r="I100" s="1071"/>
      <c r="J100" s="1071"/>
      <c r="K100" s="1071"/>
      <c r="L100" s="1071"/>
      <c r="M100" s="1071" t="s">
        <v>435</v>
      </c>
      <c r="N100" s="1071" t="s">
        <v>684</v>
      </c>
      <c r="O100" s="1071" t="s">
        <v>685</v>
      </c>
      <c r="P100" s="815"/>
      <c r="Q100" s="815"/>
      <c r="R100" s="816"/>
    </row>
    <row r="101" spans="1:18" s="824" customFormat="1" ht="36" customHeight="1">
      <c r="A101" s="1068"/>
      <c r="B101" s="1068"/>
      <c r="C101" s="1071"/>
      <c r="D101" s="1071"/>
      <c r="E101" s="783" t="s">
        <v>686</v>
      </c>
      <c r="F101" s="783" t="s">
        <v>687</v>
      </c>
      <c r="G101" s="784" t="s">
        <v>285</v>
      </c>
      <c r="H101" s="783" t="s">
        <v>499</v>
      </c>
      <c r="I101" s="783" t="s">
        <v>688</v>
      </c>
      <c r="J101" s="783" t="s">
        <v>531</v>
      </c>
      <c r="K101" s="783" t="s">
        <v>689</v>
      </c>
      <c r="L101" s="783" t="s">
        <v>690</v>
      </c>
      <c r="M101" s="1071"/>
      <c r="N101" s="1071"/>
      <c r="O101" s="1071"/>
      <c r="P101" s="815"/>
      <c r="Q101" s="815"/>
      <c r="R101" s="816"/>
    </row>
    <row r="102" spans="1:18" s="824" customFormat="1" ht="60" customHeight="1">
      <c r="A102" s="785"/>
      <c r="B102" s="839" t="s">
        <v>856</v>
      </c>
      <c r="C102" s="783"/>
      <c r="D102" s="783"/>
      <c r="E102" s="783"/>
      <c r="F102" s="783"/>
      <c r="G102" s="784"/>
      <c r="H102" s="783"/>
      <c r="I102" s="783"/>
      <c r="J102" s="783"/>
      <c r="K102" s="783"/>
      <c r="L102" s="783"/>
      <c r="M102" s="783"/>
      <c r="N102" s="783"/>
      <c r="O102" s="783"/>
      <c r="P102" s="815"/>
      <c r="Q102" s="815"/>
      <c r="R102" s="816"/>
    </row>
    <row r="103" spans="1:18" s="824" customFormat="1" ht="22.5" customHeight="1">
      <c r="A103" s="785"/>
      <c r="B103" s="785"/>
      <c r="C103" s="783"/>
      <c r="D103" s="783"/>
      <c r="E103" s="783"/>
      <c r="F103" s="783"/>
      <c r="G103" s="784"/>
      <c r="H103" s="783"/>
      <c r="I103" s="783"/>
      <c r="J103" s="783"/>
      <c r="K103" s="783"/>
      <c r="L103" s="783"/>
      <c r="M103" s="783"/>
      <c r="N103" s="783"/>
      <c r="O103" s="783"/>
      <c r="P103" s="949">
        <f>'He so chung'!$D$22</f>
        <v>5346.1538461538457</v>
      </c>
      <c r="Q103" s="949">
        <f>'He so chung'!$D$23</f>
        <v>801.92307692307691</v>
      </c>
      <c r="R103" s="816"/>
    </row>
    <row r="104" spans="1:18" s="824" customFormat="1" ht="24" customHeight="1">
      <c r="A104" s="1068"/>
      <c r="B104" s="1086" t="s">
        <v>668</v>
      </c>
      <c r="C104" s="1071" t="s">
        <v>532</v>
      </c>
      <c r="D104" s="783">
        <v>2</v>
      </c>
      <c r="E104" s="788" t="e">
        <f>E113+E146+E180</f>
        <v>#VALUE!</v>
      </c>
      <c r="F104" s="788">
        <f>F113+F146+F180</f>
        <v>38073</v>
      </c>
      <c r="G104" s="927">
        <f t="shared" ref="G104:M104" si="15">G113+G146+G180</f>
        <v>0</v>
      </c>
      <c r="H104" s="927">
        <f t="shared" si="15"/>
        <v>1.6616105267147436</v>
      </c>
      <c r="I104" s="927">
        <f t="shared" si="15"/>
        <v>9.4113360000000004</v>
      </c>
      <c r="J104" s="927">
        <f t="shared" si="15"/>
        <v>0.83852799999999994</v>
      </c>
      <c r="K104" s="927">
        <f t="shared" si="15"/>
        <v>1.9682963999999998</v>
      </c>
      <c r="L104" s="788" t="e">
        <f t="shared" si="15"/>
        <v>#VALUE!</v>
      </c>
      <c r="M104" s="788" t="e">
        <f t="shared" si="15"/>
        <v>#VALUE!</v>
      </c>
      <c r="N104" s="788" t="e">
        <f>N113+N146+N180</f>
        <v>#VALUE!</v>
      </c>
      <c r="O104" s="788">
        <f>O113+O146+O180</f>
        <v>15297.645000000002</v>
      </c>
      <c r="P104" s="815"/>
      <c r="Q104" s="815"/>
      <c r="R104" s="816"/>
    </row>
    <row r="105" spans="1:18" s="824" customFormat="1" ht="24" customHeight="1">
      <c r="A105" s="1068"/>
      <c r="B105" s="1087"/>
      <c r="C105" s="1071"/>
      <c r="D105" s="783">
        <v>3</v>
      </c>
      <c r="E105" s="788" t="e">
        <f>E114+E146+E180</f>
        <v>#VALUE!</v>
      </c>
      <c r="F105" s="788">
        <f>F114+F146+F180</f>
        <v>45423</v>
      </c>
      <c r="G105" s="927">
        <f t="shared" ref="G105:N105" si="16">G114+G146+G180</f>
        <v>0</v>
      </c>
      <c r="H105" s="927">
        <f t="shared" si="16"/>
        <v>1.7457495854166667</v>
      </c>
      <c r="I105" s="927">
        <f t="shared" si="16"/>
        <v>9.4113360000000004</v>
      </c>
      <c r="J105" s="927">
        <f t="shared" si="16"/>
        <v>0.83852799999999994</v>
      </c>
      <c r="K105" s="927">
        <f t="shared" si="16"/>
        <v>1.9682963999999998</v>
      </c>
      <c r="L105" s="788" t="e">
        <f t="shared" si="16"/>
        <v>#VALUE!</v>
      </c>
      <c r="M105" s="788" t="e">
        <f t="shared" si="16"/>
        <v>#VALUE!</v>
      </c>
      <c r="N105" s="788" t="e">
        <f t="shared" si="16"/>
        <v>#VALUE!</v>
      </c>
      <c r="O105" s="788">
        <f>O114+O146+O180</f>
        <v>16404.298846153848</v>
      </c>
      <c r="P105" s="815"/>
      <c r="Q105" s="815"/>
      <c r="R105" s="816"/>
    </row>
    <row r="106" spans="1:18" s="824" customFormat="1" ht="24" customHeight="1">
      <c r="A106" s="1068"/>
      <c r="B106" s="1087"/>
      <c r="C106" s="1071"/>
      <c r="D106" s="783">
        <v>4</v>
      </c>
      <c r="E106" s="788" t="e">
        <f>E115+E146+E180</f>
        <v>#VALUE!</v>
      </c>
      <c r="F106" s="788">
        <f>F115+F146+F180</f>
        <v>54243</v>
      </c>
      <c r="G106" s="927">
        <f t="shared" ref="G106:N106" si="17">G115+G146+G180</f>
        <v>0</v>
      </c>
      <c r="H106" s="927">
        <f t="shared" si="17"/>
        <v>1.8298886441185898</v>
      </c>
      <c r="I106" s="927">
        <f t="shared" si="17"/>
        <v>9.4113360000000004</v>
      </c>
      <c r="J106" s="927">
        <f t="shared" si="17"/>
        <v>0.83852799999999994</v>
      </c>
      <c r="K106" s="927">
        <f t="shared" si="17"/>
        <v>1.9682963999999998</v>
      </c>
      <c r="L106" s="788" t="e">
        <f t="shared" si="17"/>
        <v>#VALUE!</v>
      </c>
      <c r="M106" s="788" t="e">
        <f t="shared" si="17"/>
        <v>#VALUE!</v>
      </c>
      <c r="N106" s="788" t="e">
        <f t="shared" si="17"/>
        <v>#VALUE!</v>
      </c>
      <c r="O106" s="788">
        <f>O115+O146+O180</f>
        <v>17732.283461538464</v>
      </c>
      <c r="P106" s="815"/>
      <c r="Q106" s="815"/>
      <c r="R106" s="816"/>
    </row>
    <row r="107" spans="1:18" s="824" customFormat="1" ht="24" customHeight="1">
      <c r="A107" s="1068"/>
      <c r="B107" s="1088"/>
      <c r="C107" s="1071"/>
      <c r="D107" s="783">
        <v>5</v>
      </c>
      <c r="E107" s="788" t="e">
        <f>E116+E146+E180</f>
        <v>#VALUE!</v>
      </c>
      <c r="F107" s="788">
        <f>F116+F146+F180</f>
        <v>64827</v>
      </c>
      <c r="G107" s="927">
        <f t="shared" ref="G107:N107" si="18">G116+G146+G180</f>
        <v>0</v>
      </c>
      <c r="H107" s="927">
        <f t="shared" si="18"/>
        <v>1.9140277028205126</v>
      </c>
      <c r="I107" s="927">
        <f t="shared" si="18"/>
        <v>9.4113360000000004</v>
      </c>
      <c r="J107" s="927">
        <f t="shared" si="18"/>
        <v>0.83852799999999994</v>
      </c>
      <c r="K107" s="927">
        <f t="shared" si="18"/>
        <v>1.9682963999999998</v>
      </c>
      <c r="L107" s="788" t="e">
        <f t="shared" si="18"/>
        <v>#VALUE!</v>
      </c>
      <c r="M107" s="788" t="e">
        <f t="shared" si="18"/>
        <v>#VALUE!</v>
      </c>
      <c r="N107" s="788" t="e">
        <f t="shared" si="18"/>
        <v>#VALUE!</v>
      </c>
      <c r="O107" s="788">
        <f>O116+O146+O180</f>
        <v>19330.783461538464</v>
      </c>
      <c r="P107" s="815"/>
      <c r="Q107" s="815"/>
      <c r="R107" s="816"/>
    </row>
    <row r="108" spans="1:18" s="824" customFormat="1" ht="24" customHeight="1">
      <c r="A108" s="1068"/>
      <c r="B108" s="1086" t="s">
        <v>669</v>
      </c>
      <c r="C108" s="1071" t="s">
        <v>532</v>
      </c>
      <c r="D108" s="783">
        <v>2</v>
      </c>
      <c r="E108" s="788" t="e">
        <f>E117+E147+E181</f>
        <v>#VALUE!</v>
      </c>
      <c r="F108" s="788">
        <f t="shared" ref="F108:N108" si="19">F117+F147+F181</f>
        <v>38073</v>
      </c>
      <c r="G108" s="788">
        <f t="shared" si="19"/>
        <v>0</v>
      </c>
      <c r="H108" s="788">
        <f t="shared" si="19"/>
        <v>1.6616105267147436</v>
      </c>
      <c r="I108" s="788">
        <f t="shared" si="19"/>
        <v>9.4113360000000004</v>
      </c>
      <c r="J108" s="788">
        <f t="shared" si="19"/>
        <v>0.83852799999999994</v>
      </c>
      <c r="K108" s="788">
        <f t="shared" si="19"/>
        <v>1.9682963999999998</v>
      </c>
      <c r="L108" s="788" t="e">
        <f t="shared" si="19"/>
        <v>#VALUE!</v>
      </c>
      <c r="M108" s="788" t="e">
        <f t="shared" si="19"/>
        <v>#VALUE!</v>
      </c>
      <c r="N108" s="788" t="e">
        <f t="shared" si="19"/>
        <v>#VALUE!</v>
      </c>
      <c r="O108" s="788">
        <f>O117+O147+O181</f>
        <v>14682.837307692311</v>
      </c>
      <c r="P108" s="815"/>
      <c r="Q108" s="815"/>
      <c r="R108" s="816"/>
    </row>
    <row r="109" spans="1:18" s="824" customFormat="1" ht="24" customHeight="1">
      <c r="A109" s="1068"/>
      <c r="B109" s="1087"/>
      <c r="C109" s="1071"/>
      <c r="D109" s="783">
        <v>3</v>
      </c>
      <c r="E109" s="788" t="e">
        <f>E118+E147+E181</f>
        <v>#VALUE!</v>
      </c>
      <c r="F109" s="788">
        <f t="shared" ref="F109:N109" si="20">F118+F147+F181</f>
        <v>45423</v>
      </c>
      <c r="G109" s="788">
        <f t="shared" si="20"/>
        <v>0</v>
      </c>
      <c r="H109" s="788">
        <f t="shared" si="20"/>
        <v>1.7457495854166667</v>
      </c>
      <c r="I109" s="788">
        <f t="shared" si="20"/>
        <v>9.4113360000000004</v>
      </c>
      <c r="J109" s="788">
        <f t="shared" si="20"/>
        <v>0.83852799999999994</v>
      </c>
      <c r="K109" s="788">
        <f t="shared" si="20"/>
        <v>1.9682963999999998</v>
      </c>
      <c r="L109" s="788" t="e">
        <f t="shared" si="20"/>
        <v>#VALUE!</v>
      </c>
      <c r="M109" s="788" t="e">
        <f t="shared" si="20"/>
        <v>#VALUE!</v>
      </c>
      <c r="N109" s="788" t="e">
        <f t="shared" si="20"/>
        <v>#VALUE!</v>
      </c>
      <c r="O109" s="788">
        <f>O118+O147+O181</f>
        <v>15789.491153846157</v>
      </c>
      <c r="P109" s="815"/>
      <c r="Q109" s="815"/>
      <c r="R109" s="816"/>
    </row>
    <row r="110" spans="1:18" s="824" customFormat="1" ht="24" customHeight="1">
      <c r="A110" s="1068"/>
      <c r="B110" s="1087"/>
      <c r="C110" s="1071"/>
      <c r="D110" s="783">
        <v>4</v>
      </c>
      <c r="E110" s="788" t="e">
        <f>E119+E147+E181</f>
        <v>#VALUE!</v>
      </c>
      <c r="F110" s="788">
        <f t="shared" ref="F110:N110" si="21">F119+F147+F181</f>
        <v>54243</v>
      </c>
      <c r="G110" s="788">
        <f t="shared" si="21"/>
        <v>0</v>
      </c>
      <c r="H110" s="788">
        <f t="shared" si="21"/>
        <v>1.8298886441185898</v>
      </c>
      <c r="I110" s="788">
        <f t="shared" si="21"/>
        <v>9.4113360000000004</v>
      </c>
      <c r="J110" s="788">
        <f t="shared" si="21"/>
        <v>0.83852799999999994</v>
      </c>
      <c r="K110" s="788">
        <f t="shared" si="21"/>
        <v>1.9682963999999998</v>
      </c>
      <c r="L110" s="788" t="e">
        <f t="shared" si="21"/>
        <v>#VALUE!</v>
      </c>
      <c r="M110" s="788" t="e">
        <f t="shared" si="21"/>
        <v>#VALUE!</v>
      </c>
      <c r="N110" s="788" t="e">
        <f t="shared" si="21"/>
        <v>#VALUE!</v>
      </c>
      <c r="O110" s="788">
        <f>O119+O147+O181</f>
        <v>17117.475769230772</v>
      </c>
      <c r="P110" s="815"/>
      <c r="Q110" s="815"/>
      <c r="R110" s="816"/>
    </row>
    <row r="111" spans="1:18" s="824" customFormat="1" ht="24" customHeight="1">
      <c r="A111" s="1068"/>
      <c r="B111" s="1088"/>
      <c r="C111" s="1071"/>
      <c r="D111" s="783">
        <v>5</v>
      </c>
      <c r="E111" s="788" t="e">
        <f>E120+E147+E181</f>
        <v>#VALUE!</v>
      </c>
      <c r="F111" s="788">
        <f t="shared" ref="F111:N111" si="22">F120+F147+F181</f>
        <v>64827</v>
      </c>
      <c r="G111" s="788">
        <f t="shared" si="22"/>
        <v>0</v>
      </c>
      <c r="H111" s="788">
        <f t="shared" si="22"/>
        <v>1.9140277028205126</v>
      </c>
      <c r="I111" s="788">
        <f t="shared" si="22"/>
        <v>9.4113360000000004</v>
      </c>
      <c r="J111" s="788">
        <f t="shared" si="22"/>
        <v>0.83852799999999994</v>
      </c>
      <c r="K111" s="788">
        <f t="shared" si="22"/>
        <v>1.9682963999999998</v>
      </c>
      <c r="L111" s="788" t="e">
        <f t="shared" si="22"/>
        <v>#VALUE!</v>
      </c>
      <c r="M111" s="788" t="e">
        <f t="shared" si="22"/>
        <v>#VALUE!</v>
      </c>
      <c r="N111" s="788" t="e">
        <f t="shared" si="22"/>
        <v>#VALUE!</v>
      </c>
      <c r="O111" s="788">
        <f>O120+O147+O181</f>
        <v>18715.975769230772</v>
      </c>
      <c r="P111" s="815"/>
      <c r="Q111" s="815"/>
      <c r="R111" s="816"/>
    </row>
    <row r="112" spans="1:18" s="824" customFormat="1" ht="33" customHeight="1">
      <c r="A112" s="785" t="s">
        <v>1000</v>
      </c>
      <c r="B112" s="789" t="s">
        <v>670</v>
      </c>
      <c r="C112" s="783"/>
      <c r="D112" s="783"/>
      <c r="E112" s="783"/>
      <c r="F112" s="783"/>
      <c r="G112" s="950"/>
      <c r="H112" s="950"/>
      <c r="I112" s="950"/>
      <c r="J112" s="950"/>
      <c r="K112" s="950"/>
      <c r="L112" s="783"/>
      <c r="M112" s="783"/>
      <c r="N112" s="783"/>
      <c r="O112" s="783"/>
      <c r="P112" s="818"/>
      <c r="Q112" s="818"/>
      <c r="R112" s="819"/>
    </row>
    <row r="113" spans="1:18" s="828" customFormat="1" ht="18.75" customHeight="1">
      <c r="A113" s="1089" t="s">
        <v>1008</v>
      </c>
      <c r="B113" s="1086" t="s">
        <v>668</v>
      </c>
      <c r="C113" s="1071" t="s">
        <v>532</v>
      </c>
      <c r="D113" s="851">
        <v>2</v>
      </c>
      <c r="E113" s="796" t="e">
        <f>E122+E123+E124+E126+E128+E129+E130+E135+E137+E138+E140+E142+E143+E144</f>
        <v>#VALUE!</v>
      </c>
      <c r="F113" s="796">
        <f>F122+F123+F124+F126+F128+F129+F130+F135+F137+F138+F140+F142+F143+F144</f>
        <v>38073</v>
      </c>
      <c r="G113" s="852">
        <f>G121+G136</f>
        <v>0</v>
      </c>
      <c r="H113" s="852">
        <f>'Dcu-DKDD'!H64/5000</f>
        <v>0.7572515283173078</v>
      </c>
      <c r="I113" s="852">
        <f>'VL-DKDD'!F66/5000</f>
        <v>3.1654800000000001</v>
      </c>
      <c r="J113" s="852">
        <f>'TB-DKDD'!I32/5000</f>
        <v>1.8616000000000001E-2</v>
      </c>
      <c r="K113" s="852">
        <f>'NL-DKDD'!F23/5000</f>
        <v>3.8850000000000003E-2</v>
      </c>
      <c r="L113" s="796" t="e">
        <f t="shared" ref="L113:L120" si="23">SUM(E113:K113)</f>
        <v>#VALUE!</v>
      </c>
      <c r="M113" s="796" t="e">
        <f>L113*'He so chung'!$D$17/100</f>
        <v>#VALUE!</v>
      </c>
      <c r="N113" s="796" t="e">
        <f t="shared" ref="N113:N120" si="24">L113+M113</f>
        <v>#VALUE!</v>
      </c>
      <c r="O113" s="796">
        <f>O122+O123+O124+O126+O128+O129+O130+O135+O137+O138+O140+O142+O143+O144</f>
        <v>10467.715769230772</v>
      </c>
      <c r="P113" s="951"/>
      <c r="Q113" s="951"/>
      <c r="R113" s="819"/>
    </row>
    <row r="114" spans="1:18" s="828" customFormat="1" ht="18.75" customHeight="1">
      <c r="A114" s="1089"/>
      <c r="B114" s="1087"/>
      <c r="C114" s="1071"/>
      <c r="D114" s="851">
        <v>3</v>
      </c>
      <c r="E114" s="796" t="e">
        <f>E122+E123+E124+E126+E128+E129+E131+E135+E137+E138+E140+E142+E143+E144</f>
        <v>#VALUE!</v>
      </c>
      <c r="F114" s="796">
        <f>F122+F123+F124+F126+F128+F129+F131+F135+F137+F138+F140+F142+F143+F144</f>
        <v>45423</v>
      </c>
      <c r="G114" s="852">
        <f>G122+G136</f>
        <v>0</v>
      </c>
      <c r="H114" s="852">
        <f>'Dcu-DKDD'!H65/5000</f>
        <v>0.84139058701923075</v>
      </c>
      <c r="I114" s="852">
        <f>'VL-DKDD'!F66/5000</f>
        <v>3.1654800000000001</v>
      </c>
      <c r="J114" s="852">
        <f>'TB-DKDD'!I32/5000</f>
        <v>1.8616000000000001E-2</v>
      </c>
      <c r="K114" s="852">
        <f>'NL-DKDD'!F23/5000</f>
        <v>3.8850000000000003E-2</v>
      </c>
      <c r="L114" s="796" t="e">
        <f t="shared" si="23"/>
        <v>#VALUE!</v>
      </c>
      <c r="M114" s="796" t="e">
        <f>L114*'He so chung'!$D$17/100</f>
        <v>#VALUE!</v>
      </c>
      <c r="N114" s="796" t="e">
        <f t="shared" si="24"/>
        <v>#VALUE!</v>
      </c>
      <c r="O114" s="796">
        <f>O122+O123+O124+O126+O128+O129+O131+O135+O137+O138+O140+O142+O143+O144</f>
        <v>11574.369615384618</v>
      </c>
      <c r="P114" s="951"/>
      <c r="Q114" s="951"/>
      <c r="R114" s="819"/>
    </row>
    <row r="115" spans="1:18" s="828" customFormat="1" ht="18.75" customHeight="1">
      <c r="A115" s="1089"/>
      <c r="B115" s="1087"/>
      <c r="C115" s="1071"/>
      <c r="D115" s="851">
        <v>4</v>
      </c>
      <c r="E115" s="796" t="e">
        <f>E122+E123+E124+E126+E128+E129+E132+E135+E137+E138+E140+E142+E143+E144</f>
        <v>#VALUE!</v>
      </c>
      <c r="F115" s="796">
        <f>F122+F123+F124+F126+F128+F129+F132+F135+F137+F138+F140+F142+F143+F144</f>
        <v>54243</v>
      </c>
      <c r="G115" s="852">
        <f>G123+G136</f>
        <v>0</v>
      </c>
      <c r="H115" s="852">
        <f>'Dcu-DKDD'!H66/5000</f>
        <v>0.92552964572115393</v>
      </c>
      <c r="I115" s="852">
        <f>'VL-DKDD'!F66/5000</f>
        <v>3.1654800000000001</v>
      </c>
      <c r="J115" s="852">
        <f>'TB-DKDD'!I32/5000</f>
        <v>1.8616000000000001E-2</v>
      </c>
      <c r="K115" s="852">
        <f>'NL-DKDD'!F23/5000</f>
        <v>3.8850000000000003E-2</v>
      </c>
      <c r="L115" s="796" t="e">
        <f t="shared" si="23"/>
        <v>#VALUE!</v>
      </c>
      <c r="M115" s="796" t="e">
        <f>L115*'He so chung'!$D$17/100</f>
        <v>#VALUE!</v>
      </c>
      <c r="N115" s="796" t="e">
        <f t="shared" si="24"/>
        <v>#VALUE!</v>
      </c>
      <c r="O115" s="796">
        <f>O122+O123+O124+O126+O128+O129+O132+O135+O137+O138+O140+O142+O143+O144</f>
        <v>12902.354230769233</v>
      </c>
      <c r="P115" s="951"/>
      <c r="Q115" s="951"/>
      <c r="R115" s="819"/>
    </row>
    <row r="116" spans="1:18" s="828" customFormat="1" ht="18.75" customHeight="1">
      <c r="A116" s="1089"/>
      <c r="B116" s="1088"/>
      <c r="C116" s="1071"/>
      <c r="D116" s="851">
        <v>5</v>
      </c>
      <c r="E116" s="796" t="e">
        <f>E122+E123+E124+E126+E128+E129+E133+E135+E137+E138+E140+E142+E143+E144</f>
        <v>#VALUE!</v>
      </c>
      <c r="F116" s="796">
        <f>F122+F123+F124+F126+F128+F129+F133+F135+F137+F138+F140+F142+F143+F144</f>
        <v>64827</v>
      </c>
      <c r="G116" s="852">
        <f>G124+G136</f>
        <v>0</v>
      </c>
      <c r="H116" s="852">
        <f>'Dcu-DKDD'!H67/5000</f>
        <v>1.0096687044230768</v>
      </c>
      <c r="I116" s="852">
        <f>'VL-DKDD'!F66/5000</f>
        <v>3.1654800000000001</v>
      </c>
      <c r="J116" s="852">
        <f>'TB-DKDD'!I32/5000</f>
        <v>1.8616000000000001E-2</v>
      </c>
      <c r="K116" s="852">
        <f>'NL-DKDD'!F23/5000</f>
        <v>3.8850000000000003E-2</v>
      </c>
      <c r="L116" s="796" t="e">
        <f t="shared" si="23"/>
        <v>#VALUE!</v>
      </c>
      <c r="M116" s="796" t="e">
        <f>L116*'He so chung'!$D$17/100</f>
        <v>#VALUE!</v>
      </c>
      <c r="N116" s="796" t="e">
        <f t="shared" si="24"/>
        <v>#VALUE!</v>
      </c>
      <c r="O116" s="796">
        <f>O122+O123+O124+O126+O128+O129+O133+O135+O137+O138+O140+O142+O143+O144</f>
        <v>14500.854230769233</v>
      </c>
      <c r="P116" s="951"/>
      <c r="Q116" s="951"/>
      <c r="R116" s="819"/>
    </row>
    <row r="117" spans="1:18" s="828" customFormat="1" ht="18.75" customHeight="1">
      <c r="A117" s="1090" t="s">
        <v>1009</v>
      </c>
      <c r="B117" s="1086" t="s">
        <v>669</v>
      </c>
      <c r="C117" s="1071" t="s">
        <v>532</v>
      </c>
      <c r="D117" s="851">
        <v>2</v>
      </c>
      <c r="E117" s="796" t="e">
        <f>E122+E123+E124+E127+E128+E129+E130+E136+E137+E138+E141+E142+E143+E144</f>
        <v>#VALUE!</v>
      </c>
      <c r="F117" s="796">
        <f>F122+F123+F124+F127+F128+F129+F130+F136+F137+F138+F141+F142+F143+F144</f>
        <v>38073</v>
      </c>
      <c r="G117" s="852"/>
      <c r="H117" s="852">
        <f t="shared" ref="H117:K118" si="25">H113</f>
        <v>0.7572515283173078</v>
      </c>
      <c r="I117" s="852">
        <f t="shared" si="25"/>
        <v>3.1654800000000001</v>
      </c>
      <c r="J117" s="852">
        <f t="shared" si="25"/>
        <v>1.8616000000000001E-2</v>
      </c>
      <c r="K117" s="852">
        <f t="shared" si="25"/>
        <v>3.8850000000000003E-2</v>
      </c>
      <c r="L117" s="796" t="e">
        <f t="shared" si="23"/>
        <v>#VALUE!</v>
      </c>
      <c r="M117" s="796" t="e">
        <f>L117*'He so chung'!$D$17/100</f>
        <v>#VALUE!</v>
      </c>
      <c r="N117" s="796" t="e">
        <f t="shared" si="24"/>
        <v>#VALUE!</v>
      </c>
      <c r="O117" s="796">
        <f>O122+O123+O124+O127+O128+O129+O130+O136+O137+O138+O141+O142+O143+O144</f>
        <v>10068.090769230772</v>
      </c>
      <c r="P117" s="951"/>
      <c r="Q117" s="951"/>
      <c r="R117" s="819"/>
    </row>
    <row r="118" spans="1:18" s="828" customFormat="1" ht="18.75" customHeight="1">
      <c r="A118" s="1091"/>
      <c r="B118" s="1087"/>
      <c r="C118" s="1071"/>
      <c r="D118" s="851">
        <v>3</v>
      </c>
      <c r="E118" s="796" t="e">
        <f>E122+E123+E124+E127+E128+E129+E131+E136+E137+E138+E141+E142+E143+E144</f>
        <v>#VALUE!</v>
      </c>
      <c r="F118" s="796">
        <f>F122+F123+F124+F127+F128+F129+F131+F136+F137+F138+F141+F142+F143+F144</f>
        <v>45423</v>
      </c>
      <c r="G118" s="852"/>
      <c r="H118" s="852">
        <f t="shared" si="25"/>
        <v>0.84139058701923075</v>
      </c>
      <c r="I118" s="852">
        <f t="shared" si="25"/>
        <v>3.1654800000000001</v>
      </c>
      <c r="J118" s="852">
        <f t="shared" si="25"/>
        <v>1.8616000000000001E-2</v>
      </c>
      <c r="K118" s="852">
        <f t="shared" si="25"/>
        <v>3.8850000000000003E-2</v>
      </c>
      <c r="L118" s="796" t="e">
        <f t="shared" si="23"/>
        <v>#VALUE!</v>
      </c>
      <c r="M118" s="796" t="e">
        <f>L118*'He so chung'!$D$17/100</f>
        <v>#VALUE!</v>
      </c>
      <c r="N118" s="796" t="e">
        <f t="shared" si="24"/>
        <v>#VALUE!</v>
      </c>
      <c r="O118" s="796">
        <f>O122+O123+O124+O127+O128+O129+O131+O136+O137+O138+O141+O142+O143+O144</f>
        <v>11174.744615384618</v>
      </c>
      <c r="P118" s="951"/>
      <c r="Q118" s="951"/>
      <c r="R118" s="819"/>
    </row>
    <row r="119" spans="1:18" s="828" customFormat="1" ht="18.75" customHeight="1">
      <c r="A119" s="1091"/>
      <c r="B119" s="1087"/>
      <c r="C119" s="1071"/>
      <c r="D119" s="851">
        <v>4</v>
      </c>
      <c r="E119" s="796" t="e">
        <f>E122+E123+E124+E127+E128+E129+E132+E136+E137+E138+E141+E142+E143+E144</f>
        <v>#VALUE!</v>
      </c>
      <c r="F119" s="796">
        <f>F122+F123+F124+F127+F128+F129+F132+F136+F137+F138+F141+F142+F143+F144</f>
        <v>54243</v>
      </c>
      <c r="G119" s="852"/>
      <c r="H119" s="852">
        <f t="shared" ref="H119:K120" si="26">H115</f>
        <v>0.92552964572115393</v>
      </c>
      <c r="I119" s="852">
        <f t="shared" si="26"/>
        <v>3.1654800000000001</v>
      </c>
      <c r="J119" s="852">
        <f t="shared" si="26"/>
        <v>1.8616000000000001E-2</v>
      </c>
      <c r="K119" s="852">
        <f t="shared" si="26"/>
        <v>3.8850000000000003E-2</v>
      </c>
      <c r="L119" s="796" t="e">
        <f t="shared" si="23"/>
        <v>#VALUE!</v>
      </c>
      <c r="M119" s="796" t="e">
        <f>L119*'He so chung'!$D$17/100</f>
        <v>#VALUE!</v>
      </c>
      <c r="N119" s="796" t="e">
        <f t="shared" si="24"/>
        <v>#VALUE!</v>
      </c>
      <c r="O119" s="796">
        <f>O122+O123+O124+O127+O128+O129+O132+O136+O137+O138+O141+O142+O143+O144</f>
        <v>12502.729230769233</v>
      </c>
      <c r="P119" s="951"/>
      <c r="Q119" s="951"/>
      <c r="R119" s="819"/>
    </row>
    <row r="120" spans="1:18" s="828" customFormat="1" ht="18.75" customHeight="1">
      <c r="A120" s="1092"/>
      <c r="B120" s="1088"/>
      <c r="C120" s="1071"/>
      <c r="D120" s="851">
        <v>5</v>
      </c>
      <c r="E120" s="796" t="e">
        <f>E122+E123+E124+E127+E128+E129+E133+E136+E137+E138+E141+E142+E143+E144</f>
        <v>#VALUE!</v>
      </c>
      <c r="F120" s="796">
        <f>F122+F123+F124+F127+F128+F129+F133+F136+F137+F138+F141+F142+F143+F144</f>
        <v>64827</v>
      </c>
      <c r="G120" s="852"/>
      <c r="H120" s="852">
        <f t="shared" si="26"/>
        <v>1.0096687044230768</v>
      </c>
      <c r="I120" s="852">
        <f t="shared" si="26"/>
        <v>3.1654800000000001</v>
      </c>
      <c r="J120" s="852">
        <f t="shared" si="26"/>
        <v>1.8616000000000001E-2</v>
      </c>
      <c r="K120" s="852">
        <f t="shared" si="26"/>
        <v>3.8850000000000003E-2</v>
      </c>
      <c r="L120" s="796" t="e">
        <f t="shared" si="23"/>
        <v>#VALUE!</v>
      </c>
      <c r="M120" s="796" t="e">
        <f>L120*'He so chung'!$D$17/100</f>
        <v>#VALUE!</v>
      </c>
      <c r="N120" s="796" t="e">
        <f t="shared" si="24"/>
        <v>#VALUE!</v>
      </c>
      <c r="O120" s="796">
        <f>O122+O123+O124+O127+O128+O129+O133+O136+O137+O138+O141+O142+O143+O144</f>
        <v>14101.229230769233</v>
      </c>
      <c r="P120" s="951"/>
      <c r="Q120" s="951"/>
      <c r="R120" s="819"/>
    </row>
    <row r="121" spans="1:18" s="828" customFormat="1" ht="27" customHeight="1">
      <c r="A121" s="798">
        <v>1</v>
      </c>
      <c r="B121" s="799" t="s">
        <v>453</v>
      </c>
      <c r="C121" s="798"/>
      <c r="D121" s="952"/>
      <c r="E121" s="794"/>
      <c r="F121" s="794"/>
      <c r="G121" s="794"/>
      <c r="H121" s="794"/>
      <c r="I121" s="794"/>
      <c r="J121" s="794"/>
      <c r="K121" s="794"/>
      <c r="L121" s="953"/>
      <c r="M121" s="953"/>
      <c r="N121" s="953"/>
      <c r="O121" s="794"/>
      <c r="P121" s="954"/>
      <c r="Q121" s="954"/>
      <c r="R121" s="815"/>
    </row>
    <row r="122" spans="1:18" s="828" customFormat="1" ht="27" customHeight="1">
      <c r="A122" s="798" t="s">
        <v>733</v>
      </c>
      <c r="B122" s="799" t="s">
        <v>834</v>
      </c>
      <c r="C122" s="798" t="s">
        <v>532</v>
      </c>
      <c r="D122" s="792" t="s">
        <v>722</v>
      </c>
      <c r="E122" s="794" t="e">
        <f>NC_DKDD!H82/5000*10</f>
        <v>#VALUE!</v>
      </c>
      <c r="F122" s="794">
        <f>NC_DKDD!H83/5000*10</f>
        <v>588</v>
      </c>
      <c r="G122" s="794"/>
      <c r="H122" s="794"/>
      <c r="I122" s="794"/>
      <c r="J122" s="794"/>
      <c r="K122" s="794"/>
      <c r="L122" s="953"/>
      <c r="M122" s="953"/>
      <c r="N122" s="953"/>
      <c r="O122" s="794">
        <f>P122+Q122</f>
        <v>49.184615384615384</v>
      </c>
      <c r="P122" s="954">
        <f>R122*$P$103</f>
        <v>42.769230769230766</v>
      </c>
      <c r="Q122" s="954">
        <f>R122*$Q$103</f>
        <v>6.4153846153846157</v>
      </c>
      <c r="R122" s="812">
        <f>NC_DKDD!G82/5000*10</f>
        <v>8.0000000000000002E-3</v>
      </c>
    </row>
    <row r="123" spans="1:18" s="828" customFormat="1" ht="42.75">
      <c r="A123" s="798" t="s">
        <v>741</v>
      </c>
      <c r="B123" s="799" t="s">
        <v>505</v>
      </c>
      <c r="C123" s="798" t="s">
        <v>707</v>
      </c>
      <c r="D123" s="792" t="s">
        <v>722</v>
      </c>
      <c r="E123" s="794" t="e">
        <f>NC_DKDD!H84/5000</f>
        <v>#VALUE!</v>
      </c>
      <c r="F123" s="794"/>
      <c r="G123" s="794"/>
      <c r="H123" s="794"/>
      <c r="I123" s="794"/>
      <c r="J123" s="794"/>
      <c r="K123" s="794"/>
      <c r="L123" s="953"/>
      <c r="M123" s="953"/>
      <c r="N123" s="953"/>
      <c r="O123" s="794">
        <f>P123+Q123</f>
        <v>59.021538461538448</v>
      </c>
      <c r="P123" s="954">
        <f>R123*$P$103</f>
        <v>51.323076923076911</v>
      </c>
      <c r="Q123" s="954">
        <f t="shared" ref="Q123:Q187" si="27">R123*$Q$103</f>
        <v>7.6984615384615376</v>
      </c>
      <c r="R123" s="812">
        <f>NC_DKDD!G84/5000</f>
        <v>9.5999999999999992E-3</v>
      </c>
    </row>
    <row r="124" spans="1:18" s="828" customFormat="1" ht="38.25" customHeight="1">
      <c r="A124" s="798" t="s">
        <v>734</v>
      </c>
      <c r="B124" s="799" t="s">
        <v>840</v>
      </c>
      <c r="C124" s="798" t="s">
        <v>532</v>
      </c>
      <c r="D124" s="792" t="s">
        <v>722</v>
      </c>
      <c r="E124" s="794" t="e">
        <f>NC_DKDD!H85/5000*10</f>
        <v>#VALUE!</v>
      </c>
      <c r="F124" s="794">
        <f>NC_DKDD!H86/5000*10</f>
        <v>735</v>
      </c>
      <c r="G124" s="794"/>
      <c r="H124" s="794"/>
      <c r="I124" s="794"/>
      <c r="J124" s="794"/>
      <c r="K124" s="794"/>
      <c r="L124" s="953"/>
      <c r="M124" s="953"/>
      <c r="N124" s="953"/>
      <c r="O124" s="794">
        <f>P124+Q124</f>
        <v>30.740384615384613</v>
      </c>
      <c r="P124" s="954">
        <f>R124*$P$103</f>
        <v>26.73076923076923</v>
      </c>
      <c r="Q124" s="954">
        <f t="shared" si="27"/>
        <v>4.009615384615385</v>
      </c>
      <c r="R124" s="812">
        <f>NC_DKDD!G85/5000*10</f>
        <v>5.0000000000000001E-3</v>
      </c>
    </row>
    <row r="125" spans="1:18" s="919" customFormat="1" ht="27.75" customHeight="1">
      <c r="A125" s="798" t="s">
        <v>843</v>
      </c>
      <c r="B125" s="799" t="s">
        <v>844</v>
      </c>
      <c r="C125" s="798"/>
      <c r="D125" s="798"/>
      <c r="E125" s="856"/>
      <c r="F125" s="856"/>
      <c r="G125" s="795"/>
      <c r="H125" s="856"/>
      <c r="I125" s="856"/>
      <c r="J125" s="856"/>
      <c r="K125" s="856"/>
      <c r="L125" s="953"/>
      <c r="M125" s="953"/>
      <c r="N125" s="953"/>
      <c r="O125" s="794">
        <f>P125+Q125</f>
        <v>0</v>
      </c>
      <c r="P125" s="954">
        <f>R125*$P$103</f>
        <v>0</v>
      </c>
      <c r="Q125" s="954">
        <f t="shared" si="27"/>
        <v>0</v>
      </c>
      <c r="R125" s="955"/>
    </row>
    <row r="126" spans="1:18" s="919" customFormat="1" ht="27.75" customHeight="1">
      <c r="A126" s="798" t="s">
        <v>845</v>
      </c>
      <c r="B126" s="799" t="s">
        <v>846</v>
      </c>
      <c r="C126" s="798" t="s">
        <v>532</v>
      </c>
      <c r="D126" s="792" t="s">
        <v>722</v>
      </c>
      <c r="E126" s="856" t="e">
        <f>NC_DKDD!H88</f>
        <v>#VALUE!</v>
      </c>
      <c r="F126" s="856"/>
      <c r="G126" s="795"/>
      <c r="H126" s="856"/>
      <c r="I126" s="856"/>
      <c r="J126" s="856"/>
      <c r="K126" s="856"/>
      <c r="L126" s="953"/>
      <c r="M126" s="953"/>
      <c r="N126" s="953"/>
      <c r="O126" s="794">
        <f t="shared" ref="O126:O135" si="28">P126+Q126</f>
        <v>922.21153846153834</v>
      </c>
      <c r="P126" s="954">
        <f t="shared" ref="P126:P135" si="29">R126*$P$103</f>
        <v>801.92307692307679</v>
      </c>
      <c r="Q126" s="954">
        <f t="shared" si="27"/>
        <v>120.28846153846153</v>
      </c>
      <c r="R126" s="955">
        <f>NC_DKDD!G88</f>
        <v>0.15</v>
      </c>
    </row>
    <row r="127" spans="1:18" s="919" customFormat="1" ht="27.75" customHeight="1">
      <c r="A127" s="798" t="s">
        <v>848</v>
      </c>
      <c r="B127" s="799" t="s">
        <v>849</v>
      </c>
      <c r="C127" s="798" t="s">
        <v>532</v>
      </c>
      <c r="D127" s="792" t="s">
        <v>722</v>
      </c>
      <c r="E127" s="856" t="e">
        <f>NC_DKDD!H89</f>
        <v>#VALUE!</v>
      </c>
      <c r="F127" s="856"/>
      <c r="G127" s="795"/>
      <c r="H127" s="856"/>
      <c r="I127" s="856"/>
      <c r="J127" s="856"/>
      <c r="K127" s="856"/>
      <c r="L127" s="953"/>
      <c r="M127" s="953"/>
      <c r="N127" s="953"/>
      <c r="O127" s="794">
        <f t="shared" si="28"/>
        <v>614.80769230769238</v>
      </c>
      <c r="P127" s="954">
        <f t="shared" si="29"/>
        <v>534.61538461538464</v>
      </c>
      <c r="Q127" s="954">
        <f t="shared" si="27"/>
        <v>80.192307692307693</v>
      </c>
      <c r="R127" s="955">
        <f>NC_DKDD!G89</f>
        <v>0.1</v>
      </c>
    </row>
    <row r="128" spans="1:18" s="919" customFormat="1" ht="42.75">
      <c r="A128" s="798">
        <v>2</v>
      </c>
      <c r="B128" s="799" t="s">
        <v>850</v>
      </c>
      <c r="C128" s="798" t="s">
        <v>532</v>
      </c>
      <c r="D128" s="792" t="s">
        <v>722</v>
      </c>
      <c r="E128" s="856" t="e">
        <f>NC_DKDD!H90</f>
        <v>#VALUE!</v>
      </c>
      <c r="F128" s="856"/>
      <c r="G128" s="795"/>
      <c r="H128" s="856"/>
      <c r="I128" s="856"/>
      <c r="J128" s="856"/>
      <c r="K128" s="856"/>
      <c r="L128" s="953"/>
      <c r="M128" s="953"/>
      <c r="N128" s="953"/>
      <c r="O128" s="794">
        <f t="shared" si="28"/>
        <v>1229.6153846153848</v>
      </c>
      <c r="P128" s="954">
        <f t="shared" si="29"/>
        <v>1069.2307692307693</v>
      </c>
      <c r="Q128" s="954">
        <f t="shared" si="27"/>
        <v>160.38461538461539</v>
      </c>
      <c r="R128" s="955">
        <f>NC_DKDD!G90</f>
        <v>0.2</v>
      </c>
    </row>
    <row r="129" spans="1:18" s="919" customFormat="1" ht="33" customHeight="1">
      <c r="A129" s="798">
        <v>3</v>
      </c>
      <c r="B129" s="799" t="s">
        <v>851</v>
      </c>
      <c r="C129" s="798" t="s">
        <v>375</v>
      </c>
      <c r="D129" s="792" t="s">
        <v>722</v>
      </c>
      <c r="E129" s="856" t="e">
        <f>NC_DKDD!H91</f>
        <v>#VALUE!</v>
      </c>
      <c r="F129" s="856"/>
      <c r="G129" s="795"/>
      <c r="H129" s="856"/>
      <c r="I129" s="856"/>
      <c r="J129" s="856"/>
      <c r="K129" s="856"/>
      <c r="L129" s="953"/>
      <c r="M129" s="953"/>
      <c r="N129" s="953"/>
      <c r="O129" s="794">
        <f t="shared" si="28"/>
        <v>657.84423076923065</v>
      </c>
      <c r="P129" s="954">
        <f t="shared" si="29"/>
        <v>572.03846153846143</v>
      </c>
      <c r="Q129" s="954">
        <f t="shared" si="27"/>
        <v>85.805769230769229</v>
      </c>
      <c r="R129" s="955">
        <f>NC_DKDD!G91</f>
        <v>0.107</v>
      </c>
    </row>
    <row r="130" spans="1:18" s="919" customFormat="1" ht="18.75" customHeight="1">
      <c r="A130" s="1084">
        <v>4</v>
      </c>
      <c r="B130" s="1096" t="s">
        <v>852</v>
      </c>
      <c r="C130" s="1084" t="s">
        <v>532</v>
      </c>
      <c r="D130" s="798">
        <v>2</v>
      </c>
      <c r="E130" s="856" t="e">
        <f>NC_DKDD!H92</f>
        <v>#VALUE!</v>
      </c>
      <c r="F130" s="856">
        <f>NC_DKDD!H93</f>
        <v>36750</v>
      </c>
      <c r="G130" s="795"/>
      <c r="H130" s="856"/>
      <c r="I130" s="856"/>
      <c r="J130" s="856"/>
      <c r="K130" s="856"/>
      <c r="L130" s="953"/>
      <c r="M130" s="953"/>
      <c r="N130" s="953"/>
      <c r="O130" s="794">
        <f t="shared" si="28"/>
        <v>5533.2692307692305</v>
      </c>
      <c r="P130" s="954">
        <f t="shared" si="29"/>
        <v>4811.538461538461</v>
      </c>
      <c r="Q130" s="954">
        <f t="shared" si="27"/>
        <v>721.73076923076928</v>
      </c>
      <c r="R130" s="955">
        <f>NC_DKDD!G92</f>
        <v>0.9</v>
      </c>
    </row>
    <row r="131" spans="1:18" s="919" customFormat="1" ht="18.75" customHeight="1">
      <c r="A131" s="1084"/>
      <c r="B131" s="1096"/>
      <c r="C131" s="1084"/>
      <c r="D131" s="798">
        <v>3</v>
      </c>
      <c r="E131" s="856" t="e">
        <f>NC_DKDD!H94</f>
        <v>#VALUE!</v>
      </c>
      <c r="F131" s="856">
        <f>NC_DKDD!H95</f>
        <v>44100</v>
      </c>
      <c r="G131" s="795"/>
      <c r="H131" s="856"/>
      <c r="I131" s="856"/>
      <c r="J131" s="856"/>
      <c r="K131" s="856"/>
      <c r="L131" s="953"/>
      <c r="M131" s="953"/>
      <c r="N131" s="953"/>
      <c r="O131" s="794">
        <f t="shared" si="28"/>
        <v>6639.9230769230762</v>
      </c>
      <c r="P131" s="954">
        <f t="shared" si="29"/>
        <v>5773.8461538461534</v>
      </c>
      <c r="Q131" s="954">
        <f t="shared" si="27"/>
        <v>866.07692307692309</v>
      </c>
      <c r="R131" s="955">
        <f>NC_DKDD!G94</f>
        <v>1.08</v>
      </c>
    </row>
    <row r="132" spans="1:18" s="919" customFormat="1" ht="19.5" customHeight="1">
      <c r="A132" s="1084"/>
      <c r="B132" s="1096"/>
      <c r="C132" s="1084"/>
      <c r="D132" s="798">
        <v>4</v>
      </c>
      <c r="E132" s="856" t="e">
        <f>NC_DKDD!H96</f>
        <v>#VALUE!</v>
      </c>
      <c r="F132" s="856">
        <f>NC_DKDD!H97</f>
        <v>52920</v>
      </c>
      <c r="G132" s="795"/>
      <c r="H132" s="856"/>
      <c r="I132" s="856"/>
      <c r="J132" s="856"/>
      <c r="K132" s="856"/>
      <c r="L132" s="953"/>
      <c r="M132" s="953"/>
      <c r="N132" s="953"/>
      <c r="O132" s="794">
        <f t="shared" si="28"/>
        <v>7967.9076923076918</v>
      </c>
      <c r="P132" s="954">
        <f t="shared" si="29"/>
        <v>6928.6153846153838</v>
      </c>
      <c r="Q132" s="954">
        <f t="shared" si="27"/>
        <v>1039.2923076923078</v>
      </c>
      <c r="R132" s="955">
        <f>NC_DKDD!G96</f>
        <v>1.296</v>
      </c>
    </row>
    <row r="133" spans="1:18" s="919" customFormat="1" ht="15">
      <c r="A133" s="1084"/>
      <c r="B133" s="1096"/>
      <c r="C133" s="1084"/>
      <c r="D133" s="798">
        <v>5</v>
      </c>
      <c r="E133" s="856" t="e">
        <f>NC_DKDD!H98</f>
        <v>#VALUE!</v>
      </c>
      <c r="F133" s="856">
        <f>NC_DKDD!H99</f>
        <v>63504</v>
      </c>
      <c r="G133" s="795"/>
      <c r="H133" s="856"/>
      <c r="I133" s="856"/>
      <c r="J133" s="856"/>
      <c r="K133" s="856"/>
      <c r="L133" s="953"/>
      <c r="M133" s="953"/>
      <c r="N133" s="953"/>
      <c r="O133" s="794">
        <f t="shared" si="28"/>
        <v>9566.4076923076918</v>
      </c>
      <c r="P133" s="954">
        <f t="shared" si="29"/>
        <v>8318.6153846153848</v>
      </c>
      <c r="Q133" s="954">
        <f t="shared" si="27"/>
        <v>1247.7923076923078</v>
      </c>
      <c r="R133" s="955">
        <f>NC_DKDD!G98</f>
        <v>1.556</v>
      </c>
    </row>
    <row r="134" spans="1:18" s="919" customFormat="1" ht="31.15" customHeight="1">
      <c r="A134" s="798">
        <v>5</v>
      </c>
      <c r="B134" s="799" t="s">
        <v>579</v>
      </c>
      <c r="C134" s="798"/>
      <c r="D134" s="798"/>
      <c r="E134" s="856"/>
      <c r="F134" s="856"/>
      <c r="G134" s="795"/>
      <c r="H134" s="856"/>
      <c r="I134" s="856"/>
      <c r="J134" s="856"/>
      <c r="K134" s="856"/>
      <c r="L134" s="953"/>
      <c r="M134" s="953"/>
      <c r="N134" s="953"/>
      <c r="O134" s="794">
        <f t="shared" si="28"/>
        <v>0</v>
      </c>
      <c r="P134" s="954">
        <f t="shared" si="29"/>
        <v>0</v>
      </c>
      <c r="Q134" s="954">
        <f t="shared" si="27"/>
        <v>0</v>
      </c>
      <c r="R134" s="955"/>
    </row>
    <row r="135" spans="1:18" s="919" customFormat="1" ht="30" customHeight="1">
      <c r="A135" s="798" t="s">
        <v>461</v>
      </c>
      <c r="B135" s="799" t="s">
        <v>846</v>
      </c>
      <c r="C135" s="798" t="s">
        <v>532</v>
      </c>
      <c r="D135" s="792" t="s">
        <v>722</v>
      </c>
      <c r="E135" s="856" t="e">
        <f>NC_DKDD!H101</f>
        <v>#VALUE!</v>
      </c>
      <c r="F135" s="856"/>
      <c r="G135" s="795"/>
      <c r="H135" s="856"/>
      <c r="I135" s="856"/>
      <c r="J135" s="856"/>
      <c r="K135" s="856"/>
      <c r="L135" s="953"/>
      <c r="M135" s="953"/>
      <c r="N135" s="953"/>
      <c r="O135" s="794">
        <f t="shared" si="28"/>
        <v>307.40384615384619</v>
      </c>
      <c r="P135" s="954">
        <f t="shared" si="29"/>
        <v>267.30769230769232</v>
      </c>
      <c r="Q135" s="954">
        <f t="shared" si="27"/>
        <v>40.096153846153847</v>
      </c>
      <c r="R135" s="955">
        <f>NC_DKDD!G101</f>
        <v>0.05</v>
      </c>
    </row>
    <row r="136" spans="1:18" s="828" customFormat="1" ht="26.45" customHeight="1">
      <c r="A136" s="798" t="s">
        <v>462</v>
      </c>
      <c r="B136" s="799" t="s">
        <v>849</v>
      </c>
      <c r="C136" s="798" t="s">
        <v>532</v>
      </c>
      <c r="D136" s="792" t="s">
        <v>722</v>
      </c>
      <c r="E136" s="856" t="e">
        <f>NC_DKDD!H102</f>
        <v>#VALUE!</v>
      </c>
      <c r="F136" s="794"/>
      <c r="G136" s="795"/>
      <c r="H136" s="794"/>
      <c r="I136" s="794"/>
      <c r="J136" s="794"/>
      <c r="K136" s="794"/>
      <c r="L136" s="953"/>
      <c r="M136" s="953"/>
      <c r="N136" s="953"/>
      <c r="O136" s="794">
        <f t="shared" ref="O136:O172" si="30">P136+Q136</f>
        <v>245.92307692307691</v>
      </c>
      <c r="P136" s="954">
        <f t="shared" ref="P136:P172" si="31">R136*$P$103</f>
        <v>213.84615384615384</v>
      </c>
      <c r="Q136" s="954">
        <f t="shared" si="27"/>
        <v>32.07692307692308</v>
      </c>
      <c r="R136" s="955">
        <f>NC_DKDD!G102</f>
        <v>0.04</v>
      </c>
    </row>
    <row r="137" spans="1:18" s="920" customFormat="1" ht="31.9" customHeight="1">
      <c r="A137" s="798">
        <v>6</v>
      </c>
      <c r="B137" s="799" t="s">
        <v>506</v>
      </c>
      <c r="C137" s="798" t="s">
        <v>375</v>
      </c>
      <c r="D137" s="792" t="s">
        <v>722</v>
      </c>
      <c r="E137" s="856" t="e">
        <f>NC_DKDD!H103</f>
        <v>#VALUE!</v>
      </c>
      <c r="F137" s="866"/>
      <c r="G137" s="866"/>
      <c r="H137" s="796"/>
      <c r="I137" s="796"/>
      <c r="J137" s="796"/>
      <c r="K137" s="796"/>
      <c r="L137" s="796"/>
      <c r="M137" s="796"/>
      <c r="N137" s="796"/>
      <c r="O137" s="794">
        <f t="shared" si="30"/>
        <v>18.444230769230767</v>
      </c>
      <c r="P137" s="954">
        <f t="shared" si="31"/>
        <v>16.038461538461537</v>
      </c>
      <c r="Q137" s="954">
        <f t="shared" si="27"/>
        <v>2.4057692307692307</v>
      </c>
      <c r="R137" s="955">
        <f>NC_DKDD!G103</f>
        <v>3.0000000000000001E-3</v>
      </c>
    </row>
    <row r="138" spans="1:18" s="921" customFormat="1" ht="28.5" customHeight="1">
      <c r="A138" s="798">
        <v>7</v>
      </c>
      <c r="B138" s="799" t="s">
        <v>148</v>
      </c>
      <c r="C138" s="798" t="s">
        <v>532</v>
      </c>
      <c r="D138" s="792" t="s">
        <v>722</v>
      </c>
      <c r="E138" s="856" t="e">
        <f>NC_DKDD!H104</f>
        <v>#VALUE!</v>
      </c>
      <c r="F138" s="794"/>
      <c r="G138" s="794"/>
      <c r="H138" s="794"/>
      <c r="I138" s="794"/>
      <c r="J138" s="794"/>
      <c r="K138" s="794"/>
      <c r="L138" s="953"/>
      <c r="M138" s="953"/>
      <c r="N138" s="953"/>
      <c r="O138" s="794">
        <f t="shared" si="30"/>
        <v>92.22115384615384</v>
      </c>
      <c r="P138" s="954">
        <f t="shared" si="31"/>
        <v>80.192307692307679</v>
      </c>
      <c r="Q138" s="954">
        <f t="shared" si="27"/>
        <v>12.028846153846153</v>
      </c>
      <c r="R138" s="955">
        <f>NC_DKDD!G104</f>
        <v>1.4999999999999999E-2</v>
      </c>
    </row>
    <row r="139" spans="1:18" s="919" customFormat="1" ht="29.45" customHeight="1">
      <c r="A139" s="798">
        <v>8</v>
      </c>
      <c r="B139" s="799" t="s">
        <v>167</v>
      </c>
      <c r="C139" s="798"/>
      <c r="D139" s="798"/>
      <c r="E139" s="856">
        <f>NC_DKDD!H105</f>
        <v>0</v>
      </c>
      <c r="F139" s="856"/>
      <c r="G139" s="795"/>
      <c r="H139" s="856"/>
      <c r="I139" s="856"/>
      <c r="J139" s="856"/>
      <c r="K139" s="856"/>
      <c r="L139" s="953"/>
      <c r="M139" s="953"/>
      <c r="N139" s="953"/>
      <c r="O139" s="794">
        <f t="shared" si="30"/>
        <v>0</v>
      </c>
      <c r="P139" s="954">
        <f t="shared" si="31"/>
        <v>0</v>
      </c>
      <c r="Q139" s="954">
        <f t="shared" si="27"/>
        <v>0</v>
      </c>
      <c r="R139" s="955">
        <f>NC_DKDD!G105</f>
        <v>0</v>
      </c>
    </row>
    <row r="140" spans="1:18" s="919" customFormat="1" ht="21.75" customHeight="1">
      <c r="A140" s="798" t="s">
        <v>191</v>
      </c>
      <c r="B140" s="799" t="s">
        <v>846</v>
      </c>
      <c r="C140" s="798" t="s">
        <v>532</v>
      </c>
      <c r="D140" s="792" t="s">
        <v>722</v>
      </c>
      <c r="E140" s="856" t="e">
        <f>NC_DKDD!H106</f>
        <v>#VALUE!</v>
      </c>
      <c r="F140" s="856"/>
      <c r="G140" s="795"/>
      <c r="H140" s="856"/>
      <c r="I140" s="856"/>
      <c r="J140" s="856"/>
      <c r="K140" s="856"/>
      <c r="L140" s="953"/>
      <c r="M140" s="953"/>
      <c r="N140" s="953"/>
      <c r="O140" s="794">
        <f t="shared" si="30"/>
        <v>92.22115384615384</v>
      </c>
      <c r="P140" s="954">
        <f t="shared" si="31"/>
        <v>80.192307692307679</v>
      </c>
      <c r="Q140" s="954">
        <f t="shared" si="27"/>
        <v>12.028846153846153</v>
      </c>
      <c r="R140" s="955">
        <f>NC_DKDD!G106</f>
        <v>1.4999999999999999E-2</v>
      </c>
    </row>
    <row r="141" spans="1:18" s="919" customFormat="1" ht="21.75" customHeight="1">
      <c r="A141" s="798" t="s">
        <v>192</v>
      </c>
      <c r="B141" s="799" t="s">
        <v>849</v>
      </c>
      <c r="C141" s="798" t="s">
        <v>532</v>
      </c>
      <c r="D141" s="792" t="s">
        <v>722</v>
      </c>
      <c r="E141" s="856" t="e">
        <f>NC_DKDD!H107</f>
        <v>#VALUE!</v>
      </c>
      <c r="F141" s="856"/>
      <c r="G141" s="795"/>
      <c r="H141" s="856"/>
      <c r="I141" s="856"/>
      <c r="J141" s="856"/>
      <c r="K141" s="856"/>
      <c r="L141" s="953"/>
      <c r="M141" s="953"/>
      <c r="N141" s="953"/>
      <c r="O141" s="794">
        <f t="shared" si="30"/>
        <v>61.480769230769226</v>
      </c>
      <c r="P141" s="954">
        <f t="shared" si="31"/>
        <v>53.46153846153846</v>
      </c>
      <c r="Q141" s="954">
        <f t="shared" si="27"/>
        <v>8.0192307692307701</v>
      </c>
      <c r="R141" s="955">
        <f>NC_DKDD!G107</f>
        <v>0.01</v>
      </c>
    </row>
    <row r="142" spans="1:18" s="828" customFormat="1" ht="30.75" customHeight="1">
      <c r="A142" s="798">
        <v>9</v>
      </c>
      <c r="B142" s="799" t="s">
        <v>149</v>
      </c>
      <c r="C142" s="798" t="s">
        <v>532</v>
      </c>
      <c r="D142" s="792" t="s">
        <v>722</v>
      </c>
      <c r="E142" s="856" t="e">
        <f>NC_DKDD!H108</f>
        <v>#VALUE!</v>
      </c>
      <c r="F142" s="956"/>
      <c r="G142" s="794"/>
      <c r="H142" s="794"/>
      <c r="I142" s="794"/>
      <c r="J142" s="794"/>
      <c r="K142" s="794"/>
      <c r="L142" s="953"/>
      <c r="M142" s="953"/>
      <c r="N142" s="953"/>
      <c r="O142" s="794">
        <f t="shared" si="30"/>
        <v>1229.6153846153848</v>
      </c>
      <c r="P142" s="954">
        <f t="shared" si="31"/>
        <v>1069.2307692307693</v>
      </c>
      <c r="Q142" s="954">
        <f t="shared" si="27"/>
        <v>160.38461538461539</v>
      </c>
      <c r="R142" s="955">
        <f>NC_DKDD!G108</f>
        <v>0.2</v>
      </c>
    </row>
    <row r="143" spans="1:18" s="919" customFormat="1" ht="62.25" customHeight="1">
      <c r="A143" s="798">
        <v>10</v>
      </c>
      <c r="B143" s="799" t="s">
        <v>0</v>
      </c>
      <c r="C143" s="798" t="s">
        <v>532</v>
      </c>
      <c r="D143" s="792" t="s">
        <v>722</v>
      </c>
      <c r="E143" s="856" t="e">
        <f>NC_DKDD!H109</f>
        <v>#VALUE!</v>
      </c>
      <c r="F143" s="856"/>
      <c r="G143" s="795"/>
      <c r="H143" s="856"/>
      <c r="I143" s="856"/>
      <c r="J143" s="856"/>
      <c r="K143" s="856"/>
      <c r="L143" s="953"/>
      <c r="M143" s="953"/>
      <c r="N143" s="953"/>
      <c r="O143" s="794">
        <f t="shared" si="30"/>
        <v>122.96153846153845</v>
      </c>
      <c r="P143" s="954">
        <f t="shared" si="31"/>
        <v>106.92307692307692</v>
      </c>
      <c r="Q143" s="954">
        <f t="shared" si="27"/>
        <v>16.03846153846154</v>
      </c>
      <c r="R143" s="955">
        <f>NC_DKDD!G109</f>
        <v>0.02</v>
      </c>
    </row>
    <row r="144" spans="1:18" s="919" customFormat="1" ht="57" customHeight="1">
      <c r="A144" s="798">
        <v>11</v>
      </c>
      <c r="B144" s="799" t="s">
        <v>581</v>
      </c>
      <c r="C144" s="798" t="s">
        <v>532</v>
      </c>
      <c r="D144" s="792" t="s">
        <v>722</v>
      </c>
      <c r="E144" s="856" t="e">
        <f>NC_DKDD!H110</f>
        <v>#VALUE!</v>
      </c>
      <c r="F144" s="856"/>
      <c r="G144" s="795"/>
      <c r="H144" s="856"/>
      <c r="I144" s="856"/>
      <c r="J144" s="856"/>
      <c r="K144" s="856"/>
      <c r="L144" s="953"/>
      <c r="M144" s="953"/>
      <c r="N144" s="953"/>
      <c r="O144" s="794">
        <f t="shared" si="30"/>
        <v>122.96153846153845</v>
      </c>
      <c r="P144" s="954">
        <f t="shared" si="31"/>
        <v>106.92307692307692</v>
      </c>
      <c r="Q144" s="954">
        <f t="shared" si="27"/>
        <v>16.03846153846154</v>
      </c>
      <c r="R144" s="955">
        <f>NC_DKDD!G110</f>
        <v>0.02</v>
      </c>
    </row>
    <row r="145" spans="1:18" s="919" customFormat="1" ht="36.75" customHeight="1">
      <c r="A145" s="798" t="s">
        <v>1005</v>
      </c>
      <c r="B145" s="787" t="s">
        <v>582</v>
      </c>
      <c r="C145" s="798"/>
      <c r="D145" s="792"/>
      <c r="E145" s="856"/>
      <c r="F145" s="856"/>
      <c r="G145" s="795"/>
      <c r="H145" s="856"/>
      <c r="I145" s="856"/>
      <c r="J145" s="856"/>
      <c r="K145" s="856"/>
      <c r="L145" s="953"/>
      <c r="M145" s="953"/>
      <c r="N145" s="953"/>
      <c r="O145" s="794">
        <f t="shared" si="30"/>
        <v>0</v>
      </c>
      <c r="P145" s="954">
        <f t="shared" si="31"/>
        <v>0</v>
      </c>
      <c r="Q145" s="954">
        <f t="shared" si="27"/>
        <v>0</v>
      </c>
      <c r="R145" s="955"/>
    </row>
    <row r="146" spans="1:18" s="824" customFormat="1" ht="26.25" customHeight="1">
      <c r="A146" s="791" t="s">
        <v>1010</v>
      </c>
      <c r="B146" s="787" t="s">
        <v>668</v>
      </c>
      <c r="C146" s="798" t="s">
        <v>532</v>
      </c>
      <c r="D146" s="792" t="s">
        <v>722</v>
      </c>
      <c r="E146" s="957" t="e">
        <f>E149+E151+E152+E153+E155+E159+E161+E163+E166+E168+E169+E170+E173+E174+E175+E176+E177+E178</f>
        <v>#VALUE!</v>
      </c>
      <c r="F146" s="957">
        <f>F149+F151+F152+F153+F155+F159+F161+F163+F164+F166+F168+F169+F170+F173+F174+F175+F176+F177+F178</f>
        <v>0</v>
      </c>
      <c r="G146" s="795"/>
      <c r="H146" s="958">
        <f>'Dcu-DKDD'!J64/5000</f>
        <v>0.77438820801282049</v>
      </c>
      <c r="I146" s="958">
        <f>'VL-DKDD'!H66/5000</f>
        <v>3.7429559999999999</v>
      </c>
      <c r="J146" s="958">
        <f>'TB-DKDD'!K32/5000</f>
        <v>0.58052000000000004</v>
      </c>
      <c r="K146" s="958">
        <f>'NL-DKDD'!H23/5000</f>
        <v>1.38306</v>
      </c>
      <c r="L146" s="796" t="e">
        <f>SUM(E146:K146)</f>
        <v>#VALUE!</v>
      </c>
      <c r="M146" s="796" t="e">
        <f>L146*'He so chung'!$D$17/100</f>
        <v>#VALUE!</v>
      </c>
      <c r="N146" s="796" t="e">
        <f>L146+M146</f>
        <v>#VALUE!</v>
      </c>
      <c r="O146" s="957">
        <f>O149+O151+O152+O153+O155+O159+O161+O163+O166+O168+O169+O170+O173+O174+O175+O176+O177+O178</f>
        <v>4233.5657692307686</v>
      </c>
      <c r="P146" s="954">
        <f t="shared" si="31"/>
        <v>3681.3615384615391</v>
      </c>
      <c r="Q146" s="954">
        <f t="shared" si="27"/>
        <v>552.20423076923089</v>
      </c>
      <c r="R146" s="959">
        <f>R149+R151+R152+R153+R155+R159+R161+R163+R166+R168+R169+R170+R173+R174+R175+R176+R177+R178</f>
        <v>0.68860000000000021</v>
      </c>
    </row>
    <row r="147" spans="1:18" s="824" customFormat="1" ht="26.25" customHeight="1">
      <c r="A147" s="791" t="s">
        <v>1016</v>
      </c>
      <c r="B147" s="787" t="s">
        <v>669</v>
      </c>
      <c r="C147" s="798" t="s">
        <v>532</v>
      </c>
      <c r="D147" s="792" t="s">
        <v>722</v>
      </c>
      <c r="E147" s="957" t="e">
        <f>E150+E151+E152+E153+E155+E158+E162+E163+E166+E168+E169+E170+E173+E174+E175+E176+E177+E178</f>
        <v>#VALUE!</v>
      </c>
      <c r="F147" s="957">
        <f>F150+F151+F152+F153+F155+F158+F162+F163+F164+F166+F168+F169+F170+F173+F174+F175+F176+F177+F178</f>
        <v>0</v>
      </c>
      <c r="G147" s="795"/>
      <c r="H147" s="958">
        <f>H146</f>
        <v>0.77438820801282049</v>
      </c>
      <c r="I147" s="958">
        <f>I146</f>
        <v>3.7429559999999999</v>
      </c>
      <c r="J147" s="958">
        <f>J146</f>
        <v>0.58052000000000004</v>
      </c>
      <c r="K147" s="958">
        <f>K146</f>
        <v>1.38306</v>
      </c>
      <c r="L147" s="796" t="e">
        <f>SUM(E147:K147)</f>
        <v>#VALUE!</v>
      </c>
      <c r="M147" s="796" t="e">
        <f>L147*'He so chung'!$D$17/100</f>
        <v>#VALUE!</v>
      </c>
      <c r="N147" s="796" t="e">
        <f>L147+M147</f>
        <v>#VALUE!</v>
      </c>
      <c r="O147" s="957">
        <f>O150+O151+O152+O153+O155+O158+O162+O163+O166+O168+O169+O170+O173+O174+O175+O176+O177+O178</f>
        <v>4018.3830769230772</v>
      </c>
      <c r="P147" s="954">
        <f t="shared" si="31"/>
        <v>3494.2461538461539</v>
      </c>
      <c r="Q147" s="954">
        <f t="shared" si="27"/>
        <v>524.13692307692315</v>
      </c>
      <c r="R147" s="959">
        <f>R150+R151+R152+R153+R155+R158+R162+R163+R166+R168+R169+R170+R173+R174+R175+R176+R177+R178</f>
        <v>0.65360000000000007</v>
      </c>
    </row>
    <row r="148" spans="1:18" s="824" customFormat="1" ht="27" customHeight="1">
      <c r="A148" s="798">
        <v>1</v>
      </c>
      <c r="B148" s="799" t="s">
        <v>1</v>
      </c>
      <c r="C148" s="798"/>
      <c r="D148" s="798"/>
      <c r="E148" s="960"/>
      <c r="F148" s="795"/>
      <c r="G148" s="795"/>
      <c r="H148" s="910"/>
      <c r="I148" s="910"/>
      <c r="J148" s="910"/>
      <c r="K148" s="910"/>
      <c r="L148" s="953"/>
      <c r="M148" s="953"/>
      <c r="N148" s="953"/>
      <c r="O148" s="794">
        <f t="shared" si="30"/>
        <v>0</v>
      </c>
      <c r="P148" s="954">
        <f t="shared" si="31"/>
        <v>0</v>
      </c>
      <c r="Q148" s="954">
        <f t="shared" si="27"/>
        <v>0</v>
      </c>
      <c r="R148" s="955">
        <f>NC_DKDD!G112</f>
        <v>0</v>
      </c>
    </row>
    <row r="149" spans="1:18" s="824" customFormat="1" ht="23.45" customHeight="1">
      <c r="A149" s="798" t="s">
        <v>733</v>
      </c>
      <c r="B149" s="799" t="s">
        <v>846</v>
      </c>
      <c r="C149" s="798" t="s">
        <v>532</v>
      </c>
      <c r="D149" s="792" t="s">
        <v>722</v>
      </c>
      <c r="E149" s="960" t="e">
        <f>NC_DKDD!H113</f>
        <v>#VALUE!</v>
      </c>
      <c r="F149" s="795"/>
      <c r="G149" s="795"/>
      <c r="H149" s="910"/>
      <c r="I149" s="910"/>
      <c r="J149" s="910"/>
      <c r="K149" s="910"/>
      <c r="L149" s="953"/>
      <c r="M149" s="953"/>
      <c r="N149" s="953"/>
      <c r="O149" s="794">
        <f t="shared" si="30"/>
        <v>245.92307692307691</v>
      </c>
      <c r="P149" s="954">
        <f t="shared" si="31"/>
        <v>213.84615384615384</v>
      </c>
      <c r="Q149" s="954">
        <f t="shared" si="27"/>
        <v>32.07692307692308</v>
      </c>
      <c r="R149" s="955">
        <f>NC_DKDD!G113</f>
        <v>0.04</v>
      </c>
    </row>
    <row r="150" spans="1:18" s="824" customFormat="1" ht="23.45" customHeight="1">
      <c r="A150" s="798" t="s">
        <v>741</v>
      </c>
      <c r="B150" s="799" t="s">
        <v>849</v>
      </c>
      <c r="C150" s="798" t="s">
        <v>532</v>
      </c>
      <c r="D150" s="792" t="s">
        <v>722</v>
      </c>
      <c r="E150" s="960" t="e">
        <f>NC_DKDD!H114</f>
        <v>#VALUE!</v>
      </c>
      <c r="F150" s="795"/>
      <c r="G150" s="795"/>
      <c r="H150" s="910"/>
      <c r="I150" s="910"/>
      <c r="J150" s="910"/>
      <c r="K150" s="910"/>
      <c r="L150" s="953"/>
      <c r="M150" s="953"/>
      <c r="N150" s="953"/>
      <c r="O150" s="794">
        <f t="shared" si="30"/>
        <v>153.70192307692309</v>
      </c>
      <c r="P150" s="954">
        <f t="shared" si="31"/>
        <v>133.65384615384616</v>
      </c>
      <c r="Q150" s="954">
        <f t="shared" si="27"/>
        <v>20.048076923076923</v>
      </c>
      <c r="R150" s="955">
        <f>NC_DKDD!G114</f>
        <v>2.5000000000000001E-2</v>
      </c>
    </row>
    <row r="151" spans="1:18" s="824" customFormat="1" ht="28.5">
      <c r="A151" s="798">
        <v>2</v>
      </c>
      <c r="B151" s="799" t="s">
        <v>584</v>
      </c>
      <c r="C151" s="798" t="s">
        <v>532</v>
      </c>
      <c r="D151" s="792" t="s">
        <v>722</v>
      </c>
      <c r="E151" s="960" t="e">
        <f>NC_DKDD!H115</f>
        <v>#VALUE!</v>
      </c>
      <c r="F151" s="795"/>
      <c r="G151" s="795"/>
      <c r="H151" s="910"/>
      <c r="I151" s="910"/>
      <c r="J151" s="910"/>
      <c r="K151" s="910"/>
      <c r="L151" s="953"/>
      <c r="M151" s="953"/>
      <c r="N151" s="953"/>
      <c r="O151" s="794">
        <f t="shared" si="30"/>
        <v>122.96153846153845</v>
      </c>
      <c r="P151" s="954">
        <f t="shared" si="31"/>
        <v>106.92307692307692</v>
      </c>
      <c r="Q151" s="954">
        <f t="shared" si="27"/>
        <v>16.03846153846154</v>
      </c>
      <c r="R151" s="955">
        <f>NC_DKDD!G115</f>
        <v>0.02</v>
      </c>
    </row>
    <row r="152" spans="1:18" s="824" customFormat="1" ht="33" customHeight="1">
      <c r="A152" s="798">
        <v>3</v>
      </c>
      <c r="B152" s="799" t="s">
        <v>585</v>
      </c>
      <c r="C152" s="798" t="s">
        <v>532</v>
      </c>
      <c r="D152" s="792" t="s">
        <v>722</v>
      </c>
      <c r="E152" s="960" t="e">
        <f>NC_DKDD!H116</f>
        <v>#VALUE!</v>
      </c>
      <c r="F152" s="795"/>
      <c r="G152" s="795"/>
      <c r="H152" s="910"/>
      <c r="I152" s="910"/>
      <c r="J152" s="910"/>
      <c r="K152" s="910"/>
      <c r="L152" s="953"/>
      <c r="M152" s="953"/>
      <c r="N152" s="953"/>
      <c r="O152" s="794">
        <f t="shared" si="30"/>
        <v>1229.6153846153848</v>
      </c>
      <c r="P152" s="954">
        <f t="shared" si="31"/>
        <v>1069.2307692307693</v>
      </c>
      <c r="Q152" s="954">
        <f t="shared" si="27"/>
        <v>160.38461538461539</v>
      </c>
      <c r="R152" s="955">
        <f>NC_DKDD!G116</f>
        <v>0.2</v>
      </c>
    </row>
    <row r="153" spans="1:18" s="824" customFormat="1" ht="30.75" customHeight="1">
      <c r="A153" s="798">
        <v>4</v>
      </c>
      <c r="B153" s="799" t="s">
        <v>2</v>
      </c>
      <c r="C153" s="798" t="s">
        <v>375</v>
      </c>
      <c r="D153" s="792" t="s">
        <v>722</v>
      </c>
      <c r="E153" s="960" t="e">
        <f>NC_DKDD!H117</f>
        <v>#VALUE!</v>
      </c>
      <c r="F153" s="795"/>
      <c r="G153" s="795"/>
      <c r="H153" s="910"/>
      <c r="I153" s="910"/>
      <c r="J153" s="910"/>
      <c r="K153" s="910"/>
      <c r="L153" s="953"/>
      <c r="M153" s="953"/>
      <c r="N153" s="953"/>
      <c r="O153" s="794">
        <f t="shared" si="30"/>
        <v>36.888461538461534</v>
      </c>
      <c r="P153" s="954">
        <f t="shared" si="31"/>
        <v>32.076923076923073</v>
      </c>
      <c r="Q153" s="954">
        <f t="shared" si="27"/>
        <v>4.8115384615384613</v>
      </c>
      <c r="R153" s="955">
        <f>NC_DKDD!G117</f>
        <v>6.0000000000000001E-3</v>
      </c>
    </row>
    <row r="154" spans="1:18" s="824" customFormat="1" ht="21" customHeight="1">
      <c r="A154" s="798">
        <v>5</v>
      </c>
      <c r="B154" s="799" t="s">
        <v>23</v>
      </c>
      <c r="C154" s="798"/>
      <c r="D154" s="798"/>
      <c r="E154" s="960">
        <f>NC_DKDD!H118</f>
        <v>0</v>
      </c>
      <c r="F154" s="795"/>
      <c r="G154" s="795"/>
      <c r="H154" s="910"/>
      <c r="I154" s="910"/>
      <c r="J154" s="910"/>
      <c r="K154" s="910"/>
      <c r="L154" s="953"/>
      <c r="M154" s="953"/>
      <c r="N154" s="953"/>
      <c r="O154" s="794">
        <f t="shared" si="30"/>
        <v>0</v>
      </c>
      <c r="P154" s="954">
        <f t="shared" si="31"/>
        <v>0</v>
      </c>
      <c r="Q154" s="954">
        <f t="shared" si="27"/>
        <v>0</v>
      </c>
      <c r="R154" s="955">
        <f>NC_DKDD!G118</f>
        <v>0</v>
      </c>
    </row>
    <row r="155" spans="1:18" s="824" customFormat="1" ht="21" customHeight="1">
      <c r="A155" s="798" t="s">
        <v>461</v>
      </c>
      <c r="B155" s="799" t="s">
        <v>587</v>
      </c>
      <c r="C155" s="798" t="s">
        <v>532</v>
      </c>
      <c r="D155" s="792" t="s">
        <v>722</v>
      </c>
      <c r="E155" s="960" t="e">
        <f>NC_DKDD!H119</f>
        <v>#VALUE!</v>
      </c>
      <c r="F155" s="795"/>
      <c r="G155" s="795"/>
      <c r="H155" s="910"/>
      <c r="I155" s="910"/>
      <c r="J155" s="910"/>
      <c r="K155" s="910"/>
      <c r="L155" s="953"/>
      <c r="M155" s="953"/>
      <c r="N155" s="953"/>
      <c r="O155" s="794">
        <f t="shared" si="30"/>
        <v>245.92307692307691</v>
      </c>
      <c r="P155" s="954">
        <f t="shared" si="31"/>
        <v>213.84615384615384</v>
      </c>
      <c r="Q155" s="954">
        <f t="shared" si="27"/>
        <v>32.07692307692308</v>
      </c>
      <c r="R155" s="955">
        <f>NC_DKDD!G119</f>
        <v>0.04</v>
      </c>
    </row>
    <row r="156" spans="1:18" s="824" customFormat="1" ht="21" customHeight="1">
      <c r="A156" s="798" t="s">
        <v>462</v>
      </c>
      <c r="B156" s="799" t="s">
        <v>588</v>
      </c>
      <c r="C156" s="798" t="s">
        <v>532</v>
      </c>
      <c r="D156" s="792" t="s">
        <v>722</v>
      </c>
      <c r="E156" s="960" t="e">
        <f>NC_DKDD!H120</f>
        <v>#VALUE!</v>
      </c>
      <c r="F156" s="795"/>
      <c r="G156" s="795"/>
      <c r="H156" s="910"/>
      <c r="I156" s="910"/>
      <c r="J156" s="910"/>
      <c r="K156" s="910"/>
      <c r="L156" s="953"/>
      <c r="M156" s="953"/>
      <c r="N156" s="953"/>
      <c r="O156" s="794">
        <f t="shared" si="30"/>
        <v>491.84615384615381</v>
      </c>
      <c r="P156" s="954">
        <f t="shared" si="31"/>
        <v>427.69230769230768</v>
      </c>
      <c r="Q156" s="954">
        <f t="shared" si="27"/>
        <v>64.15384615384616</v>
      </c>
      <c r="R156" s="955">
        <f>NC_DKDD!G120</f>
        <v>0.08</v>
      </c>
    </row>
    <row r="157" spans="1:18" s="824" customFormat="1" ht="39.75" customHeight="1">
      <c r="A157" s="798">
        <v>6</v>
      </c>
      <c r="B157" s="799" t="s">
        <v>589</v>
      </c>
      <c r="C157" s="798"/>
      <c r="D157" s="798"/>
      <c r="E157" s="960">
        <f>NC_DKDD!H121</f>
        <v>0</v>
      </c>
      <c r="F157" s="795"/>
      <c r="G157" s="795"/>
      <c r="H157" s="910"/>
      <c r="I157" s="910"/>
      <c r="J157" s="910"/>
      <c r="K157" s="910"/>
      <c r="L157" s="953"/>
      <c r="M157" s="953"/>
      <c r="N157" s="953"/>
      <c r="O157" s="794">
        <f t="shared" si="30"/>
        <v>0</v>
      </c>
      <c r="P157" s="954">
        <f t="shared" si="31"/>
        <v>0</v>
      </c>
      <c r="Q157" s="954">
        <f t="shared" si="27"/>
        <v>0</v>
      </c>
      <c r="R157" s="955">
        <f>NC_DKDD!G121</f>
        <v>0</v>
      </c>
    </row>
    <row r="158" spans="1:18" s="824" customFormat="1" ht="26.25" customHeight="1">
      <c r="A158" s="798" t="s">
        <v>661</v>
      </c>
      <c r="B158" s="799" t="s">
        <v>590</v>
      </c>
      <c r="C158" s="798" t="s">
        <v>532</v>
      </c>
      <c r="D158" s="792" t="s">
        <v>722</v>
      </c>
      <c r="E158" s="960" t="e">
        <f>NC_DKDD!H122</f>
        <v>#VALUE!</v>
      </c>
      <c r="F158" s="795"/>
      <c r="G158" s="795"/>
      <c r="H158" s="910"/>
      <c r="I158" s="910"/>
      <c r="J158" s="910"/>
      <c r="K158" s="910"/>
      <c r="L158" s="953"/>
      <c r="M158" s="953"/>
      <c r="N158" s="953"/>
      <c r="O158" s="794">
        <f t="shared" si="30"/>
        <v>307.40384615384619</v>
      </c>
      <c r="P158" s="954">
        <f t="shared" si="31"/>
        <v>267.30769230769232</v>
      </c>
      <c r="Q158" s="954">
        <f t="shared" si="27"/>
        <v>40.096153846153847</v>
      </c>
      <c r="R158" s="955">
        <f>NC_DKDD!G122</f>
        <v>0.05</v>
      </c>
    </row>
    <row r="159" spans="1:18" s="824" customFormat="1" ht="26.25" customHeight="1">
      <c r="A159" s="798" t="s">
        <v>662</v>
      </c>
      <c r="B159" s="799" t="s">
        <v>591</v>
      </c>
      <c r="C159" s="798" t="s">
        <v>532</v>
      </c>
      <c r="D159" s="792" t="s">
        <v>722</v>
      </c>
      <c r="E159" s="960" t="e">
        <f>NC_DKDD!H123</f>
        <v>#VALUE!</v>
      </c>
      <c r="F159" s="795"/>
      <c r="G159" s="795"/>
      <c r="H159" s="910"/>
      <c r="I159" s="910"/>
      <c r="J159" s="910"/>
      <c r="K159" s="910"/>
      <c r="L159" s="953"/>
      <c r="M159" s="953"/>
      <c r="N159" s="953"/>
      <c r="O159" s="794">
        <f t="shared" si="30"/>
        <v>368.88461538461536</v>
      </c>
      <c r="P159" s="954">
        <f t="shared" si="31"/>
        <v>320.76923076923072</v>
      </c>
      <c r="Q159" s="954">
        <f t="shared" si="27"/>
        <v>48.115384615384613</v>
      </c>
      <c r="R159" s="955">
        <f>NC_DKDD!G123</f>
        <v>0.06</v>
      </c>
    </row>
    <row r="160" spans="1:18" s="824" customFormat="1" ht="42.75">
      <c r="A160" s="798">
        <v>7</v>
      </c>
      <c r="B160" s="799" t="s">
        <v>592</v>
      </c>
      <c r="C160" s="798"/>
      <c r="D160" s="798"/>
      <c r="E160" s="960">
        <f>NC_DKDD!H124</f>
        <v>0</v>
      </c>
      <c r="F160" s="910"/>
      <c r="G160" s="795"/>
      <c r="H160" s="910"/>
      <c r="I160" s="910"/>
      <c r="J160" s="911"/>
      <c r="K160" s="911"/>
      <c r="L160" s="953"/>
      <c r="M160" s="953"/>
      <c r="N160" s="953"/>
      <c r="O160" s="794">
        <f t="shared" si="30"/>
        <v>0</v>
      </c>
      <c r="P160" s="954">
        <f t="shared" si="31"/>
        <v>0</v>
      </c>
      <c r="Q160" s="954">
        <f t="shared" si="27"/>
        <v>0</v>
      </c>
      <c r="R160" s="955">
        <f>NC_DKDD!G124</f>
        <v>0</v>
      </c>
    </row>
    <row r="161" spans="1:18" s="920" customFormat="1" ht="35.25" customHeight="1">
      <c r="A161" s="798" t="s">
        <v>714</v>
      </c>
      <c r="B161" s="799" t="s">
        <v>3</v>
      </c>
      <c r="C161" s="798" t="s">
        <v>532</v>
      </c>
      <c r="D161" s="792" t="s">
        <v>722</v>
      </c>
      <c r="E161" s="960" t="e">
        <f>NC_DKDD!H125</f>
        <v>#VALUE!</v>
      </c>
      <c r="F161" s="866"/>
      <c r="G161" s="961"/>
      <c r="H161" s="961"/>
      <c r="I161" s="961"/>
      <c r="J161" s="961"/>
      <c r="K161" s="961"/>
      <c r="L161" s="961"/>
      <c r="M161" s="796"/>
      <c r="N161" s="796"/>
      <c r="O161" s="794">
        <f t="shared" si="30"/>
        <v>368.88461538461536</v>
      </c>
      <c r="P161" s="954">
        <f t="shared" si="31"/>
        <v>320.76923076923072</v>
      </c>
      <c r="Q161" s="954">
        <f t="shared" si="27"/>
        <v>48.115384615384613</v>
      </c>
      <c r="R161" s="955">
        <f>NC_DKDD!G125</f>
        <v>0.06</v>
      </c>
    </row>
    <row r="162" spans="1:18" s="824" customFormat="1" ht="35.25" customHeight="1">
      <c r="A162" s="798" t="s">
        <v>715</v>
      </c>
      <c r="B162" s="799" t="s">
        <v>594</v>
      </c>
      <c r="C162" s="798" t="s">
        <v>532</v>
      </c>
      <c r="D162" s="792" t="s">
        <v>722</v>
      </c>
      <c r="E162" s="960" t="e">
        <f>NC_DKDD!H126</f>
        <v>#VALUE!</v>
      </c>
      <c r="F162" s="956"/>
      <c r="G162" s="910"/>
      <c r="H162" s="910"/>
      <c r="I162" s="910"/>
      <c r="J162" s="910"/>
      <c r="K162" s="910"/>
      <c r="L162" s="962"/>
      <c r="M162" s="953"/>
      <c r="N162" s="953"/>
      <c r="O162" s="794">
        <f t="shared" si="30"/>
        <v>307.40384615384619</v>
      </c>
      <c r="P162" s="954">
        <f t="shared" si="31"/>
        <v>267.30769230769232</v>
      </c>
      <c r="Q162" s="954">
        <f t="shared" si="27"/>
        <v>40.096153846153847</v>
      </c>
      <c r="R162" s="955">
        <f>NC_DKDD!G126</f>
        <v>0.05</v>
      </c>
    </row>
    <row r="163" spans="1:18" s="824" customFormat="1" ht="28.5">
      <c r="A163" s="798">
        <v>8</v>
      </c>
      <c r="B163" s="799" t="s">
        <v>78</v>
      </c>
      <c r="C163" s="798" t="s">
        <v>375</v>
      </c>
      <c r="D163" s="792" t="s">
        <v>722</v>
      </c>
      <c r="E163" s="960" t="e">
        <f>NC_DKDD!H127</f>
        <v>#VALUE!</v>
      </c>
      <c r="F163" s="795"/>
      <c r="G163" s="795"/>
      <c r="H163" s="910"/>
      <c r="I163" s="910"/>
      <c r="J163" s="911"/>
      <c r="K163" s="911"/>
      <c r="L163" s="962"/>
      <c r="M163" s="953"/>
      <c r="N163" s="953"/>
      <c r="O163" s="794">
        <f t="shared" si="30"/>
        <v>184.44230769230768</v>
      </c>
      <c r="P163" s="954">
        <f t="shared" si="31"/>
        <v>160.38461538461536</v>
      </c>
      <c r="Q163" s="954">
        <f t="shared" si="27"/>
        <v>24.057692307692307</v>
      </c>
      <c r="R163" s="955">
        <f>NC_DKDD!G127</f>
        <v>0.03</v>
      </c>
    </row>
    <row r="164" spans="1:18" s="824" customFormat="1" ht="23.25" customHeight="1">
      <c r="A164" s="798">
        <v>9</v>
      </c>
      <c r="B164" s="799" t="s">
        <v>260</v>
      </c>
      <c r="C164" s="798" t="s">
        <v>376</v>
      </c>
      <c r="D164" s="792" t="s">
        <v>722</v>
      </c>
      <c r="E164" s="960">
        <v>0</v>
      </c>
      <c r="F164" s="795"/>
      <c r="G164" s="795"/>
      <c r="H164" s="910"/>
      <c r="I164" s="910"/>
      <c r="J164" s="911"/>
      <c r="K164" s="911"/>
      <c r="L164" s="962"/>
      <c r="M164" s="953"/>
      <c r="N164" s="953"/>
      <c r="O164" s="794">
        <f t="shared" si="30"/>
        <v>1229.6153846153848</v>
      </c>
      <c r="P164" s="954">
        <f t="shared" si="31"/>
        <v>1069.2307692307693</v>
      </c>
      <c r="Q164" s="954">
        <f t="shared" si="27"/>
        <v>160.38461538461539</v>
      </c>
      <c r="R164" s="955">
        <f>NC_DKDD!G128</f>
        <v>0.2</v>
      </c>
    </row>
    <row r="165" spans="1:18" s="824" customFormat="1" ht="23.25" customHeight="1">
      <c r="A165" s="798">
        <v>10</v>
      </c>
      <c r="B165" s="799" t="s">
        <v>80</v>
      </c>
      <c r="C165" s="798"/>
      <c r="D165" s="798"/>
      <c r="E165" s="960">
        <f>NC_DKDD!H129</f>
        <v>0</v>
      </c>
      <c r="F165" s="795"/>
      <c r="G165" s="795"/>
      <c r="H165" s="910"/>
      <c r="I165" s="910"/>
      <c r="J165" s="911"/>
      <c r="K165" s="911"/>
      <c r="L165" s="962"/>
      <c r="M165" s="953"/>
      <c r="N165" s="953"/>
      <c r="O165" s="794">
        <f t="shared" si="30"/>
        <v>0</v>
      </c>
      <c r="P165" s="954">
        <f t="shared" si="31"/>
        <v>0</v>
      </c>
      <c r="Q165" s="954">
        <f t="shared" si="27"/>
        <v>0</v>
      </c>
      <c r="R165" s="955">
        <f>NC_DKDD!G129</f>
        <v>0</v>
      </c>
    </row>
    <row r="166" spans="1:18" s="824" customFormat="1" ht="23.25" customHeight="1">
      <c r="A166" s="798" t="s">
        <v>81</v>
      </c>
      <c r="B166" s="799" t="s">
        <v>82</v>
      </c>
      <c r="C166" s="798" t="s">
        <v>559</v>
      </c>
      <c r="D166" s="792" t="s">
        <v>722</v>
      </c>
      <c r="E166" s="960" t="e">
        <f>NC_DKDD!H130</f>
        <v>#VALUE!</v>
      </c>
      <c r="F166" s="795"/>
      <c r="G166" s="795"/>
      <c r="H166" s="910"/>
      <c r="I166" s="910"/>
      <c r="J166" s="911"/>
      <c r="K166" s="911"/>
      <c r="L166" s="962"/>
      <c r="M166" s="953"/>
      <c r="N166" s="953"/>
      <c r="O166" s="794">
        <f t="shared" si="30"/>
        <v>307.40384615384619</v>
      </c>
      <c r="P166" s="954">
        <f t="shared" si="31"/>
        <v>267.30769230769232</v>
      </c>
      <c r="Q166" s="954">
        <f t="shared" si="27"/>
        <v>40.096153846153847</v>
      </c>
      <c r="R166" s="955">
        <f>NC_DKDD!G130</f>
        <v>0.05</v>
      </c>
    </row>
    <row r="167" spans="1:18" s="824" customFormat="1" ht="22.9" customHeight="1">
      <c r="A167" s="798" t="s">
        <v>83</v>
      </c>
      <c r="B167" s="799" t="s">
        <v>84</v>
      </c>
      <c r="C167" s="798" t="s">
        <v>559</v>
      </c>
      <c r="D167" s="792" t="s">
        <v>722</v>
      </c>
      <c r="E167" s="960" t="e">
        <f>NC_DKDD!H131</f>
        <v>#VALUE!</v>
      </c>
      <c r="F167" s="795"/>
      <c r="G167" s="795"/>
      <c r="H167" s="910"/>
      <c r="I167" s="910"/>
      <c r="J167" s="911"/>
      <c r="K167" s="911"/>
      <c r="L167" s="962"/>
      <c r="M167" s="953"/>
      <c r="N167" s="953"/>
      <c r="O167" s="794">
        <f t="shared" si="30"/>
        <v>614.80769230769238</v>
      </c>
      <c r="P167" s="954">
        <f t="shared" si="31"/>
        <v>534.61538461538464</v>
      </c>
      <c r="Q167" s="954">
        <f t="shared" si="27"/>
        <v>80.192307692307693</v>
      </c>
      <c r="R167" s="955">
        <f>NC_DKDD!G131</f>
        <v>0.1</v>
      </c>
    </row>
    <row r="168" spans="1:18" s="824" customFormat="1" ht="36.75" customHeight="1">
      <c r="A168" s="798">
        <v>11</v>
      </c>
      <c r="B168" s="799" t="s">
        <v>85</v>
      </c>
      <c r="C168" s="798" t="s">
        <v>532</v>
      </c>
      <c r="D168" s="792" t="s">
        <v>722</v>
      </c>
      <c r="E168" s="960" t="e">
        <f>NC_DKDD!H132</f>
        <v>#VALUE!</v>
      </c>
      <c r="F168" s="795"/>
      <c r="G168" s="795"/>
      <c r="H168" s="910"/>
      <c r="I168" s="910"/>
      <c r="J168" s="911"/>
      <c r="K168" s="911"/>
      <c r="L168" s="962"/>
      <c r="M168" s="953"/>
      <c r="N168" s="953"/>
      <c r="O168" s="794">
        <f t="shared" si="30"/>
        <v>245.92307692307691</v>
      </c>
      <c r="P168" s="954">
        <f t="shared" si="31"/>
        <v>213.84615384615384</v>
      </c>
      <c r="Q168" s="954">
        <f t="shared" si="27"/>
        <v>32.07692307692308</v>
      </c>
      <c r="R168" s="955">
        <f>NC_DKDD!G132</f>
        <v>0.04</v>
      </c>
    </row>
    <row r="169" spans="1:18" s="824" customFormat="1" ht="42" customHeight="1">
      <c r="A169" s="798">
        <v>12</v>
      </c>
      <c r="B169" s="799" t="s">
        <v>86</v>
      </c>
      <c r="C169" s="798" t="s">
        <v>532</v>
      </c>
      <c r="D169" s="792" t="s">
        <v>722</v>
      </c>
      <c r="E169" s="960" t="e">
        <f>NC_DKDD!H133</f>
        <v>#VALUE!</v>
      </c>
      <c r="F169" s="795"/>
      <c r="G169" s="795"/>
      <c r="H169" s="910"/>
      <c r="I169" s="910"/>
      <c r="J169" s="911"/>
      <c r="K169" s="911"/>
      <c r="L169" s="962"/>
      <c r="M169" s="953"/>
      <c r="N169" s="953"/>
      <c r="O169" s="794">
        <f t="shared" si="30"/>
        <v>122.96153846153845</v>
      </c>
      <c r="P169" s="954">
        <f t="shared" si="31"/>
        <v>106.92307692307692</v>
      </c>
      <c r="Q169" s="954">
        <f t="shared" si="27"/>
        <v>16.03846153846154</v>
      </c>
      <c r="R169" s="955">
        <f>NC_DKDD!G133</f>
        <v>0.02</v>
      </c>
    </row>
    <row r="170" spans="1:18" s="817" customFormat="1" ht="25.5" customHeight="1">
      <c r="A170" s="798">
        <v>13</v>
      </c>
      <c r="B170" s="799" t="s">
        <v>87</v>
      </c>
      <c r="C170" s="798" t="s">
        <v>375</v>
      </c>
      <c r="D170" s="792" t="s">
        <v>722</v>
      </c>
      <c r="E170" s="960" t="e">
        <f>NC_DKDD!H134</f>
        <v>#VALUE!</v>
      </c>
      <c r="F170" s="910"/>
      <c r="G170" s="795"/>
      <c r="H170" s="910"/>
      <c r="I170" s="910"/>
      <c r="J170" s="911"/>
      <c r="K170" s="911"/>
      <c r="L170" s="911"/>
      <c r="M170" s="911"/>
      <c r="N170" s="911"/>
      <c r="O170" s="794">
        <f t="shared" si="30"/>
        <v>202.88653846153844</v>
      </c>
      <c r="P170" s="954">
        <f t="shared" si="31"/>
        <v>176.42307692307691</v>
      </c>
      <c r="Q170" s="954">
        <f t="shared" si="27"/>
        <v>26.463461538461541</v>
      </c>
      <c r="R170" s="955">
        <f>NC_DKDD!G134</f>
        <v>3.3000000000000002E-2</v>
      </c>
    </row>
    <row r="171" spans="1:18" s="817" customFormat="1" ht="24.75" customHeight="1">
      <c r="A171" s="798">
        <v>14</v>
      </c>
      <c r="B171" s="799" t="s">
        <v>4</v>
      </c>
      <c r="C171" s="798"/>
      <c r="D171" s="798"/>
      <c r="E171" s="960">
        <f>NC_DKDD!H135</f>
        <v>0</v>
      </c>
      <c r="F171" s="910"/>
      <c r="G171" s="795"/>
      <c r="H171" s="910"/>
      <c r="I171" s="910"/>
      <c r="J171" s="911"/>
      <c r="K171" s="911"/>
      <c r="L171" s="911"/>
      <c r="M171" s="911"/>
      <c r="N171" s="911"/>
      <c r="O171" s="794">
        <f t="shared" si="30"/>
        <v>0</v>
      </c>
      <c r="P171" s="954">
        <f t="shared" si="31"/>
        <v>0</v>
      </c>
      <c r="Q171" s="954">
        <f t="shared" si="27"/>
        <v>0</v>
      </c>
      <c r="R171" s="955">
        <f>NC_DKDD!G135</f>
        <v>0</v>
      </c>
    </row>
    <row r="172" spans="1:18" s="817" customFormat="1" ht="31.5" customHeight="1">
      <c r="A172" s="798" t="s">
        <v>860</v>
      </c>
      <c r="B172" s="799" t="s">
        <v>775</v>
      </c>
      <c r="C172" s="798"/>
      <c r="D172" s="798"/>
      <c r="E172" s="960">
        <f>NC_DKDD!H136</f>
        <v>0</v>
      </c>
      <c r="F172" s="910"/>
      <c r="G172" s="795"/>
      <c r="H172" s="910"/>
      <c r="I172" s="910"/>
      <c r="J172" s="911"/>
      <c r="K172" s="911"/>
      <c r="L172" s="911"/>
      <c r="M172" s="911"/>
      <c r="N172" s="911"/>
      <c r="O172" s="794">
        <f t="shared" si="30"/>
        <v>0</v>
      </c>
      <c r="P172" s="954">
        <f t="shared" si="31"/>
        <v>0</v>
      </c>
      <c r="Q172" s="954">
        <f t="shared" si="27"/>
        <v>0</v>
      </c>
      <c r="R172" s="955">
        <f>NC_DKDD!G136</f>
        <v>0</v>
      </c>
    </row>
    <row r="173" spans="1:18" s="817" customFormat="1" ht="24.75" customHeight="1">
      <c r="A173" s="798" t="s">
        <v>776</v>
      </c>
      <c r="B173" s="799" t="s">
        <v>777</v>
      </c>
      <c r="C173" s="798" t="s">
        <v>377</v>
      </c>
      <c r="D173" s="792" t="s">
        <v>722</v>
      </c>
      <c r="E173" s="910" t="e">
        <f>NC_DKDD!H137</f>
        <v>#VALUE!</v>
      </c>
      <c r="F173" s="910"/>
      <c r="G173" s="795"/>
      <c r="H173" s="910"/>
      <c r="I173" s="910"/>
      <c r="J173" s="911"/>
      <c r="K173" s="911"/>
      <c r="L173" s="911"/>
      <c r="M173" s="911"/>
      <c r="N173" s="911"/>
      <c r="O173" s="794">
        <f t="shared" ref="O173:O188" si="32">P173+Q173</f>
        <v>98.369230769230768</v>
      </c>
      <c r="P173" s="954">
        <f t="shared" ref="P173:P188" si="33">R173*$P$103</f>
        <v>85.538461538461533</v>
      </c>
      <c r="Q173" s="954">
        <f t="shared" si="27"/>
        <v>12.830769230769231</v>
      </c>
      <c r="R173" s="955">
        <f>NC_DKDD!G137</f>
        <v>1.6E-2</v>
      </c>
    </row>
    <row r="174" spans="1:18" s="817" customFormat="1" ht="24.75" customHeight="1">
      <c r="A174" s="798" t="s">
        <v>780</v>
      </c>
      <c r="B174" s="799" t="s">
        <v>781</v>
      </c>
      <c r="C174" s="798" t="s">
        <v>377</v>
      </c>
      <c r="D174" s="792" t="s">
        <v>722</v>
      </c>
      <c r="E174" s="910" t="e">
        <f>NC_DKDD!H138</f>
        <v>#VALUE!</v>
      </c>
      <c r="F174" s="910"/>
      <c r="G174" s="795"/>
      <c r="H174" s="910"/>
      <c r="I174" s="910"/>
      <c r="J174" s="911"/>
      <c r="K174" s="911"/>
      <c r="L174" s="911"/>
      <c r="M174" s="911"/>
      <c r="N174" s="911"/>
      <c r="O174" s="794">
        <f t="shared" si="32"/>
        <v>49.184615384615384</v>
      </c>
      <c r="P174" s="954">
        <f t="shared" si="33"/>
        <v>42.769230769230766</v>
      </c>
      <c r="Q174" s="954">
        <f t="shared" si="27"/>
        <v>6.4153846153846157</v>
      </c>
      <c r="R174" s="955">
        <f>NC_DKDD!G138</f>
        <v>8.0000000000000002E-3</v>
      </c>
    </row>
    <row r="175" spans="1:18" s="817" customFormat="1" ht="31.5" customHeight="1">
      <c r="A175" s="798" t="s">
        <v>782</v>
      </c>
      <c r="B175" s="799" t="s">
        <v>861</v>
      </c>
      <c r="C175" s="798" t="s">
        <v>377</v>
      </c>
      <c r="D175" s="792" t="s">
        <v>722</v>
      </c>
      <c r="E175" s="910" t="e">
        <f>NC_DKDD!H139</f>
        <v>#VALUE!</v>
      </c>
      <c r="F175" s="910"/>
      <c r="G175" s="795"/>
      <c r="H175" s="910"/>
      <c r="I175" s="910"/>
      <c r="J175" s="911"/>
      <c r="K175" s="911"/>
      <c r="L175" s="911"/>
      <c r="M175" s="911"/>
      <c r="N175" s="911"/>
      <c r="O175" s="794">
        <f t="shared" si="32"/>
        <v>24.592307692307692</v>
      </c>
      <c r="P175" s="954">
        <f t="shared" si="33"/>
        <v>21.384615384615383</v>
      </c>
      <c r="Q175" s="954">
        <f t="shared" si="27"/>
        <v>3.2076923076923078</v>
      </c>
      <c r="R175" s="955">
        <f>NC_DKDD!G139</f>
        <v>4.0000000000000001E-3</v>
      </c>
    </row>
    <row r="176" spans="1:18" s="817" customFormat="1" ht="30.75" customHeight="1">
      <c r="A176" s="798" t="s">
        <v>862</v>
      </c>
      <c r="B176" s="799" t="s">
        <v>863</v>
      </c>
      <c r="C176" s="798" t="s">
        <v>375</v>
      </c>
      <c r="D176" s="792" t="s">
        <v>722</v>
      </c>
      <c r="E176" s="910" t="e">
        <f>NC_DKDD!H140</f>
        <v>#VALUE!</v>
      </c>
      <c r="F176" s="910"/>
      <c r="G176" s="795"/>
      <c r="H176" s="910"/>
      <c r="I176" s="910"/>
      <c r="J176" s="911"/>
      <c r="K176" s="911"/>
      <c r="L176" s="911"/>
      <c r="M176" s="911"/>
      <c r="N176" s="911"/>
      <c r="O176" s="794">
        <f t="shared" si="32"/>
        <v>61.480769230769226</v>
      </c>
      <c r="P176" s="954">
        <f t="shared" si="33"/>
        <v>53.46153846153846</v>
      </c>
      <c r="Q176" s="954">
        <f t="shared" si="27"/>
        <v>8.0192307692307701</v>
      </c>
      <c r="R176" s="955">
        <f>NC_DKDD!G140</f>
        <v>0.01</v>
      </c>
    </row>
    <row r="177" spans="1:18" s="817" customFormat="1" ht="44.25" customHeight="1">
      <c r="A177" s="798">
        <v>15</v>
      </c>
      <c r="B177" s="799" t="s">
        <v>524</v>
      </c>
      <c r="C177" s="798" t="s">
        <v>532</v>
      </c>
      <c r="D177" s="792" t="s">
        <v>722</v>
      </c>
      <c r="E177" s="910" t="e">
        <f>NC_DKDD!H141</f>
        <v>#VALUE!</v>
      </c>
      <c r="F177" s="910"/>
      <c r="G177" s="795"/>
      <c r="H177" s="910"/>
      <c r="I177" s="910"/>
      <c r="J177" s="911"/>
      <c r="K177" s="911"/>
      <c r="L177" s="911"/>
      <c r="M177" s="911"/>
      <c r="N177" s="911"/>
      <c r="O177" s="794">
        <f t="shared" si="32"/>
        <v>307.40384615384619</v>
      </c>
      <c r="P177" s="954">
        <f t="shared" si="33"/>
        <v>267.30769230769232</v>
      </c>
      <c r="Q177" s="954">
        <f t="shared" si="27"/>
        <v>40.096153846153847</v>
      </c>
      <c r="R177" s="955">
        <f>NC_DKDD!G141</f>
        <v>0.05</v>
      </c>
    </row>
    <row r="178" spans="1:18" s="817" customFormat="1" ht="30" customHeight="1">
      <c r="A178" s="798">
        <v>16</v>
      </c>
      <c r="B178" s="799" t="s">
        <v>525</v>
      </c>
      <c r="C178" s="798" t="s">
        <v>532</v>
      </c>
      <c r="D178" s="792" t="s">
        <v>722</v>
      </c>
      <c r="E178" s="910" t="e">
        <f>NC_DKDD!H142/5000</f>
        <v>#VALUE!</v>
      </c>
      <c r="F178" s="910"/>
      <c r="G178" s="795"/>
      <c r="H178" s="910"/>
      <c r="I178" s="910"/>
      <c r="J178" s="911"/>
      <c r="K178" s="911"/>
      <c r="L178" s="911"/>
      <c r="M178" s="911"/>
      <c r="N178" s="911"/>
      <c r="O178" s="794">
        <f t="shared" si="32"/>
        <v>9.8369230769230764</v>
      </c>
      <c r="P178" s="954">
        <f t="shared" si="33"/>
        <v>8.5538461538461537</v>
      </c>
      <c r="Q178" s="954">
        <f t="shared" si="27"/>
        <v>1.283076923076923</v>
      </c>
      <c r="R178" s="963">
        <f>NC_DKDD!G142/5000</f>
        <v>1.6000000000000001E-3</v>
      </c>
    </row>
    <row r="179" spans="1:18" s="817" customFormat="1" ht="30" customHeight="1">
      <c r="A179" s="791" t="s">
        <v>755</v>
      </c>
      <c r="B179" s="787" t="s">
        <v>339</v>
      </c>
      <c r="C179" s="798"/>
      <c r="D179" s="792"/>
      <c r="E179" s="910"/>
      <c r="F179" s="910"/>
      <c r="G179" s="795"/>
      <c r="H179" s="910"/>
      <c r="I179" s="910"/>
      <c r="J179" s="911"/>
      <c r="K179" s="911"/>
      <c r="L179" s="911"/>
      <c r="M179" s="911"/>
      <c r="N179" s="911"/>
      <c r="O179" s="794">
        <f t="shared" si="32"/>
        <v>0</v>
      </c>
      <c r="P179" s="954">
        <f t="shared" si="33"/>
        <v>0</v>
      </c>
      <c r="Q179" s="954">
        <f t="shared" si="27"/>
        <v>0</v>
      </c>
      <c r="R179" s="963"/>
    </row>
    <row r="180" spans="1:18" s="817" customFormat="1" ht="24.75" customHeight="1">
      <c r="A180" s="791" t="s">
        <v>1012</v>
      </c>
      <c r="B180" s="787" t="s">
        <v>668</v>
      </c>
      <c r="C180" s="798" t="s">
        <v>532</v>
      </c>
      <c r="D180" s="792" t="s">
        <v>722</v>
      </c>
      <c r="E180" s="793" t="e">
        <f>SUM(E182:E188)</f>
        <v>#VALUE!</v>
      </c>
      <c r="F180" s="910"/>
      <c r="G180" s="795"/>
      <c r="H180" s="958">
        <f>'Dcu-DKDD'!L64/5000</f>
        <v>0.12997079038461537</v>
      </c>
      <c r="I180" s="958">
        <f>'VL-DKDD'!J66/5000</f>
        <v>2.5028999999999999</v>
      </c>
      <c r="J180" s="958">
        <f>'TB-DKDD'!M32/5000</f>
        <v>0.23939199999999997</v>
      </c>
      <c r="K180" s="958">
        <f>'NL-DKDD'!J23/5000</f>
        <v>0.54638639999999994</v>
      </c>
      <c r="L180" s="796" t="e">
        <f>SUM(E180:K180)</f>
        <v>#VALUE!</v>
      </c>
      <c r="M180" s="796" t="e">
        <f>L180*'He so chung'!$D$17/100</f>
        <v>#VALUE!</v>
      </c>
      <c r="N180" s="796" t="e">
        <f>L180+M180</f>
        <v>#VALUE!</v>
      </c>
      <c r="O180" s="793">
        <f>SUM(O182:O188)</f>
        <v>596.36346153846148</v>
      </c>
      <c r="P180" s="954">
        <f t="shared" si="33"/>
        <v>518.57692307692309</v>
      </c>
      <c r="Q180" s="954">
        <f t="shared" si="27"/>
        <v>77.786538461538456</v>
      </c>
      <c r="R180" s="808">
        <f>SUM(R182:R188)</f>
        <v>9.7000000000000003E-2</v>
      </c>
    </row>
    <row r="181" spans="1:18" s="817" customFormat="1" ht="24.75" customHeight="1">
      <c r="A181" s="791" t="s">
        <v>623</v>
      </c>
      <c r="B181" s="787" t="s">
        <v>669</v>
      </c>
      <c r="C181" s="798" t="s">
        <v>532</v>
      </c>
      <c r="D181" s="792" t="s">
        <v>624</v>
      </c>
      <c r="E181" s="793" t="e">
        <f>SUM(E183:E188)</f>
        <v>#VALUE!</v>
      </c>
      <c r="F181" s="910"/>
      <c r="G181" s="795"/>
      <c r="H181" s="958">
        <f>H180</f>
        <v>0.12997079038461537</v>
      </c>
      <c r="I181" s="958">
        <f>I180</f>
        <v>2.5028999999999999</v>
      </c>
      <c r="J181" s="958">
        <f>J180</f>
        <v>0.23939199999999997</v>
      </c>
      <c r="K181" s="958">
        <f>K180</f>
        <v>0.54638639999999994</v>
      </c>
      <c r="L181" s="796" t="e">
        <f>SUM(E181:K181)</f>
        <v>#VALUE!</v>
      </c>
      <c r="M181" s="796" t="e">
        <f>L181*'He so chung'!$D$17/100</f>
        <v>#VALUE!</v>
      </c>
      <c r="N181" s="796" t="e">
        <f>L181+M181</f>
        <v>#VALUE!</v>
      </c>
      <c r="O181" s="793">
        <f>SUM(O183:O188)</f>
        <v>596.36346153846148</v>
      </c>
      <c r="P181" s="954">
        <f t="shared" si="33"/>
        <v>518.57692307692309</v>
      </c>
      <c r="Q181" s="954">
        <f t="shared" si="27"/>
        <v>77.786538461538456</v>
      </c>
      <c r="R181" s="808">
        <f>SUM(R183:R188)</f>
        <v>9.7000000000000003E-2</v>
      </c>
    </row>
    <row r="182" spans="1:18" s="817" customFormat="1" ht="24.75" customHeight="1">
      <c r="A182" s="798">
        <v>1</v>
      </c>
      <c r="B182" s="799" t="s">
        <v>530</v>
      </c>
      <c r="C182" s="798"/>
      <c r="D182" s="798"/>
      <c r="E182" s="910"/>
      <c r="F182" s="910"/>
      <c r="G182" s="795"/>
      <c r="H182" s="910"/>
      <c r="I182" s="910"/>
      <c r="J182" s="911"/>
      <c r="K182" s="911"/>
      <c r="L182" s="911"/>
      <c r="M182" s="911"/>
      <c r="N182" s="911"/>
      <c r="O182" s="794"/>
      <c r="P182" s="954">
        <f t="shared" si="33"/>
        <v>0</v>
      </c>
      <c r="Q182" s="954">
        <f t="shared" si="27"/>
        <v>0</v>
      </c>
      <c r="R182" s="955">
        <f>NC_DKDD!G144</f>
        <v>0</v>
      </c>
    </row>
    <row r="183" spans="1:18" s="817" customFormat="1" ht="39.75" customHeight="1">
      <c r="A183" s="798" t="s">
        <v>733</v>
      </c>
      <c r="B183" s="799" t="s">
        <v>340</v>
      </c>
      <c r="C183" s="798" t="s">
        <v>532</v>
      </c>
      <c r="D183" s="792" t="s">
        <v>722</v>
      </c>
      <c r="E183" s="910" t="e">
        <f>NC_DKDD!H145/5000</f>
        <v>#VALUE!</v>
      </c>
      <c r="F183" s="910"/>
      <c r="G183" s="795"/>
      <c r="H183" s="910"/>
      <c r="I183" s="910"/>
      <c r="J183" s="911"/>
      <c r="K183" s="911"/>
      <c r="L183" s="911"/>
      <c r="M183" s="911"/>
      <c r="N183" s="911"/>
      <c r="O183" s="794">
        <f t="shared" si="32"/>
        <v>368.88461538461536</v>
      </c>
      <c r="P183" s="954">
        <f t="shared" si="33"/>
        <v>320.76923076923072</v>
      </c>
      <c r="Q183" s="954">
        <f t="shared" si="27"/>
        <v>48.115384615384613</v>
      </c>
      <c r="R183" s="955">
        <f>NC_DKDD!G145/5000</f>
        <v>0.06</v>
      </c>
    </row>
    <row r="184" spans="1:18" s="817" customFormat="1" ht="30.75" customHeight="1">
      <c r="A184" s="798" t="s">
        <v>741</v>
      </c>
      <c r="B184" s="799" t="s">
        <v>343</v>
      </c>
      <c r="C184" s="798" t="s">
        <v>375</v>
      </c>
      <c r="D184" s="792" t="s">
        <v>722</v>
      </c>
      <c r="E184" s="910" t="e">
        <f>NC_DKDD!H146</f>
        <v>#VALUE!</v>
      </c>
      <c r="F184" s="910"/>
      <c r="G184" s="795"/>
      <c r="H184" s="910"/>
      <c r="I184" s="910"/>
      <c r="J184" s="911"/>
      <c r="K184" s="911"/>
      <c r="L184" s="911"/>
      <c r="M184" s="911"/>
      <c r="N184" s="911"/>
      <c r="O184" s="794">
        <f t="shared" si="32"/>
        <v>61.480769230769226</v>
      </c>
      <c r="P184" s="954">
        <f t="shared" si="33"/>
        <v>53.46153846153846</v>
      </c>
      <c r="Q184" s="954">
        <f t="shared" si="27"/>
        <v>8.0192307692307701</v>
      </c>
      <c r="R184" s="955">
        <f>NC_DKDD!G146</f>
        <v>0.01</v>
      </c>
    </row>
    <row r="185" spans="1:18" s="817" customFormat="1" ht="32.25" customHeight="1">
      <c r="A185" s="798">
        <v>2</v>
      </c>
      <c r="B185" s="799" t="s">
        <v>528</v>
      </c>
      <c r="C185" s="798"/>
      <c r="D185" s="798"/>
      <c r="E185" s="910">
        <f>NC_DKDD!H147</f>
        <v>0</v>
      </c>
      <c r="F185" s="910"/>
      <c r="G185" s="795"/>
      <c r="H185" s="910"/>
      <c r="I185" s="910"/>
      <c r="J185" s="911"/>
      <c r="K185" s="911"/>
      <c r="L185" s="911"/>
      <c r="M185" s="911"/>
      <c r="N185" s="911"/>
      <c r="O185" s="794">
        <f t="shared" si="32"/>
        <v>0</v>
      </c>
      <c r="P185" s="954">
        <f t="shared" si="33"/>
        <v>0</v>
      </c>
      <c r="Q185" s="954">
        <f t="shared" si="27"/>
        <v>0</v>
      </c>
      <c r="R185" s="955">
        <f>NC_DKDD!G147</f>
        <v>0</v>
      </c>
    </row>
    <row r="186" spans="1:18" s="817" customFormat="1" ht="31.5" customHeight="1">
      <c r="A186" s="798" t="s">
        <v>742</v>
      </c>
      <c r="B186" s="799" t="s">
        <v>345</v>
      </c>
      <c r="C186" s="798" t="s">
        <v>495</v>
      </c>
      <c r="D186" s="792" t="s">
        <v>722</v>
      </c>
      <c r="E186" s="910" t="e">
        <f>NC_DKDD!H148/60</f>
        <v>#VALUE!</v>
      </c>
      <c r="F186" s="910"/>
      <c r="G186" s="795"/>
      <c r="H186" s="910"/>
      <c r="I186" s="910"/>
      <c r="J186" s="911"/>
      <c r="K186" s="911"/>
      <c r="L186" s="911"/>
      <c r="M186" s="911"/>
      <c r="N186" s="911"/>
      <c r="O186" s="794">
        <f t="shared" si="32"/>
        <v>153.70192307692309</v>
      </c>
      <c r="P186" s="954">
        <f t="shared" si="33"/>
        <v>133.65384615384616</v>
      </c>
      <c r="Q186" s="954">
        <f t="shared" si="27"/>
        <v>20.048076923076923</v>
      </c>
      <c r="R186" s="955">
        <f>NC_DKDD!G148</f>
        <v>2.5000000000000001E-2</v>
      </c>
    </row>
    <row r="187" spans="1:18" s="817" customFormat="1" ht="30.75" customHeight="1">
      <c r="A187" s="798" t="s">
        <v>743</v>
      </c>
      <c r="B187" s="799" t="s">
        <v>346</v>
      </c>
      <c r="C187" s="798" t="s">
        <v>532</v>
      </c>
      <c r="D187" s="792" t="s">
        <v>722</v>
      </c>
      <c r="E187" s="910" t="e">
        <f>NC_DKDD!H149/5000</f>
        <v>#VALUE!</v>
      </c>
      <c r="F187" s="910"/>
      <c r="G187" s="795"/>
      <c r="H187" s="910"/>
      <c r="I187" s="910"/>
      <c r="J187" s="911"/>
      <c r="K187" s="911"/>
      <c r="L187" s="911"/>
      <c r="M187" s="911"/>
      <c r="N187" s="911"/>
      <c r="O187" s="794">
        <f t="shared" si="32"/>
        <v>2.4592307692307691</v>
      </c>
      <c r="P187" s="954">
        <f t="shared" si="33"/>
        <v>2.1384615384615384</v>
      </c>
      <c r="Q187" s="954">
        <f t="shared" si="27"/>
        <v>0.32076923076923075</v>
      </c>
      <c r="R187" s="963">
        <f>NC_DKDD!G149/5000</f>
        <v>4.0000000000000002E-4</v>
      </c>
    </row>
    <row r="188" spans="1:18" s="817" customFormat="1" ht="28.5">
      <c r="A188" s="798">
        <v>3</v>
      </c>
      <c r="B188" s="799" t="s">
        <v>529</v>
      </c>
      <c r="C188" s="798" t="s">
        <v>532</v>
      </c>
      <c r="D188" s="792" t="s">
        <v>722</v>
      </c>
      <c r="E188" s="910" t="e">
        <f>NC_DKDD!H150/5000</f>
        <v>#VALUE!</v>
      </c>
      <c r="F188" s="910"/>
      <c r="G188" s="795"/>
      <c r="H188" s="910"/>
      <c r="I188" s="910"/>
      <c r="J188" s="911"/>
      <c r="K188" s="911"/>
      <c r="L188" s="911"/>
      <c r="M188" s="911"/>
      <c r="N188" s="911"/>
      <c r="O188" s="794">
        <f t="shared" si="32"/>
        <v>9.8369230769230764</v>
      </c>
      <c r="P188" s="954">
        <f t="shared" si="33"/>
        <v>8.5538461538461537</v>
      </c>
      <c r="Q188" s="954">
        <f>R188*$Q$103</f>
        <v>1.283076923076923</v>
      </c>
      <c r="R188" s="963">
        <f>NC_DKDD!G150/5000</f>
        <v>1.6000000000000001E-3</v>
      </c>
    </row>
    <row r="189" spans="1:18" ht="24.75" customHeight="1">
      <c r="A189" s="606"/>
      <c r="B189" s="964"/>
      <c r="C189" s="606"/>
      <c r="D189" s="965"/>
      <c r="E189" s="803"/>
      <c r="F189" s="803"/>
      <c r="G189" s="804"/>
      <c r="H189" s="803"/>
      <c r="I189" s="803"/>
      <c r="J189" s="805"/>
      <c r="K189" s="805"/>
      <c r="L189" s="805"/>
      <c r="M189" s="805"/>
      <c r="N189" s="805"/>
      <c r="O189" s="442"/>
      <c r="P189" s="420"/>
      <c r="Q189" s="420"/>
    </row>
    <row r="190" spans="1:18" ht="21" customHeight="1">
      <c r="A190" s="437"/>
      <c r="B190" s="948" t="s">
        <v>533</v>
      </c>
      <c r="C190" s="439"/>
      <c r="D190" s="437"/>
      <c r="E190" s="803"/>
      <c r="F190" s="803"/>
      <c r="G190" s="804"/>
      <c r="H190" s="803"/>
      <c r="I190" s="803"/>
      <c r="J190" s="805"/>
      <c r="K190" s="805"/>
      <c r="L190" s="805"/>
      <c r="M190" s="419"/>
      <c r="N190" s="419"/>
      <c r="O190" s="442"/>
      <c r="P190" s="420"/>
      <c r="Q190" s="420"/>
    </row>
    <row r="191" spans="1:18" ht="21.6" customHeight="1">
      <c r="A191" s="455"/>
      <c r="B191" s="1097" t="s">
        <v>833</v>
      </c>
      <c r="C191" s="1097"/>
      <c r="D191" s="1097"/>
      <c r="E191" s="1097"/>
      <c r="F191" s="1097"/>
      <c r="G191" s="1097"/>
      <c r="H191" s="1097"/>
      <c r="I191" s="1097"/>
      <c r="J191" s="1097"/>
      <c r="K191" s="1097"/>
      <c r="L191" s="1097"/>
      <c r="M191" s="1097"/>
      <c r="N191" s="1097"/>
      <c r="O191" s="1097"/>
      <c r="P191" s="420"/>
      <c r="Q191" s="420"/>
    </row>
    <row r="192" spans="1:18" ht="30.75" customHeight="1">
      <c r="A192" s="455"/>
      <c r="B192" s="1069" t="s">
        <v>744</v>
      </c>
      <c r="C192" s="1069"/>
      <c r="D192" s="1069"/>
      <c r="E192" s="1069"/>
      <c r="F192" s="1069"/>
      <c r="G192" s="1069"/>
      <c r="H192" s="1069"/>
      <c r="I192" s="1069"/>
      <c r="J192" s="1069"/>
      <c r="K192" s="1069"/>
      <c r="L192" s="1069"/>
      <c r="M192" s="1069"/>
      <c r="N192" s="1069"/>
      <c r="O192" s="1069"/>
      <c r="P192" s="420"/>
      <c r="Q192" s="420"/>
    </row>
    <row r="193" spans="1:18" ht="33" customHeight="1">
      <c r="A193" s="455"/>
      <c r="B193" s="1069" t="s">
        <v>510</v>
      </c>
      <c r="C193" s="1069"/>
      <c r="D193" s="1069"/>
      <c r="E193" s="1069"/>
      <c r="F193" s="1069"/>
      <c r="G193" s="1069"/>
      <c r="H193" s="1069"/>
      <c r="I193" s="1069"/>
      <c r="J193" s="1069"/>
      <c r="K193" s="1069"/>
      <c r="L193" s="1069"/>
      <c r="M193" s="1069"/>
      <c r="N193" s="1069"/>
      <c r="O193" s="1069"/>
      <c r="P193" s="420"/>
      <c r="Q193" s="420"/>
    </row>
    <row r="194" spans="1:18" ht="41.45" customHeight="1">
      <c r="A194" s="455"/>
      <c r="B194" s="1069" t="s">
        <v>98</v>
      </c>
      <c r="C194" s="1069"/>
      <c r="D194" s="1069"/>
      <c r="E194" s="1069"/>
      <c r="F194" s="1069"/>
      <c r="G194" s="1069"/>
      <c r="H194" s="1069"/>
      <c r="I194" s="1069"/>
      <c r="J194" s="1069"/>
      <c r="K194" s="1069"/>
      <c r="L194" s="1069"/>
      <c r="M194" s="1069"/>
      <c r="N194" s="1069"/>
      <c r="O194" s="1069"/>
      <c r="P194" s="420"/>
      <c r="Q194" s="420"/>
    </row>
    <row r="195" spans="1:18" ht="44.45" customHeight="1">
      <c r="A195" s="455"/>
      <c r="B195" s="1069" t="s">
        <v>511</v>
      </c>
      <c r="C195" s="1069"/>
      <c r="D195" s="1069"/>
      <c r="E195" s="1069"/>
      <c r="F195" s="1069"/>
      <c r="G195" s="1069"/>
      <c r="H195" s="1069"/>
      <c r="I195" s="1069"/>
      <c r="J195" s="1069"/>
      <c r="K195" s="1069"/>
      <c r="L195" s="1069"/>
      <c r="M195" s="1069"/>
      <c r="N195" s="1069"/>
      <c r="O195" s="1069"/>
      <c r="P195" s="420"/>
      <c r="Q195" s="420"/>
    </row>
    <row r="196" spans="1:18" ht="45" customHeight="1">
      <c r="A196" s="455"/>
      <c r="B196" s="1069" t="s">
        <v>507</v>
      </c>
      <c r="C196" s="1069"/>
      <c r="D196" s="1069"/>
      <c r="E196" s="1069"/>
      <c r="F196" s="1069"/>
      <c r="G196" s="1069"/>
      <c r="H196" s="1069"/>
      <c r="I196" s="1069"/>
      <c r="J196" s="1069"/>
      <c r="K196" s="1069"/>
      <c r="L196" s="1069"/>
      <c r="M196" s="1069"/>
      <c r="N196" s="1069"/>
      <c r="O196" s="1069"/>
      <c r="P196" s="420"/>
      <c r="Q196" s="420"/>
    </row>
    <row r="197" spans="1:18" ht="29.45" customHeight="1">
      <c r="A197" s="455"/>
      <c r="B197" s="1069" t="s">
        <v>5</v>
      </c>
      <c r="C197" s="1069"/>
      <c r="D197" s="1069"/>
      <c r="E197" s="1069"/>
      <c r="F197" s="1069"/>
      <c r="G197" s="1069"/>
      <c r="H197" s="1069"/>
      <c r="I197" s="1069"/>
      <c r="J197" s="1069"/>
      <c r="K197" s="1069"/>
      <c r="L197" s="1069"/>
      <c r="M197" s="1069"/>
      <c r="N197" s="1069"/>
      <c r="O197" s="1069"/>
      <c r="P197" s="420"/>
      <c r="Q197" s="420"/>
    </row>
    <row r="198" spans="1:18" s="484" customFormat="1" ht="27.75" customHeight="1">
      <c r="A198" s="1070" t="s">
        <v>808</v>
      </c>
      <c r="B198" s="1070"/>
      <c r="C198" s="1070"/>
      <c r="D198" s="1070"/>
      <c r="E198" s="1070"/>
      <c r="F198" s="1070"/>
      <c r="G198" s="1070"/>
      <c r="H198" s="1070"/>
      <c r="I198" s="1070"/>
      <c r="J198" s="1070"/>
      <c r="K198" s="1070"/>
      <c r="L198" s="1070"/>
      <c r="M198" s="1070"/>
      <c r="N198" s="1070"/>
      <c r="O198" s="1070"/>
      <c r="P198" s="409"/>
      <c r="Q198" s="409"/>
      <c r="R198" s="409"/>
    </row>
    <row r="199" spans="1:18" s="421" customFormat="1" ht="19.5" customHeight="1">
      <c r="A199" s="414"/>
      <c r="B199" s="926"/>
      <c r="C199" s="776"/>
      <c r="D199" s="777" t="s">
        <v>430</v>
      </c>
      <c r="E199" s="419"/>
      <c r="F199" s="778"/>
      <c r="G199" s="779"/>
      <c r="H199" s="778"/>
      <c r="I199" s="780"/>
      <c r="J199" s="778"/>
      <c r="K199" s="778"/>
      <c r="L199" s="781" t="s">
        <v>262</v>
      </c>
      <c r="M199" s="778"/>
      <c r="N199" s="780"/>
      <c r="O199" s="419"/>
      <c r="P199" s="420"/>
      <c r="Q199" s="420"/>
      <c r="R199" s="420"/>
    </row>
    <row r="200" spans="1:18" s="421" customFormat="1" ht="7.5" customHeight="1">
      <c r="A200" s="414"/>
      <c r="B200" s="926"/>
      <c r="C200" s="776"/>
      <c r="D200" s="821"/>
      <c r="E200" s="419"/>
      <c r="F200" s="419"/>
      <c r="G200" s="822"/>
      <c r="H200" s="419"/>
      <c r="I200" s="419"/>
      <c r="J200" s="419"/>
      <c r="K200" s="419"/>
      <c r="L200" s="419"/>
      <c r="M200" s="419"/>
      <c r="N200" s="419"/>
      <c r="O200" s="419"/>
      <c r="P200" s="420"/>
      <c r="Q200" s="420"/>
      <c r="R200" s="420"/>
    </row>
    <row r="201" spans="1:18" s="824" customFormat="1" ht="30" customHeight="1">
      <c r="A201" s="1068" t="s">
        <v>718</v>
      </c>
      <c r="B201" s="1068" t="s">
        <v>198</v>
      </c>
      <c r="C201" s="1071" t="s">
        <v>263</v>
      </c>
      <c r="D201" s="1071" t="s">
        <v>264</v>
      </c>
      <c r="E201" s="1071" t="s">
        <v>683</v>
      </c>
      <c r="F201" s="1071"/>
      <c r="G201" s="1071"/>
      <c r="H201" s="1071"/>
      <c r="I201" s="1071"/>
      <c r="J201" s="1071"/>
      <c r="K201" s="1071"/>
      <c r="L201" s="1071"/>
      <c r="M201" s="1071" t="s">
        <v>435</v>
      </c>
      <c r="N201" s="1071" t="s">
        <v>684</v>
      </c>
      <c r="O201" s="1071" t="s">
        <v>685</v>
      </c>
      <c r="P201" s="815"/>
      <c r="Q201" s="815"/>
      <c r="R201" s="816"/>
    </row>
    <row r="202" spans="1:18" s="824" customFormat="1" ht="36" customHeight="1">
      <c r="A202" s="1068"/>
      <c r="B202" s="1068"/>
      <c r="C202" s="1071"/>
      <c r="D202" s="1071"/>
      <c r="E202" s="783" t="s">
        <v>686</v>
      </c>
      <c r="F202" s="783" t="s">
        <v>687</v>
      </c>
      <c r="G202" s="784" t="s">
        <v>285</v>
      </c>
      <c r="H202" s="783" t="s">
        <v>499</v>
      </c>
      <c r="I202" s="783" t="s">
        <v>688</v>
      </c>
      <c r="J202" s="783" t="s">
        <v>531</v>
      </c>
      <c r="K202" s="783" t="s">
        <v>689</v>
      </c>
      <c r="L202" s="783" t="s">
        <v>690</v>
      </c>
      <c r="M202" s="1071"/>
      <c r="N202" s="1071"/>
      <c r="O202" s="1071"/>
      <c r="P202" s="815"/>
      <c r="Q202" s="815"/>
      <c r="R202" s="816"/>
    </row>
    <row r="203" spans="1:18" s="824" customFormat="1" ht="60" customHeight="1">
      <c r="A203" s="785"/>
      <c r="B203" s="839" t="s">
        <v>694</v>
      </c>
      <c r="C203" s="783"/>
      <c r="D203" s="783"/>
      <c r="E203" s="783"/>
      <c r="F203" s="783"/>
      <c r="G203" s="784"/>
      <c r="H203" s="783"/>
      <c r="I203" s="783"/>
      <c r="J203" s="783"/>
      <c r="K203" s="783"/>
      <c r="L203" s="783"/>
      <c r="M203" s="783"/>
      <c r="N203" s="783"/>
      <c r="O203" s="783"/>
      <c r="P203" s="815"/>
      <c r="Q203" s="815"/>
      <c r="R203" s="816"/>
    </row>
    <row r="204" spans="1:18" s="824" customFormat="1" ht="26.45" customHeight="1">
      <c r="A204" s="1068"/>
      <c r="B204" s="1074" t="s">
        <v>668</v>
      </c>
      <c r="C204" s="1071" t="s">
        <v>532</v>
      </c>
      <c r="D204" s="783">
        <v>1</v>
      </c>
      <c r="E204" s="788" t="e">
        <f>E216+E248</f>
        <v>#VALUE!</v>
      </c>
      <c r="F204" s="788">
        <f t="shared" ref="F204:O204" si="34">F216+F248</f>
        <v>102900</v>
      </c>
      <c r="G204" s="788">
        <f t="shared" si="34"/>
        <v>0</v>
      </c>
      <c r="H204" s="788">
        <f t="shared" si="34"/>
        <v>5994.8633814102568</v>
      </c>
      <c r="I204" s="788">
        <f t="shared" si="34"/>
        <v>6873.12</v>
      </c>
      <c r="J204" s="788">
        <f t="shared" si="34"/>
        <v>420.32</v>
      </c>
      <c r="K204" s="788">
        <f t="shared" si="34"/>
        <v>860.91600000000005</v>
      </c>
      <c r="L204" s="788" t="e">
        <f t="shared" si="34"/>
        <v>#VALUE!</v>
      </c>
      <c r="M204" s="788" t="e">
        <f t="shared" si="34"/>
        <v>#VALUE!</v>
      </c>
      <c r="N204" s="788" t="e">
        <f t="shared" si="34"/>
        <v>#VALUE!</v>
      </c>
      <c r="O204" s="788">
        <f t="shared" si="34"/>
        <v>22256.038461538461</v>
      </c>
      <c r="P204" s="815"/>
      <c r="Q204" s="815"/>
      <c r="R204" s="816"/>
    </row>
    <row r="205" spans="1:18" s="824" customFormat="1" ht="26.45" customHeight="1">
      <c r="A205" s="1068"/>
      <c r="B205" s="1074"/>
      <c r="C205" s="1071"/>
      <c r="D205" s="783">
        <v>2</v>
      </c>
      <c r="E205" s="788" t="e">
        <f>E217+E248</f>
        <v>#VALUE!</v>
      </c>
      <c r="F205" s="788">
        <f t="shared" ref="F205:O205" si="35">F217+F248</f>
        <v>113190</v>
      </c>
      <c r="G205" s="788">
        <f t="shared" si="35"/>
        <v>0</v>
      </c>
      <c r="H205" s="788">
        <f t="shared" si="35"/>
        <v>5994.8633814102568</v>
      </c>
      <c r="I205" s="788">
        <f t="shared" si="35"/>
        <v>6873.12</v>
      </c>
      <c r="J205" s="788">
        <f t="shared" si="35"/>
        <v>420.32</v>
      </c>
      <c r="K205" s="788">
        <f t="shared" si="35"/>
        <v>860.91600000000005</v>
      </c>
      <c r="L205" s="788" t="e">
        <f t="shared" si="35"/>
        <v>#VALUE!</v>
      </c>
      <c r="M205" s="788" t="e">
        <f t="shared" si="35"/>
        <v>#VALUE!</v>
      </c>
      <c r="N205" s="788" t="e">
        <f t="shared" si="35"/>
        <v>#VALUE!</v>
      </c>
      <c r="O205" s="788">
        <f t="shared" si="35"/>
        <v>23362.692307692305</v>
      </c>
      <c r="P205" s="815"/>
      <c r="Q205" s="815"/>
      <c r="R205" s="816"/>
    </row>
    <row r="206" spans="1:18" s="824" customFormat="1" ht="26.45" customHeight="1">
      <c r="A206" s="1068"/>
      <c r="B206" s="1074"/>
      <c r="C206" s="1071"/>
      <c r="D206" s="783">
        <v>3</v>
      </c>
      <c r="E206" s="788" t="e">
        <f>E218+E248</f>
        <v>#VALUE!</v>
      </c>
      <c r="F206" s="788">
        <f t="shared" ref="F206:O206" si="36">F218+F248</f>
        <v>124509</v>
      </c>
      <c r="G206" s="788">
        <f t="shared" si="36"/>
        <v>0</v>
      </c>
      <c r="H206" s="788">
        <f t="shared" si="36"/>
        <v>5994.8633814102568</v>
      </c>
      <c r="I206" s="788">
        <f t="shared" si="36"/>
        <v>6873.12</v>
      </c>
      <c r="J206" s="788">
        <f t="shared" si="36"/>
        <v>420.32</v>
      </c>
      <c r="K206" s="788">
        <f t="shared" si="36"/>
        <v>860.91600000000005</v>
      </c>
      <c r="L206" s="788" t="e">
        <f t="shared" si="36"/>
        <v>#VALUE!</v>
      </c>
      <c r="M206" s="788" t="e">
        <f t="shared" si="36"/>
        <v>#VALUE!</v>
      </c>
      <c r="N206" s="788" t="e">
        <f t="shared" si="36"/>
        <v>#VALUE!</v>
      </c>
      <c r="O206" s="788">
        <f t="shared" si="36"/>
        <v>24580.011538461535</v>
      </c>
      <c r="P206" s="815"/>
      <c r="Q206" s="815"/>
      <c r="R206" s="816"/>
    </row>
    <row r="207" spans="1:18" s="824" customFormat="1" ht="26.45" customHeight="1">
      <c r="A207" s="1068"/>
      <c r="B207" s="1074"/>
      <c r="C207" s="1071"/>
      <c r="D207" s="783">
        <v>4</v>
      </c>
      <c r="E207" s="788" t="e">
        <f>E219+E248</f>
        <v>#VALUE!</v>
      </c>
      <c r="F207" s="788">
        <f t="shared" ref="F207:O207" si="37">F219+F248</f>
        <v>137004</v>
      </c>
      <c r="G207" s="788">
        <f t="shared" si="37"/>
        <v>0</v>
      </c>
      <c r="H207" s="788">
        <f t="shared" si="37"/>
        <v>5994.8633814102568</v>
      </c>
      <c r="I207" s="788">
        <f t="shared" si="37"/>
        <v>6873.12</v>
      </c>
      <c r="J207" s="788">
        <f t="shared" si="37"/>
        <v>420.32</v>
      </c>
      <c r="K207" s="788">
        <f t="shared" si="37"/>
        <v>860.91600000000005</v>
      </c>
      <c r="L207" s="788" t="e">
        <f t="shared" si="37"/>
        <v>#VALUE!</v>
      </c>
      <c r="M207" s="788" t="e">
        <f t="shared" si="37"/>
        <v>#VALUE!</v>
      </c>
      <c r="N207" s="788" t="e">
        <f t="shared" si="37"/>
        <v>#VALUE!</v>
      </c>
      <c r="O207" s="788">
        <f t="shared" si="37"/>
        <v>25920.292307692303</v>
      </c>
      <c r="P207" s="815"/>
      <c r="Q207" s="815"/>
      <c r="R207" s="816"/>
    </row>
    <row r="208" spans="1:18" s="824" customFormat="1" ht="26.45" customHeight="1">
      <c r="A208" s="1068"/>
      <c r="B208" s="1074"/>
      <c r="C208" s="1071"/>
      <c r="D208" s="783">
        <v>5</v>
      </c>
      <c r="E208" s="788" t="e">
        <f>E220+E248</f>
        <v>#VALUE!</v>
      </c>
      <c r="F208" s="788">
        <f t="shared" ref="F208:O208" si="38">F220+F248</f>
        <v>150675</v>
      </c>
      <c r="G208" s="788">
        <f t="shared" si="38"/>
        <v>0</v>
      </c>
      <c r="H208" s="788">
        <f t="shared" si="38"/>
        <v>5994.8633814102568</v>
      </c>
      <c r="I208" s="788">
        <f t="shared" si="38"/>
        <v>6873.12</v>
      </c>
      <c r="J208" s="788">
        <f t="shared" si="38"/>
        <v>420.32</v>
      </c>
      <c r="K208" s="788">
        <f t="shared" si="38"/>
        <v>860.91600000000005</v>
      </c>
      <c r="L208" s="788" t="e">
        <f t="shared" si="38"/>
        <v>#VALUE!</v>
      </c>
      <c r="M208" s="788" t="e">
        <f t="shared" si="38"/>
        <v>#VALUE!</v>
      </c>
      <c r="N208" s="788" t="e">
        <f t="shared" si="38"/>
        <v>#VALUE!</v>
      </c>
      <c r="O208" s="788">
        <f t="shared" si="38"/>
        <v>27322.053846153845</v>
      </c>
      <c r="P208" s="815"/>
      <c r="Q208" s="815"/>
      <c r="R208" s="816"/>
    </row>
    <row r="209" spans="1:18" s="824" customFormat="1" ht="26.45" customHeight="1">
      <c r="A209" s="1068"/>
      <c r="B209" s="1074" t="s">
        <v>669</v>
      </c>
      <c r="C209" s="1071" t="s">
        <v>532</v>
      </c>
      <c r="D209" s="783">
        <v>1</v>
      </c>
      <c r="E209" s="788" t="e">
        <f>E221+E248</f>
        <v>#VALUE!</v>
      </c>
      <c r="F209" s="788">
        <f t="shared" ref="F209:O209" si="39">F221+F248</f>
        <v>102900</v>
      </c>
      <c r="G209" s="788">
        <f t="shared" si="39"/>
        <v>0</v>
      </c>
      <c r="H209" s="788">
        <f t="shared" si="39"/>
        <v>5994.8633814102568</v>
      </c>
      <c r="I209" s="788">
        <f t="shared" si="39"/>
        <v>6873.12</v>
      </c>
      <c r="J209" s="788">
        <f t="shared" si="39"/>
        <v>420.32</v>
      </c>
      <c r="K209" s="788">
        <f t="shared" si="39"/>
        <v>860.91600000000005</v>
      </c>
      <c r="L209" s="788" t="e">
        <f t="shared" si="39"/>
        <v>#VALUE!</v>
      </c>
      <c r="M209" s="788" t="e">
        <f t="shared" si="39"/>
        <v>#VALUE!</v>
      </c>
      <c r="N209" s="788" t="e">
        <f t="shared" si="39"/>
        <v>#VALUE!</v>
      </c>
      <c r="O209" s="788">
        <f t="shared" si="39"/>
        <v>21487.528846153844</v>
      </c>
      <c r="P209" s="815"/>
      <c r="Q209" s="815"/>
      <c r="R209" s="816"/>
    </row>
    <row r="210" spans="1:18" s="824" customFormat="1" ht="26.45" customHeight="1">
      <c r="A210" s="1068"/>
      <c r="B210" s="1074"/>
      <c r="C210" s="1071"/>
      <c r="D210" s="783">
        <v>2</v>
      </c>
      <c r="E210" s="788" t="e">
        <f>E222+E248</f>
        <v>#VALUE!</v>
      </c>
      <c r="F210" s="788">
        <f t="shared" ref="F210:O210" si="40">F222+F248</f>
        <v>113190</v>
      </c>
      <c r="G210" s="788">
        <f t="shared" si="40"/>
        <v>0</v>
      </c>
      <c r="H210" s="788">
        <f t="shared" si="40"/>
        <v>5994.8633814102568</v>
      </c>
      <c r="I210" s="788">
        <f t="shared" si="40"/>
        <v>6873.12</v>
      </c>
      <c r="J210" s="788">
        <f t="shared" si="40"/>
        <v>420.32</v>
      </c>
      <c r="K210" s="788">
        <f t="shared" si="40"/>
        <v>860.91600000000005</v>
      </c>
      <c r="L210" s="788" t="e">
        <f t="shared" si="40"/>
        <v>#VALUE!</v>
      </c>
      <c r="M210" s="788" t="e">
        <f t="shared" si="40"/>
        <v>#VALUE!</v>
      </c>
      <c r="N210" s="788" t="e">
        <f t="shared" si="40"/>
        <v>#VALUE!</v>
      </c>
      <c r="O210" s="788">
        <f t="shared" si="40"/>
        <v>22594.182692307688</v>
      </c>
      <c r="P210" s="815"/>
      <c r="Q210" s="815"/>
      <c r="R210" s="816"/>
    </row>
    <row r="211" spans="1:18" s="824" customFormat="1" ht="26.45" customHeight="1">
      <c r="A211" s="1068"/>
      <c r="B211" s="1074"/>
      <c r="C211" s="1071"/>
      <c r="D211" s="783">
        <v>3</v>
      </c>
      <c r="E211" s="788" t="e">
        <f>E223+E248</f>
        <v>#VALUE!</v>
      </c>
      <c r="F211" s="788">
        <f t="shared" ref="F211:N211" si="41">F223+F248</f>
        <v>124509</v>
      </c>
      <c r="G211" s="788">
        <f t="shared" si="41"/>
        <v>0</v>
      </c>
      <c r="H211" s="788">
        <f t="shared" si="41"/>
        <v>5994.8633814102568</v>
      </c>
      <c r="I211" s="788">
        <f t="shared" si="41"/>
        <v>6873.12</v>
      </c>
      <c r="J211" s="788">
        <f t="shared" si="41"/>
        <v>420.32</v>
      </c>
      <c r="K211" s="788">
        <f t="shared" si="41"/>
        <v>860.91600000000005</v>
      </c>
      <c r="L211" s="788" t="e">
        <f t="shared" si="41"/>
        <v>#VALUE!</v>
      </c>
      <c r="M211" s="788" t="e">
        <f t="shared" si="41"/>
        <v>#VALUE!</v>
      </c>
      <c r="N211" s="788" t="e">
        <f t="shared" si="41"/>
        <v>#VALUE!</v>
      </c>
      <c r="O211" s="788">
        <f>O223+O248</f>
        <v>23811.501923076918</v>
      </c>
      <c r="P211" s="815"/>
      <c r="Q211" s="815"/>
      <c r="R211" s="816"/>
    </row>
    <row r="212" spans="1:18" s="824" customFormat="1" ht="26.45" customHeight="1">
      <c r="A212" s="1068"/>
      <c r="B212" s="1074"/>
      <c r="C212" s="1071"/>
      <c r="D212" s="783">
        <v>4</v>
      </c>
      <c r="E212" s="788" t="e">
        <f>E224+E248</f>
        <v>#VALUE!</v>
      </c>
      <c r="F212" s="788">
        <f t="shared" ref="F212:O212" si="42">F224+F248</f>
        <v>137004</v>
      </c>
      <c r="G212" s="788">
        <f t="shared" si="42"/>
        <v>0</v>
      </c>
      <c r="H212" s="788">
        <f t="shared" si="42"/>
        <v>5994.8633814102568</v>
      </c>
      <c r="I212" s="788">
        <f t="shared" si="42"/>
        <v>6873.12</v>
      </c>
      <c r="J212" s="788">
        <f t="shared" si="42"/>
        <v>420.32</v>
      </c>
      <c r="K212" s="788">
        <f t="shared" si="42"/>
        <v>860.91600000000005</v>
      </c>
      <c r="L212" s="788" t="e">
        <f t="shared" si="42"/>
        <v>#VALUE!</v>
      </c>
      <c r="M212" s="788" t="e">
        <f t="shared" si="42"/>
        <v>#VALUE!</v>
      </c>
      <c r="N212" s="788" t="e">
        <f t="shared" si="42"/>
        <v>#VALUE!</v>
      </c>
      <c r="O212" s="788">
        <f t="shared" si="42"/>
        <v>25151.782692307686</v>
      </c>
      <c r="P212" s="815"/>
      <c r="Q212" s="815"/>
      <c r="R212" s="816"/>
    </row>
    <row r="213" spans="1:18" s="824" customFormat="1" ht="26.45" customHeight="1">
      <c r="A213" s="1068"/>
      <c r="B213" s="1074"/>
      <c r="C213" s="1071"/>
      <c r="D213" s="783">
        <v>5</v>
      </c>
      <c r="E213" s="788" t="e">
        <f>E225+E248</f>
        <v>#VALUE!</v>
      </c>
      <c r="F213" s="788">
        <f t="shared" ref="F213:O213" si="43">F225+F248</f>
        <v>150675</v>
      </c>
      <c r="G213" s="788">
        <f t="shared" si="43"/>
        <v>0</v>
      </c>
      <c r="H213" s="788">
        <f t="shared" si="43"/>
        <v>5994.8633814102568</v>
      </c>
      <c r="I213" s="788">
        <f t="shared" si="43"/>
        <v>6873.12</v>
      </c>
      <c r="J213" s="788">
        <f t="shared" si="43"/>
        <v>420.32</v>
      </c>
      <c r="K213" s="788">
        <f t="shared" si="43"/>
        <v>860.91600000000005</v>
      </c>
      <c r="L213" s="788" t="e">
        <f t="shared" si="43"/>
        <v>#VALUE!</v>
      </c>
      <c r="M213" s="788" t="e">
        <f t="shared" si="43"/>
        <v>#VALUE!</v>
      </c>
      <c r="N213" s="788" t="e">
        <f t="shared" si="43"/>
        <v>#VALUE!</v>
      </c>
      <c r="O213" s="788">
        <f t="shared" si="43"/>
        <v>26553.544230769228</v>
      </c>
      <c r="P213" s="815"/>
      <c r="Q213" s="815"/>
      <c r="R213" s="816"/>
    </row>
    <row r="214" spans="1:18" s="824" customFormat="1" ht="19.5" customHeight="1">
      <c r="A214" s="785"/>
      <c r="B214" s="789"/>
      <c r="C214" s="783"/>
      <c r="D214" s="783"/>
      <c r="E214" s="783"/>
      <c r="F214" s="783"/>
      <c r="G214" s="784"/>
      <c r="H214" s="783"/>
      <c r="I214" s="783"/>
      <c r="J214" s="783"/>
      <c r="K214" s="783"/>
      <c r="L214" s="783"/>
      <c r="M214" s="783"/>
      <c r="N214" s="783"/>
      <c r="O214" s="783"/>
      <c r="P214" s="949">
        <f>'He so chung'!D$22</f>
        <v>5346.1538461538457</v>
      </c>
      <c r="Q214" s="949">
        <f>'He so chung'!D$23</f>
        <v>801.92307692307691</v>
      </c>
      <c r="R214" s="819"/>
    </row>
    <row r="215" spans="1:18" s="824" customFormat="1" ht="30.75" customHeight="1">
      <c r="A215" s="785" t="s">
        <v>1000</v>
      </c>
      <c r="B215" s="789" t="s">
        <v>460</v>
      </c>
      <c r="C215" s="783"/>
      <c r="D215" s="783"/>
      <c r="E215" s="783"/>
      <c r="F215" s="783"/>
      <c r="G215" s="784"/>
      <c r="H215" s="783"/>
      <c r="I215" s="783"/>
      <c r="J215" s="783"/>
      <c r="K215" s="783"/>
      <c r="L215" s="783"/>
      <c r="M215" s="783"/>
      <c r="N215" s="783"/>
      <c r="O215" s="783"/>
      <c r="P215" s="818"/>
      <c r="Q215" s="818"/>
      <c r="R215" s="819"/>
    </row>
    <row r="216" spans="1:18" s="828" customFormat="1" ht="22.9" customHeight="1">
      <c r="A216" s="1089" t="s">
        <v>1008</v>
      </c>
      <c r="B216" s="1074" t="s">
        <v>329</v>
      </c>
      <c r="C216" s="1071" t="s">
        <v>532</v>
      </c>
      <c r="D216" s="851">
        <v>1</v>
      </c>
      <c r="E216" s="796" t="e">
        <f>E228+E230+E231+E232+E238+E240+E241+E243+E245+E246+E247</f>
        <v>#VALUE!</v>
      </c>
      <c r="F216" s="796">
        <f>F228+F230+F231+F232+F238+F240+F241+F243+F245+F246+F247</f>
        <v>102900</v>
      </c>
      <c r="G216" s="796"/>
      <c r="H216" s="796">
        <f>'Dcu-DKDD'!H$96</f>
        <v>5994.8633814102568</v>
      </c>
      <c r="I216" s="796">
        <f>'VL-DKDD'!F$96</f>
        <v>6873.12</v>
      </c>
      <c r="J216" s="796">
        <f>'TB-DKDD'!I$50</f>
        <v>420.32</v>
      </c>
      <c r="K216" s="796">
        <f>'NL-DKDD'!F$35</f>
        <v>860.91600000000005</v>
      </c>
      <c r="L216" s="796" t="e">
        <f t="shared" ref="L216:L225" si="44">SUM(E216:K216)</f>
        <v>#VALUE!</v>
      </c>
      <c r="M216" s="796" t="e">
        <f>L216*'He so chung'!$D$17/100</f>
        <v>#VALUE!</v>
      </c>
      <c r="N216" s="796" t="e">
        <f t="shared" ref="N216:N225" si="45">L216+M216</f>
        <v>#VALUE!</v>
      </c>
      <c r="O216" s="796">
        <f>O228+O230+O231+O232+O238+O240+O241+O243+O245+O246+O247</f>
        <v>21026.423076923078</v>
      </c>
      <c r="P216" s="951"/>
      <c r="Q216" s="951"/>
      <c r="R216" s="819"/>
    </row>
    <row r="217" spans="1:18" s="828" customFormat="1" ht="22.9" customHeight="1">
      <c r="A217" s="1089"/>
      <c r="B217" s="1074"/>
      <c r="C217" s="1071"/>
      <c r="D217" s="851">
        <v>2</v>
      </c>
      <c r="E217" s="796" t="e">
        <f>E228+E230+E231+E233+E238+E240+E241+E243+E245+E246+E247</f>
        <v>#VALUE!</v>
      </c>
      <c r="F217" s="796">
        <f>F228+F230+F231+F233+F238+F240+F241+F243+F245+F246+F247</f>
        <v>113190</v>
      </c>
      <c r="G217" s="796"/>
      <c r="H217" s="796">
        <f>'Dcu-DKDD'!H$96</f>
        <v>5994.8633814102568</v>
      </c>
      <c r="I217" s="796">
        <f>'VL-DKDD'!F$96</f>
        <v>6873.12</v>
      </c>
      <c r="J217" s="796">
        <f>'TB-DKDD'!I$50</f>
        <v>420.32</v>
      </c>
      <c r="K217" s="796">
        <f>'NL-DKDD'!F$35</f>
        <v>860.91600000000005</v>
      </c>
      <c r="L217" s="796" t="e">
        <f t="shared" si="44"/>
        <v>#VALUE!</v>
      </c>
      <c r="M217" s="796" t="e">
        <f>L217*'He so chung'!$D$17/100</f>
        <v>#VALUE!</v>
      </c>
      <c r="N217" s="796" t="e">
        <f t="shared" si="45"/>
        <v>#VALUE!</v>
      </c>
      <c r="O217" s="796">
        <f>O228+O230+O231+O233+O238+O240+O241+O243+O245+O246+O247</f>
        <v>22133.076923076922</v>
      </c>
      <c r="P217" s="951"/>
      <c r="Q217" s="951"/>
      <c r="R217" s="819"/>
    </row>
    <row r="218" spans="1:18" s="828" customFormat="1" ht="22.9" customHeight="1">
      <c r="A218" s="1089"/>
      <c r="B218" s="1074"/>
      <c r="C218" s="1071"/>
      <c r="D218" s="851">
        <v>3</v>
      </c>
      <c r="E218" s="796" t="e">
        <f>E228+E230+E231+E234+E238+E240+E241+E243+E245+E246+E247</f>
        <v>#VALUE!</v>
      </c>
      <c r="F218" s="796">
        <f>F228+F230+F231+F234+F238+F240+F241+F243+F245+F246+F247</f>
        <v>124509</v>
      </c>
      <c r="G218" s="796"/>
      <c r="H218" s="796">
        <f>'Dcu-DKDD'!H$96</f>
        <v>5994.8633814102568</v>
      </c>
      <c r="I218" s="796">
        <f>'VL-DKDD'!F$96</f>
        <v>6873.12</v>
      </c>
      <c r="J218" s="796">
        <f>'TB-DKDD'!I$50</f>
        <v>420.32</v>
      </c>
      <c r="K218" s="796">
        <f>'NL-DKDD'!F$35</f>
        <v>860.91600000000005</v>
      </c>
      <c r="L218" s="796" t="e">
        <f t="shared" si="44"/>
        <v>#VALUE!</v>
      </c>
      <c r="M218" s="796" t="e">
        <f>L218*'He so chung'!$D$17/100</f>
        <v>#VALUE!</v>
      </c>
      <c r="N218" s="796" t="e">
        <f t="shared" si="45"/>
        <v>#VALUE!</v>
      </c>
      <c r="O218" s="796">
        <f>O228+O230+O231+O234+O238+O240+O241+O243+O245+O246+O247</f>
        <v>23350.396153846152</v>
      </c>
      <c r="P218" s="951"/>
      <c r="Q218" s="951"/>
      <c r="R218" s="819"/>
    </row>
    <row r="219" spans="1:18" s="828" customFormat="1" ht="22.9" customHeight="1">
      <c r="A219" s="1089"/>
      <c r="B219" s="1074"/>
      <c r="C219" s="1071"/>
      <c r="D219" s="851">
        <v>4</v>
      </c>
      <c r="E219" s="796" t="e">
        <f>E228+E230+E231+E235+E238+E240+E241+E243+E245+E246+E247</f>
        <v>#VALUE!</v>
      </c>
      <c r="F219" s="796">
        <f>F228+F230+F231+F235+F238+F240+F241+F243+F245+F246+F247</f>
        <v>137004</v>
      </c>
      <c r="G219" s="796"/>
      <c r="H219" s="796">
        <f>'Dcu-DKDD'!H$96</f>
        <v>5994.8633814102568</v>
      </c>
      <c r="I219" s="796">
        <f>'VL-DKDD'!F$96</f>
        <v>6873.12</v>
      </c>
      <c r="J219" s="796">
        <f>'TB-DKDD'!I$50</f>
        <v>420.32</v>
      </c>
      <c r="K219" s="796">
        <f>'NL-DKDD'!F$35</f>
        <v>860.91600000000005</v>
      </c>
      <c r="L219" s="796" t="e">
        <f t="shared" si="44"/>
        <v>#VALUE!</v>
      </c>
      <c r="M219" s="796" t="e">
        <f>L219*'He so chung'!$D$17/100</f>
        <v>#VALUE!</v>
      </c>
      <c r="N219" s="796" t="e">
        <f t="shared" si="45"/>
        <v>#VALUE!</v>
      </c>
      <c r="O219" s="796">
        <f>O228+O230+O231+O235+O238+O240+O241+O243+O245+O246+O247</f>
        <v>24690.676923076921</v>
      </c>
      <c r="P219" s="951"/>
      <c r="Q219" s="951"/>
      <c r="R219" s="819"/>
    </row>
    <row r="220" spans="1:18" s="828" customFormat="1" ht="22.9" customHeight="1">
      <c r="A220" s="1089"/>
      <c r="B220" s="1074"/>
      <c r="C220" s="1071"/>
      <c r="D220" s="851">
        <v>5</v>
      </c>
      <c r="E220" s="796" t="e">
        <f>E228+E230+E231+E236+E238+E240+E241+E243+E245+E246+E247</f>
        <v>#VALUE!</v>
      </c>
      <c r="F220" s="796">
        <f>F228+F230+F231+F236+F238+F240+F241+F243+F245+F246+F247</f>
        <v>150675</v>
      </c>
      <c r="G220" s="796"/>
      <c r="H220" s="796">
        <f>'Dcu-DKDD'!H$96</f>
        <v>5994.8633814102568</v>
      </c>
      <c r="I220" s="796">
        <f>'VL-DKDD'!F$96</f>
        <v>6873.12</v>
      </c>
      <c r="J220" s="796">
        <f>'TB-DKDD'!I$50</f>
        <v>420.32</v>
      </c>
      <c r="K220" s="796">
        <f>'NL-DKDD'!F$35</f>
        <v>860.91600000000005</v>
      </c>
      <c r="L220" s="854" t="e">
        <f t="shared" si="44"/>
        <v>#VALUE!</v>
      </c>
      <c r="M220" s="854" t="e">
        <f>L220*'He so chung'!$D$17/100</f>
        <v>#VALUE!</v>
      </c>
      <c r="N220" s="854" t="e">
        <f t="shared" si="45"/>
        <v>#VALUE!</v>
      </c>
      <c r="O220" s="796">
        <f>O228+O230+O231+O236+O238+O240+O241+O243+O245+O246+O247</f>
        <v>26092.438461538462</v>
      </c>
      <c r="P220" s="951"/>
      <c r="Q220" s="951"/>
      <c r="R220" s="819"/>
    </row>
    <row r="221" spans="1:18" s="828" customFormat="1" ht="22.5" customHeight="1">
      <c r="A221" s="1089" t="s">
        <v>1009</v>
      </c>
      <c r="B221" s="1074" t="s">
        <v>330</v>
      </c>
      <c r="C221" s="1071" t="s">
        <v>532</v>
      </c>
      <c r="D221" s="851">
        <v>1</v>
      </c>
      <c r="E221" s="796" t="e">
        <f>E229+E230+E231+E232+E239+E240+E241+E244+E245+E246+E247</f>
        <v>#VALUE!</v>
      </c>
      <c r="F221" s="796">
        <f>F229+F230+F231+F232+F239+F240+F241+F244+F245+F246+F247</f>
        <v>102900</v>
      </c>
      <c r="G221" s="796"/>
      <c r="H221" s="796">
        <f>'Dcu-DKDD'!H$96</f>
        <v>5994.8633814102568</v>
      </c>
      <c r="I221" s="796">
        <f>'VL-DKDD'!F$96</f>
        <v>6873.12</v>
      </c>
      <c r="J221" s="796">
        <f>'TB-DKDD'!I$50</f>
        <v>420.32</v>
      </c>
      <c r="K221" s="796">
        <f>'NL-DKDD'!F$35</f>
        <v>860.91600000000005</v>
      </c>
      <c r="L221" s="796" t="e">
        <f t="shared" si="44"/>
        <v>#VALUE!</v>
      </c>
      <c r="M221" s="796" t="e">
        <f>L221*'He so chung'!$D$17/100</f>
        <v>#VALUE!</v>
      </c>
      <c r="N221" s="796" t="e">
        <f t="shared" si="45"/>
        <v>#VALUE!</v>
      </c>
      <c r="O221" s="796">
        <f>O229+O230+O231+O232+O239+O240+O241+O244+O245+O246+O247</f>
        <v>20257.913461538461</v>
      </c>
      <c r="P221" s="951"/>
      <c r="Q221" s="951"/>
      <c r="R221" s="819"/>
    </row>
    <row r="222" spans="1:18" s="828" customFormat="1" ht="22.5" customHeight="1">
      <c r="A222" s="1089"/>
      <c r="B222" s="1074"/>
      <c r="C222" s="1071"/>
      <c r="D222" s="851">
        <v>2</v>
      </c>
      <c r="E222" s="796" t="e">
        <f>E229+E230+E231+E233+E239+E240+E241+E244+E245+E246+E247</f>
        <v>#VALUE!</v>
      </c>
      <c r="F222" s="796">
        <f>F229+F230+F231+F233+F238+F239+F240+F241+F244+F245+F246+F247</f>
        <v>113190</v>
      </c>
      <c r="G222" s="796"/>
      <c r="H222" s="796">
        <f>'Dcu-DKDD'!H$96</f>
        <v>5994.8633814102568</v>
      </c>
      <c r="I222" s="796">
        <f>'VL-DKDD'!F$96</f>
        <v>6873.12</v>
      </c>
      <c r="J222" s="796">
        <f>'TB-DKDD'!I$50</f>
        <v>420.32</v>
      </c>
      <c r="K222" s="796">
        <f>'NL-DKDD'!F$35</f>
        <v>860.91600000000005</v>
      </c>
      <c r="L222" s="796" t="e">
        <f t="shared" si="44"/>
        <v>#VALUE!</v>
      </c>
      <c r="M222" s="796" t="e">
        <f>L222*'He so chung'!$D$17/100</f>
        <v>#VALUE!</v>
      </c>
      <c r="N222" s="796" t="e">
        <f t="shared" si="45"/>
        <v>#VALUE!</v>
      </c>
      <c r="O222" s="796">
        <f>O229+O230+O231+O233+O239+O240+O241+O244+O245+O246+O247</f>
        <v>21364.567307692305</v>
      </c>
      <c r="P222" s="951"/>
      <c r="Q222" s="951"/>
      <c r="R222" s="819"/>
    </row>
    <row r="223" spans="1:18" s="828" customFormat="1" ht="22.9" customHeight="1">
      <c r="A223" s="1089"/>
      <c r="B223" s="1074"/>
      <c r="C223" s="1071"/>
      <c r="D223" s="851">
        <v>3</v>
      </c>
      <c r="E223" s="796" t="e">
        <f>E229+E230+E231+E234+E239+E240+E241+E244+E245+E246+E247</f>
        <v>#VALUE!</v>
      </c>
      <c r="F223" s="796">
        <f>F229+F230+F231+F234+F238+F239+F240+F241+F244+F245+F246+F247</f>
        <v>124509</v>
      </c>
      <c r="G223" s="796"/>
      <c r="H223" s="796">
        <f>'Dcu-DKDD'!H$96</f>
        <v>5994.8633814102568</v>
      </c>
      <c r="I223" s="796">
        <f>'VL-DKDD'!F$96</f>
        <v>6873.12</v>
      </c>
      <c r="J223" s="796">
        <f>'TB-DKDD'!I$50</f>
        <v>420.32</v>
      </c>
      <c r="K223" s="796">
        <f>'NL-DKDD'!F$35</f>
        <v>860.91600000000005</v>
      </c>
      <c r="L223" s="796" t="e">
        <f t="shared" si="44"/>
        <v>#VALUE!</v>
      </c>
      <c r="M223" s="796" t="e">
        <f>L223*'He so chung'!$D$17/100</f>
        <v>#VALUE!</v>
      </c>
      <c r="N223" s="796" t="e">
        <f t="shared" si="45"/>
        <v>#VALUE!</v>
      </c>
      <c r="O223" s="796">
        <f>O229+O230+O231+O234+O239+O240+O241+O244+O245+O246+O247</f>
        <v>22581.886538461535</v>
      </c>
      <c r="P223" s="951"/>
      <c r="Q223" s="951"/>
      <c r="R223" s="819"/>
    </row>
    <row r="224" spans="1:18" s="828" customFormat="1" ht="22.9" customHeight="1">
      <c r="A224" s="1089"/>
      <c r="B224" s="1074"/>
      <c r="C224" s="1071"/>
      <c r="D224" s="851">
        <v>4</v>
      </c>
      <c r="E224" s="796" t="e">
        <f>E229+E230+E231+E235+E239+E240+E241+E244+E245+E246+E247</f>
        <v>#VALUE!</v>
      </c>
      <c r="F224" s="796">
        <f>F229+F230+F231+F235+F238+F239+F240+F241+F244+F245+F246+F247</f>
        <v>137004</v>
      </c>
      <c r="G224" s="796"/>
      <c r="H224" s="796">
        <f>'Dcu-DKDD'!H$96</f>
        <v>5994.8633814102568</v>
      </c>
      <c r="I224" s="796">
        <f>'VL-DKDD'!F$96</f>
        <v>6873.12</v>
      </c>
      <c r="J224" s="796">
        <f>'TB-DKDD'!I$50</f>
        <v>420.32</v>
      </c>
      <c r="K224" s="796">
        <f>'NL-DKDD'!F$35</f>
        <v>860.91600000000005</v>
      </c>
      <c r="L224" s="796" t="e">
        <f t="shared" si="44"/>
        <v>#VALUE!</v>
      </c>
      <c r="M224" s="796" t="e">
        <f>L224*'He so chung'!$D$17/100</f>
        <v>#VALUE!</v>
      </c>
      <c r="N224" s="796" t="e">
        <f t="shared" si="45"/>
        <v>#VALUE!</v>
      </c>
      <c r="O224" s="796">
        <f>O229+O230+O231+O235+O239+O240+O241+O244+O245+O246+O247</f>
        <v>23922.167307692303</v>
      </c>
      <c r="P224" s="951"/>
      <c r="Q224" s="951"/>
      <c r="R224" s="819"/>
    </row>
    <row r="225" spans="1:18" s="828" customFormat="1" ht="22.9" customHeight="1">
      <c r="A225" s="1089"/>
      <c r="B225" s="1074"/>
      <c r="C225" s="1071"/>
      <c r="D225" s="851">
        <v>5</v>
      </c>
      <c r="E225" s="796" t="e">
        <f>E229+E230+E231+E236+E239+E240+E241+E244+E245+E246+E247</f>
        <v>#VALUE!</v>
      </c>
      <c r="F225" s="796">
        <f>F229+F230+F231+F236+F238+F239+F240+F241+F244+F245+F246+F247</f>
        <v>150675</v>
      </c>
      <c r="G225" s="796"/>
      <c r="H225" s="796">
        <f>'Dcu-DKDD'!H$96</f>
        <v>5994.8633814102568</v>
      </c>
      <c r="I225" s="796">
        <f>'VL-DKDD'!F$96</f>
        <v>6873.12</v>
      </c>
      <c r="J225" s="796">
        <f>'TB-DKDD'!I$50</f>
        <v>420.32</v>
      </c>
      <c r="K225" s="796">
        <f>'NL-DKDD'!F$35</f>
        <v>860.91600000000005</v>
      </c>
      <c r="L225" s="854" t="e">
        <f t="shared" si="44"/>
        <v>#VALUE!</v>
      </c>
      <c r="M225" s="854" t="e">
        <f>L225*'He so chung'!$D$17/100</f>
        <v>#VALUE!</v>
      </c>
      <c r="N225" s="854" t="e">
        <f t="shared" si="45"/>
        <v>#VALUE!</v>
      </c>
      <c r="O225" s="796">
        <f>O229+O230+O231+O236+O239+O240+O241+O244+O245+O246+O247</f>
        <v>25323.928846153845</v>
      </c>
      <c r="P225" s="951"/>
      <c r="Q225" s="951"/>
      <c r="R225" s="819"/>
    </row>
    <row r="226" spans="1:18" s="828" customFormat="1" ht="22.9" customHeight="1">
      <c r="A226" s="865"/>
      <c r="B226" s="966"/>
      <c r="C226" s="865"/>
      <c r="D226" s="851"/>
      <c r="E226" s="796"/>
      <c r="F226" s="796"/>
      <c r="G226" s="796"/>
      <c r="H226" s="796"/>
      <c r="I226" s="796"/>
      <c r="J226" s="796"/>
      <c r="K226" s="796"/>
      <c r="L226" s="854"/>
      <c r="M226" s="854"/>
      <c r="N226" s="854"/>
      <c r="O226" s="796"/>
      <c r="P226" s="951"/>
      <c r="Q226" s="951"/>
      <c r="R226" s="819"/>
    </row>
    <row r="227" spans="1:18" s="828" customFormat="1" ht="22.5" customHeight="1">
      <c r="A227" s="798">
        <v>1</v>
      </c>
      <c r="B227" s="799" t="s">
        <v>844</v>
      </c>
      <c r="C227" s="798"/>
      <c r="D227" s="952"/>
      <c r="E227" s="857"/>
      <c r="F227" s="857"/>
      <c r="G227" s="796"/>
      <c r="H227" s="796"/>
      <c r="I227" s="796"/>
      <c r="J227" s="796"/>
      <c r="K227" s="796"/>
      <c r="L227" s="854"/>
      <c r="M227" s="854"/>
      <c r="N227" s="854"/>
      <c r="O227" s="796"/>
      <c r="P227" s="951"/>
      <c r="Q227" s="951"/>
      <c r="R227" s="819"/>
    </row>
    <row r="228" spans="1:18" s="828" customFormat="1" ht="25.5" customHeight="1">
      <c r="A228" s="798" t="s">
        <v>733</v>
      </c>
      <c r="B228" s="799" t="s">
        <v>846</v>
      </c>
      <c r="C228" s="798" t="s">
        <v>532</v>
      </c>
      <c r="D228" s="967" t="s">
        <v>723</v>
      </c>
      <c r="E228" s="857" t="e">
        <f>NC_DKDD!H158</f>
        <v>#VALUE!</v>
      </c>
      <c r="F228" s="857"/>
      <c r="G228" s="796"/>
      <c r="H228" s="796"/>
      <c r="I228" s="796"/>
      <c r="J228" s="796"/>
      <c r="K228" s="796"/>
      <c r="L228" s="854"/>
      <c r="M228" s="854"/>
      <c r="N228" s="854"/>
      <c r="O228" s="857">
        <f>P228+Q228</f>
        <v>1229.6153846153848</v>
      </c>
      <c r="P228" s="954">
        <f>R228*$P$214</f>
        <v>1069.2307692307693</v>
      </c>
      <c r="Q228" s="954">
        <f>R228*$Q$214</f>
        <v>160.38461538461539</v>
      </c>
      <c r="R228" s="968">
        <f>NC_DKDD!G158</f>
        <v>0.2</v>
      </c>
    </row>
    <row r="229" spans="1:18" s="828" customFormat="1" ht="25.5" customHeight="1">
      <c r="A229" s="798" t="s">
        <v>741</v>
      </c>
      <c r="B229" s="799" t="s">
        <v>849</v>
      </c>
      <c r="C229" s="798" t="s">
        <v>532</v>
      </c>
      <c r="D229" s="967" t="s">
        <v>723</v>
      </c>
      <c r="E229" s="857" t="e">
        <f>NC_DKDD!H159</f>
        <v>#VALUE!</v>
      </c>
      <c r="F229" s="857"/>
      <c r="G229" s="796"/>
      <c r="H229" s="796"/>
      <c r="I229" s="796"/>
      <c r="J229" s="796"/>
      <c r="K229" s="796"/>
      <c r="L229" s="854"/>
      <c r="M229" s="854"/>
      <c r="N229" s="854"/>
      <c r="O229" s="857">
        <f t="shared" ref="O229:O249" si="46">P229+Q229</f>
        <v>922.21153846153834</v>
      </c>
      <c r="P229" s="954">
        <f>R229*$P$214</f>
        <v>801.92307692307679</v>
      </c>
      <c r="Q229" s="954">
        <f>R229*$Q$214</f>
        <v>120.28846153846153</v>
      </c>
      <c r="R229" s="968">
        <f>NC_DKDD!G159</f>
        <v>0.15</v>
      </c>
    </row>
    <row r="230" spans="1:18" s="828" customFormat="1" ht="43.5" customHeight="1">
      <c r="A230" s="798">
        <v>2</v>
      </c>
      <c r="B230" s="799" t="s">
        <v>850</v>
      </c>
      <c r="C230" s="798" t="s">
        <v>532</v>
      </c>
      <c r="D230" s="967" t="s">
        <v>723</v>
      </c>
      <c r="E230" s="857" t="e">
        <f>NC_DKDD!H160</f>
        <v>#VALUE!</v>
      </c>
      <c r="F230" s="857"/>
      <c r="G230" s="796"/>
      <c r="H230" s="796"/>
      <c r="I230" s="796"/>
      <c r="J230" s="796"/>
      <c r="K230" s="796"/>
      <c r="L230" s="854"/>
      <c r="M230" s="854"/>
      <c r="N230" s="854"/>
      <c r="O230" s="857">
        <f t="shared" si="46"/>
        <v>614.80769230769238</v>
      </c>
      <c r="P230" s="954">
        <f t="shared" ref="P230:P248" si="47">R230*$P$214</f>
        <v>534.61538461538464</v>
      </c>
      <c r="Q230" s="954">
        <f t="shared" ref="Q230:Q248" si="48">R230*$Q$214</f>
        <v>80.192307692307693</v>
      </c>
      <c r="R230" s="968">
        <f>NC_DKDD!G160</f>
        <v>0.1</v>
      </c>
    </row>
    <row r="231" spans="1:18" s="828" customFormat="1" ht="43.5" customHeight="1">
      <c r="A231" s="798">
        <v>3</v>
      </c>
      <c r="B231" s="799" t="s">
        <v>851</v>
      </c>
      <c r="C231" s="798" t="s">
        <v>375</v>
      </c>
      <c r="D231" s="967" t="s">
        <v>723</v>
      </c>
      <c r="E231" s="857" t="e">
        <f>NC_DKDD!H161</f>
        <v>#VALUE!</v>
      </c>
      <c r="F231" s="857"/>
      <c r="G231" s="796"/>
      <c r="H231" s="796"/>
      <c r="I231" s="796"/>
      <c r="J231" s="796"/>
      <c r="K231" s="796"/>
      <c r="L231" s="854"/>
      <c r="M231" s="854"/>
      <c r="N231" s="854"/>
      <c r="O231" s="857">
        <f t="shared" si="46"/>
        <v>657.84423076923065</v>
      </c>
      <c r="P231" s="954">
        <f t="shared" si="47"/>
        <v>572.03846153846143</v>
      </c>
      <c r="Q231" s="954">
        <f t="shared" si="48"/>
        <v>85.805769230769229</v>
      </c>
      <c r="R231" s="968">
        <f>NC_DKDD!G161</f>
        <v>0.107</v>
      </c>
    </row>
    <row r="232" spans="1:18" s="828" customFormat="1" ht="43.5" customHeight="1">
      <c r="A232" s="1084">
        <v>4</v>
      </c>
      <c r="B232" s="1096" t="s">
        <v>852</v>
      </c>
      <c r="C232" s="1084" t="s">
        <v>532</v>
      </c>
      <c r="D232" s="969">
        <v>1</v>
      </c>
      <c r="E232" s="857" t="e">
        <f>NC_DKDD!H162</f>
        <v>#VALUE!</v>
      </c>
      <c r="F232" s="857">
        <f>NC_DKDD!H163</f>
        <v>102900</v>
      </c>
      <c r="G232" s="796"/>
      <c r="H232" s="796"/>
      <c r="I232" s="796"/>
      <c r="J232" s="796"/>
      <c r="K232" s="796"/>
      <c r="L232" s="854"/>
      <c r="M232" s="854"/>
      <c r="N232" s="854"/>
      <c r="O232" s="857">
        <f t="shared" si="46"/>
        <v>11066.538461538461</v>
      </c>
      <c r="P232" s="954">
        <f t="shared" si="47"/>
        <v>9623.076923076922</v>
      </c>
      <c r="Q232" s="954">
        <f t="shared" si="48"/>
        <v>1443.4615384615386</v>
      </c>
      <c r="R232" s="968">
        <f>NC_DKDD!G162</f>
        <v>1.8</v>
      </c>
    </row>
    <row r="233" spans="1:18" s="828" customFormat="1" ht="24.75" customHeight="1">
      <c r="A233" s="1084"/>
      <c r="B233" s="1096"/>
      <c r="C233" s="1084"/>
      <c r="D233" s="969">
        <v>2</v>
      </c>
      <c r="E233" s="857" t="e">
        <f>NC_DKDD!H164</f>
        <v>#VALUE!</v>
      </c>
      <c r="F233" s="857">
        <f>NC_DKDD!H165</f>
        <v>113190</v>
      </c>
      <c r="G233" s="796"/>
      <c r="H233" s="796"/>
      <c r="I233" s="796"/>
      <c r="J233" s="796"/>
      <c r="K233" s="796"/>
      <c r="L233" s="854"/>
      <c r="M233" s="854"/>
      <c r="N233" s="854"/>
      <c r="O233" s="857">
        <f t="shared" si="46"/>
        <v>12173.192307692307</v>
      </c>
      <c r="P233" s="954">
        <f t="shared" si="47"/>
        <v>10585.384615384615</v>
      </c>
      <c r="Q233" s="954">
        <f t="shared" si="48"/>
        <v>1587.8076923076922</v>
      </c>
      <c r="R233" s="968">
        <f>NC_DKDD!G164</f>
        <v>1.98</v>
      </c>
    </row>
    <row r="234" spans="1:18" s="828" customFormat="1" ht="22.9" customHeight="1">
      <c r="A234" s="1084"/>
      <c r="B234" s="1096"/>
      <c r="C234" s="1084"/>
      <c r="D234" s="969">
        <v>3</v>
      </c>
      <c r="E234" s="857" t="e">
        <f>NC_DKDD!H166</f>
        <v>#VALUE!</v>
      </c>
      <c r="F234" s="857">
        <f>NC_DKDD!H167</f>
        <v>124509</v>
      </c>
      <c r="G234" s="796"/>
      <c r="H234" s="796"/>
      <c r="I234" s="796"/>
      <c r="J234" s="796"/>
      <c r="K234" s="796"/>
      <c r="L234" s="854"/>
      <c r="M234" s="854"/>
      <c r="N234" s="854"/>
      <c r="O234" s="857">
        <f t="shared" si="46"/>
        <v>13390.511538461538</v>
      </c>
      <c r="P234" s="954">
        <f t="shared" si="47"/>
        <v>11643.923076923076</v>
      </c>
      <c r="Q234" s="954">
        <f t="shared" si="48"/>
        <v>1746.5884615384614</v>
      </c>
      <c r="R234" s="968">
        <f>NC_DKDD!G166</f>
        <v>2.1779999999999999</v>
      </c>
    </row>
    <row r="235" spans="1:18" s="828" customFormat="1" ht="22.9" customHeight="1">
      <c r="A235" s="1084"/>
      <c r="B235" s="1096"/>
      <c r="C235" s="1084"/>
      <c r="D235" s="969">
        <v>4</v>
      </c>
      <c r="E235" s="857" t="e">
        <f>NC_DKDD!H168</f>
        <v>#VALUE!</v>
      </c>
      <c r="F235" s="857">
        <f>NC_DKDD!H169</f>
        <v>137004</v>
      </c>
      <c r="G235" s="796"/>
      <c r="H235" s="796"/>
      <c r="I235" s="796"/>
      <c r="J235" s="796"/>
      <c r="K235" s="796"/>
      <c r="L235" s="854"/>
      <c r="M235" s="854"/>
      <c r="N235" s="854"/>
      <c r="O235" s="857">
        <f t="shared" si="46"/>
        <v>14730.792307692305</v>
      </c>
      <c r="P235" s="954">
        <f t="shared" si="47"/>
        <v>12809.384615384613</v>
      </c>
      <c r="Q235" s="954">
        <f t="shared" si="48"/>
        <v>1921.4076923076923</v>
      </c>
      <c r="R235" s="968">
        <f>NC_DKDD!G168</f>
        <v>2.3959999999999999</v>
      </c>
    </row>
    <row r="236" spans="1:18" s="828" customFormat="1" ht="22.9" customHeight="1">
      <c r="A236" s="1084"/>
      <c r="B236" s="1096"/>
      <c r="C236" s="1084"/>
      <c r="D236" s="969">
        <v>5</v>
      </c>
      <c r="E236" s="857" t="e">
        <f>NC_DKDD!H170</f>
        <v>#VALUE!</v>
      </c>
      <c r="F236" s="857">
        <f>NC_DKDD!H171</f>
        <v>150675</v>
      </c>
      <c r="G236" s="796"/>
      <c r="H236" s="796"/>
      <c r="I236" s="796"/>
      <c r="J236" s="796"/>
      <c r="K236" s="796"/>
      <c r="L236" s="854"/>
      <c r="M236" s="854"/>
      <c r="N236" s="854"/>
      <c r="O236" s="857">
        <f t="shared" si="46"/>
        <v>16132.553846153845</v>
      </c>
      <c r="P236" s="954">
        <f t="shared" si="47"/>
        <v>14028.307692307691</v>
      </c>
      <c r="Q236" s="954">
        <f t="shared" si="48"/>
        <v>2104.2461538461539</v>
      </c>
      <c r="R236" s="968">
        <f>NC_DKDD!G170</f>
        <v>2.6240000000000001</v>
      </c>
    </row>
    <row r="237" spans="1:18" s="828" customFormat="1" ht="42.75" customHeight="1">
      <c r="A237" s="798">
        <v>5</v>
      </c>
      <c r="B237" s="799" t="s">
        <v>579</v>
      </c>
      <c r="C237" s="798"/>
      <c r="D237" s="969"/>
      <c r="E237" s="857"/>
      <c r="F237" s="857"/>
      <c r="G237" s="796"/>
      <c r="H237" s="796"/>
      <c r="I237" s="796"/>
      <c r="J237" s="796"/>
      <c r="K237" s="796"/>
      <c r="L237" s="854"/>
      <c r="M237" s="854"/>
      <c r="N237" s="854"/>
      <c r="O237" s="857">
        <f t="shared" si="46"/>
        <v>0</v>
      </c>
      <c r="P237" s="954">
        <f t="shared" si="47"/>
        <v>0</v>
      </c>
      <c r="Q237" s="954">
        <f t="shared" si="48"/>
        <v>0</v>
      </c>
      <c r="R237" s="968"/>
    </row>
    <row r="238" spans="1:18" s="828" customFormat="1" ht="22.9" customHeight="1">
      <c r="A238" s="798" t="s">
        <v>461</v>
      </c>
      <c r="B238" s="799" t="s">
        <v>846</v>
      </c>
      <c r="C238" s="798" t="s">
        <v>532</v>
      </c>
      <c r="D238" s="967" t="s">
        <v>723</v>
      </c>
      <c r="E238" s="857" t="e">
        <f>NC_DKDD!H173</f>
        <v>#VALUE!</v>
      </c>
      <c r="F238" s="857"/>
      <c r="G238" s="796"/>
      <c r="H238" s="796"/>
      <c r="I238" s="796"/>
      <c r="J238" s="796"/>
      <c r="K238" s="796"/>
      <c r="L238" s="854"/>
      <c r="M238" s="854"/>
      <c r="N238" s="854"/>
      <c r="O238" s="857">
        <f t="shared" si="46"/>
        <v>307.40384615384619</v>
      </c>
      <c r="P238" s="954">
        <f t="shared" si="47"/>
        <v>267.30769230769232</v>
      </c>
      <c r="Q238" s="954">
        <f t="shared" si="48"/>
        <v>40.096153846153847</v>
      </c>
      <c r="R238" s="968">
        <f>NC_DKDD!G173</f>
        <v>0.05</v>
      </c>
    </row>
    <row r="239" spans="1:18" s="828" customFormat="1" ht="22.9" customHeight="1">
      <c r="A239" s="798" t="s">
        <v>462</v>
      </c>
      <c r="B239" s="799" t="s">
        <v>849</v>
      </c>
      <c r="C239" s="798" t="s">
        <v>532</v>
      </c>
      <c r="D239" s="967" t="s">
        <v>723</v>
      </c>
      <c r="E239" s="857" t="e">
        <f>NC_DKDD!H174</f>
        <v>#VALUE!</v>
      </c>
      <c r="F239" s="857"/>
      <c r="G239" s="796"/>
      <c r="H239" s="796"/>
      <c r="I239" s="796"/>
      <c r="J239" s="796"/>
      <c r="K239" s="796"/>
      <c r="L239" s="854"/>
      <c r="M239" s="854"/>
      <c r="N239" s="854"/>
      <c r="O239" s="857">
        <f t="shared" si="46"/>
        <v>153.70192307692309</v>
      </c>
      <c r="P239" s="954">
        <f t="shared" si="47"/>
        <v>133.65384615384616</v>
      </c>
      <c r="Q239" s="954">
        <f t="shared" si="48"/>
        <v>20.048076923076923</v>
      </c>
      <c r="R239" s="970">
        <f>NC_DKDD!G174</f>
        <v>2.5000000000000001E-2</v>
      </c>
    </row>
    <row r="240" spans="1:18" s="828" customFormat="1" ht="32.25" customHeight="1">
      <c r="A240" s="798">
        <v>6</v>
      </c>
      <c r="B240" s="799" t="s">
        <v>793</v>
      </c>
      <c r="C240" s="798" t="s">
        <v>375</v>
      </c>
      <c r="D240" s="967" t="s">
        <v>723</v>
      </c>
      <c r="E240" s="857" t="e">
        <f>NC_DKDD!H175</f>
        <v>#VALUE!</v>
      </c>
      <c r="F240" s="857"/>
      <c r="G240" s="796"/>
      <c r="H240" s="796"/>
      <c r="I240" s="796"/>
      <c r="J240" s="796"/>
      <c r="K240" s="796"/>
      <c r="L240" s="854"/>
      <c r="M240" s="854"/>
      <c r="N240" s="854"/>
      <c r="O240" s="857">
        <f t="shared" si="46"/>
        <v>18.444230769230767</v>
      </c>
      <c r="P240" s="954">
        <f t="shared" si="47"/>
        <v>16.038461538461537</v>
      </c>
      <c r="Q240" s="954">
        <f t="shared" si="48"/>
        <v>2.4057692307692307</v>
      </c>
      <c r="R240" s="970">
        <f>NC_DKDD!G175</f>
        <v>3.0000000000000001E-3</v>
      </c>
    </row>
    <row r="241" spans="1:20" s="828" customFormat="1" ht="32.25" customHeight="1">
      <c r="A241" s="798">
        <v>7</v>
      </c>
      <c r="B241" s="799" t="s">
        <v>148</v>
      </c>
      <c r="C241" s="798" t="s">
        <v>532</v>
      </c>
      <c r="D241" s="967" t="s">
        <v>723</v>
      </c>
      <c r="E241" s="857" t="e">
        <f>NC_DKDD!H176</f>
        <v>#VALUE!</v>
      </c>
      <c r="F241" s="857"/>
      <c r="G241" s="796"/>
      <c r="H241" s="796"/>
      <c r="I241" s="796"/>
      <c r="J241" s="796"/>
      <c r="K241" s="796"/>
      <c r="L241" s="854"/>
      <c r="M241" s="854"/>
      <c r="N241" s="854"/>
      <c r="O241" s="857">
        <f t="shared" si="46"/>
        <v>368.88461538461536</v>
      </c>
      <c r="P241" s="954">
        <f t="shared" si="47"/>
        <v>320.76923076923072</v>
      </c>
      <c r="Q241" s="954">
        <f t="shared" si="48"/>
        <v>48.115384615384613</v>
      </c>
      <c r="R241" s="970">
        <f>NC_DKDD!G176</f>
        <v>0.06</v>
      </c>
    </row>
    <row r="242" spans="1:20" s="828" customFormat="1" ht="32.25" customHeight="1">
      <c r="A242" s="798">
        <v>8</v>
      </c>
      <c r="B242" s="799" t="s">
        <v>167</v>
      </c>
      <c r="C242" s="798"/>
      <c r="D242" s="969"/>
      <c r="E242" s="857">
        <f>NC_DKDD!H177</f>
        <v>0</v>
      </c>
      <c r="F242" s="857"/>
      <c r="G242" s="796"/>
      <c r="H242" s="796"/>
      <c r="I242" s="796"/>
      <c r="J242" s="796"/>
      <c r="K242" s="796"/>
      <c r="L242" s="854"/>
      <c r="M242" s="854"/>
      <c r="N242" s="854"/>
      <c r="O242" s="857">
        <f t="shared" si="46"/>
        <v>0</v>
      </c>
      <c r="P242" s="954">
        <f t="shared" si="47"/>
        <v>0</v>
      </c>
      <c r="Q242" s="954">
        <f t="shared" si="48"/>
        <v>0</v>
      </c>
      <c r="R242" s="970">
        <f>NC_DKDD!G177</f>
        <v>0</v>
      </c>
    </row>
    <row r="243" spans="1:20" s="828" customFormat="1" ht="22.5" customHeight="1">
      <c r="A243" s="798" t="s">
        <v>191</v>
      </c>
      <c r="B243" s="799" t="s">
        <v>846</v>
      </c>
      <c r="C243" s="798" t="s">
        <v>532</v>
      </c>
      <c r="D243" s="967" t="s">
        <v>723</v>
      </c>
      <c r="E243" s="857" t="e">
        <f>NC_DKDD!H178</f>
        <v>#VALUE!</v>
      </c>
      <c r="F243" s="857"/>
      <c r="G243" s="796"/>
      <c r="H243" s="796"/>
      <c r="I243" s="796"/>
      <c r="J243" s="796"/>
      <c r="K243" s="796"/>
      <c r="L243" s="854"/>
      <c r="M243" s="854"/>
      <c r="N243" s="854"/>
      <c r="O243" s="857">
        <f t="shared" si="46"/>
        <v>1229.6153846153848</v>
      </c>
      <c r="P243" s="954">
        <f t="shared" si="47"/>
        <v>1069.2307692307693</v>
      </c>
      <c r="Q243" s="954">
        <f t="shared" si="48"/>
        <v>160.38461538461539</v>
      </c>
      <c r="R243" s="970">
        <f>NC_DKDD!G178</f>
        <v>0.2</v>
      </c>
    </row>
    <row r="244" spans="1:20" s="828" customFormat="1" ht="22.9" customHeight="1">
      <c r="A244" s="798" t="s">
        <v>192</v>
      </c>
      <c r="B244" s="799" t="s">
        <v>849</v>
      </c>
      <c r="C244" s="798" t="s">
        <v>532</v>
      </c>
      <c r="D244" s="967" t="s">
        <v>723</v>
      </c>
      <c r="E244" s="857" t="e">
        <f>NC_DKDD!H179</f>
        <v>#VALUE!</v>
      </c>
      <c r="F244" s="857"/>
      <c r="G244" s="796"/>
      <c r="H244" s="796"/>
      <c r="I244" s="796"/>
      <c r="J244" s="796"/>
      <c r="K244" s="796"/>
      <c r="L244" s="854"/>
      <c r="M244" s="854"/>
      <c r="N244" s="854"/>
      <c r="O244" s="857">
        <f t="shared" si="46"/>
        <v>922.21153846153834</v>
      </c>
      <c r="P244" s="954">
        <f t="shared" si="47"/>
        <v>801.92307692307679</v>
      </c>
      <c r="Q244" s="954">
        <f t="shared" si="48"/>
        <v>120.28846153846153</v>
      </c>
      <c r="R244" s="970">
        <f>NC_DKDD!G179</f>
        <v>0.15</v>
      </c>
    </row>
    <row r="245" spans="1:20" s="828" customFormat="1" ht="28.5" customHeight="1">
      <c r="A245" s="798">
        <v>9</v>
      </c>
      <c r="B245" s="799" t="s">
        <v>149</v>
      </c>
      <c r="C245" s="798" t="s">
        <v>532</v>
      </c>
      <c r="D245" s="967" t="s">
        <v>723</v>
      </c>
      <c r="E245" s="857" t="e">
        <f>NC_DKDD!H180</f>
        <v>#VALUE!</v>
      </c>
      <c r="F245" s="857"/>
      <c r="G245" s="796"/>
      <c r="H245" s="796"/>
      <c r="I245" s="796"/>
      <c r="J245" s="796"/>
      <c r="K245" s="796"/>
      <c r="L245" s="854"/>
      <c r="M245" s="854"/>
      <c r="N245" s="854"/>
      <c r="O245" s="857">
        <f t="shared" si="46"/>
        <v>3074.0384615384614</v>
      </c>
      <c r="P245" s="954">
        <f t="shared" si="47"/>
        <v>2673.0769230769229</v>
      </c>
      <c r="Q245" s="954">
        <f t="shared" si="48"/>
        <v>400.96153846153845</v>
      </c>
      <c r="R245" s="970">
        <f>NC_DKDD!G180</f>
        <v>0.5</v>
      </c>
    </row>
    <row r="246" spans="1:20" s="828" customFormat="1" ht="57">
      <c r="A246" s="798">
        <v>10</v>
      </c>
      <c r="B246" s="799" t="s">
        <v>794</v>
      </c>
      <c r="C246" s="798" t="s">
        <v>532</v>
      </c>
      <c r="D246" s="967" t="s">
        <v>723</v>
      </c>
      <c r="E246" s="857" t="e">
        <f>NC_DKDD!H181</f>
        <v>#VALUE!</v>
      </c>
      <c r="F246" s="857"/>
      <c r="G246" s="796"/>
      <c r="H246" s="796"/>
      <c r="I246" s="796"/>
      <c r="J246" s="796"/>
      <c r="K246" s="796"/>
      <c r="L246" s="854"/>
      <c r="M246" s="854"/>
      <c r="N246" s="854"/>
      <c r="O246" s="857">
        <f t="shared" si="46"/>
        <v>1229.6153846153848</v>
      </c>
      <c r="P246" s="954">
        <f t="shared" si="47"/>
        <v>1069.2307692307693</v>
      </c>
      <c r="Q246" s="954">
        <f t="shared" si="48"/>
        <v>160.38461538461539</v>
      </c>
      <c r="R246" s="970">
        <f>NC_DKDD!G181</f>
        <v>0.2</v>
      </c>
    </row>
    <row r="247" spans="1:20" s="828" customFormat="1" ht="52.5" customHeight="1">
      <c r="A247" s="798">
        <v>11</v>
      </c>
      <c r="B247" s="799" t="s">
        <v>795</v>
      </c>
      <c r="C247" s="798" t="s">
        <v>532</v>
      </c>
      <c r="D247" s="967" t="s">
        <v>723</v>
      </c>
      <c r="E247" s="857" t="e">
        <f>NC_DKDD!H182</f>
        <v>#VALUE!</v>
      </c>
      <c r="F247" s="857"/>
      <c r="G247" s="796"/>
      <c r="H247" s="796"/>
      <c r="I247" s="796"/>
      <c r="J247" s="796"/>
      <c r="K247" s="796"/>
      <c r="L247" s="854"/>
      <c r="M247" s="854"/>
      <c r="N247" s="854"/>
      <c r="O247" s="857">
        <f t="shared" si="46"/>
        <v>1229.6153846153848</v>
      </c>
      <c r="P247" s="954">
        <f t="shared" si="47"/>
        <v>1069.2307692307693</v>
      </c>
      <c r="Q247" s="954">
        <f t="shared" si="48"/>
        <v>160.38461538461539</v>
      </c>
      <c r="R247" s="971">
        <f>NC_DKDD!G182</f>
        <v>0.2</v>
      </c>
    </row>
    <row r="248" spans="1:20" s="828" customFormat="1" ht="33.75" customHeight="1">
      <c r="A248" s="972" t="s">
        <v>755</v>
      </c>
      <c r="B248" s="973" t="s">
        <v>339</v>
      </c>
      <c r="C248" s="974"/>
      <c r="D248" s="975"/>
      <c r="E248" s="976" t="e">
        <f>E249</f>
        <v>#VALUE!</v>
      </c>
      <c r="F248" s="976"/>
      <c r="G248" s="976"/>
      <c r="H248" s="796"/>
      <c r="I248" s="796"/>
      <c r="J248" s="796"/>
      <c r="K248" s="796"/>
      <c r="L248" s="796" t="e">
        <f>SUM(E248:K248)</f>
        <v>#VALUE!</v>
      </c>
      <c r="M248" s="796" t="e">
        <f>L248*'He so chung'!$D$17/100</f>
        <v>#VALUE!</v>
      </c>
      <c r="N248" s="796" t="e">
        <f>L248+M248</f>
        <v>#VALUE!</v>
      </c>
      <c r="O248" s="976">
        <f>O249</f>
        <v>1229.6153846153848</v>
      </c>
      <c r="P248" s="954">
        <f t="shared" si="47"/>
        <v>1069.2307692307693</v>
      </c>
      <c r="Q248" s="954">
        <f t="shared" si="48"/>
        <v>160.38461538461539</v>
      </c>
      <c r="R248" s="977">
        <f>R249</f>
        <v>0.2</v>
      </c>
      <c r="T248" s="828">
        <v>47035</v>
      </c>
    </row>
    <row r="249" spans="1:20" s="828" customFormat="1" ht="42.75" customHeight="1">
      <c r="A249" s="798">
        <v>1</v>
      </c>
      <c r="B249" s="799" t="s">
        <v>879</v>
      </c>
      <c r="C249" s="798" t="s">
        <v>532</v>
      </c>
      <c r="D249" s="978" t="s">
        <v>723</v>
      </c>
      <c r="E249" s="857" t="e">
        <f>NC_DKDD!H227</f>
        <v>#VALUE!</v>
      </c>
      <c r="F249" s="796"/>
      <c r="G249" s="796"/>
      <c r="H249" s="796"/>
      <c r="I249" s="796"/>
      <c r="J249" s="796"/>
      <c r="K249" s="796"/>
      <c r="L249" s="854"/>
      <c r="M249" s="854"/>
      <c r="N249" s="854"/>
      <c r="O249" s="857">
        <f t="shared" si="46"/>
        <v>1229.6153846153848</v>
      </c>
      <c r="P249" s="954">
        <f>R249*$P$214</f>
        <v>1069.2307692307693</v>
      </c>
      <c r="Q249" s="954">
        <f>R249*$Q$214</f>
        <v>160.38461538461539</v>
      </c>
      <c r="R249" s="979">
        <f>NC_DKDD!G227</f>
        <v>0.2</v>
      </c>
    </row>
    <row r="250" spans="1:20" ht="21" customHeight="1">
      <c r="A250" s="437"/>
      <c r="B250" s="948" t="s">
        <v>533</v>
      </c>
      <c r="C250" s="439"/>
      <c r="D250" s="437"/>
      <c r="E250" s="803"/>
      <c r="F250" s="803"/>
      <c r="G250" s="804"/>
      <c r="H250" s="803"/>
      <c r="I250" s="803"/>
      <c r="J250" s="805"/>
      <c r="K250" s="805"/>
      <c r="L250" s="805"/>
      <c r="M250" s="419"/>
      <c r="N250" s="419"/>
      <c r="O250" s="901"/>
      <c r="P250" s="420"/>
      <c r="Q250" s="420"/>
    </row>
    <row r="251" spans="1:20" ht="28.9" customHeight="1">
      <c r="A251" s="455"/>
      <c r="B251" s="1073" t="s">
        <v>833</v>
      </c>
      <c r="C251" s="1073"/>
      <c r="D251" s="1073"/>
      <c r="E251" s="1073"/>
      <c r="F251" s="1073"/>
      <c r="G251" s="1073"/>
      <c r="H251" s="1073"/>
      <c r="I251" s="1073"/>
      <c r="J251" s="1073"/>
      <c r="K251" s="1073"/>
      <c r="L251" s="1073"/>
      <c r="M251" s="1073"/>
      <c r="N251" s="1073"/>
      <c r="O251" s="1073"/>
      <c r="P251" s="420"/>
      <c r="Q251" s="420"/>
    </row>
    <row r="252" spans="1:20" ht="28.9" customHeight="1">
      <c r="A252" s="455"/>
      <c r="B252" s="1069" t="s">
        <v>744</v>
      </c>
      <c r="C252" s="1069"/>
      <c r="D252" s="1069"/>
      <c r="E252" s="1069"/>
      <c r="F252" s="1069"/>
      <c r="G252" s="1069"/>
      <c r="H252" s="1069"/>
      <c r="I252" s="1069"/>
      <c r="J252" s="1069"/>
      <c r="K252" s="1069"/>
      <c r="L252" s="1069"/>
      <c r="M252" s="1069"/>
      <c r="N252" s="1069"/>
      <c r="O252" s="1069"/>
      <c r="P252" s="420"/>
      <c r="Q252" s="420"/>
    </row>
    <row r="253" spans="1:20" ht="39.6" customHeight="1">
      <c r="A253" s="455"/>
      <c r="B253" s="1072" t="s">
        <v>865</v>
      </c>
      <c r="C253" s="1072"/>
      <c r="D253" s="1072"/>
      <c r="E253" s="1072"/>
      <c r="F253" s="1072"/>
      <c r="G253" s="1072"/>
      <c r="H253" s="1072"/>
      <c r="I253" s="1072"/>
      <c r="J253" s="1072"/>
      <c r="K253" s="1072"/>
      <c r="L253" s="1072"/>
      <c r="M253" s="1072"/>
      <c r="N253" s="1072"/>
      <c r="O253" s="1072"/>
      <c r="P253" s="420"/>
      <c r="Q253" s="420"/>
    </row>
    <row r="254" spans="1:20" ht="41.45" customHeight="1">
      <c r="A254" s="455"/>
      <c r="B254" s="1072" t="s">
        <v>866</v>
      </c>
      <c r="C254" s="1072"/>
      <c r="D254" s="1072"/>
      <c r="E254" s="1072"/>
      <c r="F254" s="1072"/>
      <c r="G254" s="1072"/>
      <c r="H254" s="1072"/>
      <c r="I254" s="1072"/>
      <c r="J254" s="1072"/>
      <c r="K254" s="1072"/>
      <c r="L254" s="1072"/>
      <c r="M254" s="1072"/>
      <c r="N254" s="1072"/>
      <c r="O254" s="1072"/>
      <c r="P254" s="420"/>
      <c r="Q254" s="420"/>
    </row>
    <row r="255" spans="1:20" ht="27" customHeight="1">
      <c r="A255" s="455"/>
      <c r="B255" s="864"/>
      <c r="C255" s="864"/>
      <c r="D255" s="864"/>
      <c r="E255" s="864"/>
      <c r="F255" s="864"/>
      <c r="G255" s="864"/>
      <c r="H255" s="864"/>
      <c r="I255" s="864"/>
      <c r="J255" s="864"/>
      <c r="K255" s="864"/>
      <c r="L255" s="864"/>
      <c r="M255" s="864"/>
      <c r="N255" s="864"/>
      <c r="O255" s="864"/>
      <c r="P255" s="420"/>
      <c r="Q255" s="420"/>
    </row>
    <row r="256" spans="1:20" ht="27" customHeight="1">
      <c r="A256" s="1070" t="s">
        <v>809</v>
      </c>
      <c r="B256" s="1070"/>
      <c r="C256" s="1070"/>
      <c r="D256" s="1070"/>
      <c r="E256" s="1070"/>
      <c r="F256" s="1070"/>
      <c r="G256" s="1070"/>
      <c r="H256" s="1070"/>
      <c r="I256" s="1070"/>
      <c r="J256" s="1070"/>
      <c r="K256" s="1070"/>
      <c r="L256" s="1070"/>
      <c r="M256" s="1070"/>
      <c r="N256" s="1070"/>
      <c r="O256" s="1070"/>
    </row>
    <row r="257" spans="1:18" ht="27" customHeight="1">
      <c r="A257" s="414"/>
      <c r="B257" s="926"/>
      <c r="C257" s="776"/>
      <c r="D257" s="777" t="s">
        <v>430</v>
      </c>
      <c r="E257" s="419"/>
      <c r="F257" s="778"/>
      <c r="G257" s="779"/>
      <c r="H257" s="778"/>
      <c r="I257" s="780"/>
      <c r="J257" s="778"/>
      <c r="K257" s="778"/>
      <c r="L257" s="781" t="s">
        <v>262</v>
      </c>
      <c r="M257" s="778"/>
      <c r="N257" s="780"/>
      <c r="O257" s="419"/>
      <c r="P257" s="420"/>
      <c r="Q257" s="420"/>
      <c r="R257" s="420"/>
    </row>
    <row r="258" spans="1:18" ht="27" customHeight="1">
      <c r="A258" s="414"/>
      <c r="B258" s="926"/>
      <c r="C258" s="776"/>
      <c r="D258" s="821"/>
      <c r="E258" s="419"/>
      <c r="F258" s="419"/>
      <c r="G258" s="822"/>
      <c r="H258" s="419"/>
      <c r="I258" s="419"/>
      <c r="J258" s="419"/>
      <c r="K258" s="419"/>
      <c r="L258" s="419"/>
      <c r="M258" s="419"/>
      <c r="N258" s="419"/>
      <c r="O258" s="419"/>
      <c r="P258" s="420"/>
      <c r="Q258" s="420"/>
      <c r="R258" s="420"/>
    </row>
    <row r="259" spans="1:18" s="817" customFormat="1" ht="27" customHeight="1">
      <c r="A259" s="1068" t="s">
        <v>718</v>
      </c>
      <c r="B259" s="1068" t="s">
        <v>198</v>
      </c>
      <c r="C259" s="1071" t="s">
        <v>263</v>
      </c>
      <c r="D259" s="1071" t="s">
        <v>264</v>
      </c>
      <c r="E259" s="1071" t="s">
        <v>683</v>
      </c>
      <c r="F259" s="1071"/>
      <c r="G259" s="1071"/>
      <c r="H259" s="1071"/>
      <c r="I259" s="1071"/>
      <c r="J259" s="1071"/>
      <c r="K259" s="1071"/>
      <c r="L259" s="1071"/>
      <c r="M259" s="1071" t="s">
        <v>435</v>
      </c>
      <c r="N259" s="1071" t="s">
        <v>684</v>
      </c>
      <c r="O259" s="1071" t="s">
        <v>685</v>
      </c>
      <c r="P259" s="815"/>
      <c r="Q259" s="815"/>
      <c r="R259" s="816"/>
    </row>
    <row r="260" spans="1:18" s="817" customFormat="1" ht="27" customHeight="1">
      <c r="A260" s="1068"/>
      <c r="B260" s="1068"/>
      <c r="C260" s="1071"/>
      <c r="D260" s="1071"/>
      <c r="E260" s="783" t="s">
        <v>686</v>
      </c>
      <c r="F260" s="783" t="s">
        <v>687</v>
      </c>
      <c r="G260" s="784" t="s">
        <v>285</v>
      </c>
      <c r="H260" s="783" t="s">
        <v>499</v>
      </c>
      <c r="I260" s="783" t="s">
        <v>688</v>
      </c>
      <c r="J260" s="783" t="s">
        <v>531</v>
      </c>
      <c r="K260" s="783" t="s">
        <v>689</v>
      </c>
      <c r="L260" s="783" t="s">
        <v>690</v>
      </c>
      <c r="M260" s="1071"/>
      <c r="N260" s="1071"/>
      <c r="O260" s="1071"/>
      <c r="P260" s="815"/>
      <c r="Q260" s="815"/>
      <c r="R260" s="816"/>
    </row>
    <row r="261" spans="1:18" s="817" customFormat="1" ht="57" customHeight="1">
      <c r="A261" s="785"/>
      <c r="B261" s="839" t="s">
        <v>695</v>
      </c>
      <c r="C261" s="783"/>
      <c r="D261" s="783"/>
      <c r="E261" s="783"/>
      <c r="F261" s="783"/>
      <c r="G261" s="784"/>
      <c r="H261" s="783"/>
      <c r="I261" s="783"/>
      <c r="J261" s="783"/>
      <c r="K261" s="783"/>
      <c r="L261" s="783"/>
      <c r="M261" s="783"/>
      <c r="N261" s="783"/>
      <c r="O261" s="783"/>
      <c r="P261" s="815"/>
      <c r="Q261" s="815"/>
      <c r="R261" s="816"/>
    </row>
    <row r="262" spans="1:18" s="817" customFormat="1" ht="27" customHeight="1">
      <c r="A262" s="785"/>
      <c r="B262" s="786" t="s">
        <v>668</v>
      </c>
      <c r="C262" s="783" t="s">
        <v>532</v>
      </c>
      <c r="D262" s="980" t="s">
        <v>723</v>
      </c>
      <c r="E262" s="788" t="e">
        <f>E266+E310</f>
        <v>#VALUE!</v>
      </c>
      <c r="F262" s="788">
        <f t="shared" ref="F262:O262" si="49">F266+F310</f>
        <v>0</v>
      </c>
      <c r="G262" s="788">
        <f t="shared" si="49"/>
        <v>0</v>
      </c>
      <c r="H262" s="788">
        <f t="shared" si="49"/>
        <v>8283.8763717948714</v>
      </c>
      <c r="I262" s="788">
        <f t="shared" si="49"/>
        <v>32414.58</v>
      </c>
      <c r="J262" s="788">
        <f t="shared" si="49"/>
        <v>4567.2199999999993</v>
      </c>
      <c r="K262" s="788">
        <f t="shared" si="49"/>
        <v>8957.2560000000012</v>
      </c>
      <c r="L262" s="788" t="e">
        <f t="shared" si="49"/>
        <v>#VALUE!</v>
      </c>
      <c r="M262" s="788" t="e">
        <f t="shared" si="49"/>
        <v>#VALUE!</v>
      </c>
      <c r="N262" s="788" t="e">
        <f t="shared" si="49"/>
        <v>#VALUE!</v>
      </c>
      <c r="O262" s="788">
        <f t="shared" si="49"/>
        <v>18917.632692307692</v>
      </c>
      <c r="P262" s="815"/>
      <c r="Q262" s="815"/>
      <c r="R262" s="788"/>
    </row>
    <row r="263" spans="1:18" s="817" customFormat="1" ht="27" customHeight="1">
      <c r="A263" s="785"/>
      <c r="B263" s="786" t="s">
        <v>669</v>
      </c>
      <c r="C263" s="783" t="s">
        <v>532</v>
      </c>
      <c r="D263" s="980" t="s">
        <v>723</v>
      </c>
      <c r="E263" s="788" t="e">
        <f>E267+E310</f>
        <v>#VALUE!</v>
      </c>
      <c r="F263" s="788">
        <f t="shared" ref="F263:O263" si="50">F267+F310</f>
        <v>0</v>
      </c>
      <c r="G263" s="788">
        <f t="shared" si="50"/>
        <v>0</v>
      </c>
      <c r="H263" s="788">
        <f t="shared" si="50"/>
        <v>8283.8763717948714</v>
      </c>
      <c r="I263" s="788">
        <f t="shared" si="50"/>
        <v>32414.58</v>
      </c>
      <c r="J263" s="788">
        <f t="shared" si="50"/>
        <v>4567.2199999999993</v>
      </c>
      <c r="K263" s="788">
        <f t="shared" si="50"/>
        <v>8957.2560000000012</v>
      </c>
      <c r="L263" s="788" t="e">
        <f t="shared" si="50"/>
        <v>#VALUE!</v>
      </c>
      <c r="M263" s="788" t="e">
        <f t="shared" si="50"/>
        <v>#VALUE!</v>
      </c>
      <c r="N263" s="788" t="e">
        <f t="shared" si="50"/>
        <v>#VALUE!</v>
      </c>
      <c r="O263" s="788">
        <f t="shared" si="50"/>
        <v>15536.190384615382</v>
      </c>
      <c r="P263" s="815"/>
      <c r="Q263" s="815"/>
      <c r="R263" s="788"/>
    </row>
    <row r="264" spans="1:18" s="817" customFormat="1" ht="27" customHeight="1">
      <c r="A264" s="785"/>
      <c r="B264" s="789"/>
      <c r="C264" s="783"/>
      <c r="D264" s="783"/>
      <c r="E264" s="783"/>
      <c r="F264" s="783"/>
      <c r="G264" s="784"/>
      <c r="H264" s="783"/>
      <c r="I264" s="783"/>
      <c r="J264" s="783"/>
      <c r="K264" s="783"/>
      <c r="L264" s="783"/>
      <c r="M264" s="783"/>
      <c r="N264" s="783"/>
      <c r="O264" s="783"/>
      <c r="P264" s="949">
        <f>'He so chung'!D$22</f>
        <v>5346.1538461538457</v>
      </c>
      <c r="Q264" s="949">
        <f>'He so chung'!D$23</f>
        <v>801.92307692307691</v>
      </c>
      <c r="R264" s="819"/>
    </row>
    <row r="265" spans="1:18" s="817" customFormat="1" ht="27" customHeight="1">
      <c r="A265" s="791" t="s">
        <v>1005</v>
      </c>
      <c r="B265" s="787" t="s">
        <v>582</v>
      </c>
      <c r="C265" s="798"/>
      <c r="D265" s="967"/>
      <c r="E265" s="857"/>
      <c r="F265" s="857"/>
      <c r="G265" s="796"/>
      <c r="H265" s="796"/>
      <c r="I265" s="796"/>
      <c r="J265" s="796"/>
      <c r="K265" s="796"/>
      <c r="L265" s="854"/>
      <c r="M265" s="854"/>
      <c r="N265" s="854"/>
      <c r="O265" s="857"/>
      <c r="P265" s="954">
        <f t="shared" ref="P265:P310" si="51">R265*$P$214</f>
        <v>0</v>
      </c>
      <c r="Q265" s="954">
        <f t="shared" ref="Q265:Q310" si="52">R265*$Q$214</f>
        <v>0</v>
      </c>
      <c r="R265" s="971"/>
    </row>
    <row r="266" spans="1:18" s="817" customFormat="1" ht="27" customHeight="1">
      <c r="A266" s="791" t="s">
        <v>703</v>
      </c>
      <c r="B266" s="787" t="s">
        <v>668</v>
      </c>
      <c r="C266" s="798"/>
      <c r="D266" s="952"/>
      <c r="E266" s="796" t="e">
        <f>E269+E271+E274+E276+E277+E278+E280+E284++E287+E290+E292+E295+E297+E298+E299+E302+E303+E304+E305+E306+E308+E309</f>
        <v>#VALUE!</v>
      </c>
      <c r="F266" s="796"/>
      <c r="G266" s="796"/>
      <c r="H266" s="796">
        <f>'Dcu-DKDD'!$J$122</f>
        <v>8283.8763717948714</v>
      </c>
      <c r="I266" s="796">
        <f>'VL-DKDD'!$H$125</f>
        <v>32414.58</v>
      </c>
      <c r="J266" s="796">
        <f>'TB-DKDD'!$K$67</f>
        <v>4567.2199999999993</v>
      </c>
      <c r="K266" s="796">
        <f>'NL-DKDD'!$H$47</f>
        <v>8957.2560000000012</v>
      </c>
      <c r="L266" s="796" t="e">
        <f>SUM(E266:K266)</f>
        <v>#VALUE!</v>
      </c>
      <c r="M266" s="796" t="e">
        <f>L266*'He so chung'!$D$17/100</f>
        <v>#VALUE!</v>
      </c>
      <c r="N266" s="796" t="e">
        <f>L266+M266</f>
        <v>#VALUE!</v>
      </c>
      <c r="O266" s="796">
        <f>O269+O271+O274+O276+O277+O278+O280+O284++O287+O290+O292+O295+O297+O298+O299+O302+O303+O304+O305+O306+O308+O309</f>
        <v>17688.017307692306</v>
      </c>
      <c r="P266" s="954">
        <f t="shared" si="51"/>
        <v>15380.884615384613</v>
      </c>
      <c r="Q266" s="954">
        <f t="shared" si="52"/>
        <v>2307.1326923076922</v>
      </c>
      <c r="R266" s="968">
        <f>R269+R271+R274+R276+R277+R278+R280+R284++R287+R290+R292+R295+R297+R298+R299+R302+R303+R304+R305+R306+R308+R309</f>
        <v>2.8769999999999998</v>
      </c>
    </row>
    <row r="267" spans="1:18" s="817" customFormat="1" ht="27" customHeight="1">
      <c r="A267" s="791" t="s">
        <v>1011</v>
      </c>
      <c r="B267" s="787" t="s">
        <v>669</v>
      </c>
      <c r="C267" s="798"/>
      <c r="D267" s="952"/>
      <c r="E267" s="796" t="e">
        <f>E269+E272+E275+E276+E277+E278+E280+E283+E288+E291+E292+E295+E297+E298+E299+E302+E303+E304+E305+E306+E308+E309</f>
        <v>#VALUE!</v>
      </c>
      <c r="F267" s="796"/>
      <c r="G267" s="796"/>
      <c r="H267" s="796">
        <f>'Dcu-DKDD'!$J$122</f>
        <v>8283.8763717948714</v>
      </c>
      <c r="I267" s="796">
        <f>'VL-DKDD'!$H$125</f>
        <v>32414.58</v>
      </c>
      <c r="J267" s="796">
        <f>'TB-DKDD'!$K$67</f>
        <v>4567.2199999999993</v>
      </c>
      <c r="K267" s="796">
        <f>'NL-DKDD'!$H$47</f>
        <v>8957.2560000000012</v>
      </c>
      <c r="L267" s="796" t="e">
        <f>SUM(E267:K267)</f>
        <v>#VALUE!</v>
      </c>
      <c r="M267" s="796" t="e">
        <f>L267*'He so chung'!$D$17/100</f>
        <v>#VALUE!</v>
      </c>
      <c r="N267" s="796" t="e">
        <f>L267+M267</f>
        <v>#VALUE!</v>
      </c>
      <c r="O267" s="796">
        <f>O269+O272+O275+O276+O277+O278+O280+O283+O288+O291+O292+O295+O297+O298+O299+O302+O303+O304+O305+O306+O308+O309</f>
        <v>14306.574999999997</v>
      </c>
      <c r="P267" s="954">
        <f t="shared" si="51"/>
        <v>12440.500000000002</v>
      </c>
      <c r="Q267" s="954">
        <f t="shared" si="52"/>
        <v>1866.0750000000003</v>
      </c>
      <c r="R267" s="968">
        <f>R269+R272+R275+R276+R277+R278+R280+R283+R288+R291+R292+R295+R297+R298+R299+R302+R303+R304+R305+R306+R308+R309</f>
        <v>2.3270000000000004</v>
      </c>
    </row>
    <row r="268" spans="1:18" s="817" customFormat="1" ht="28.5">
      <c r="A268" s="798">
        <v>1</v>
      </c>
      <c r="B268" s="799" t="s">
        <v>796</v>
      </c>
      <c r="C268" s="798"/>
      <c r="D268" s="952"/>
      <c r="E268" s="857"/>
      <c r="F268" s="857"/>
      <c r="G268" s="796"/>
      <c r="H268" s="796"/>
      <c r="I268" s="796"/>
      <c r="J268" s="796"/>
      <c r="K268" s="796"/>
      <c r="L268" s="854"/>
      <c r="M268" s="854"/>
      <c r="N268" s="854"/>
      <c r="O268" s="796">
        <f t="shared" ref="O268:O309" si="53">P268+Q268</f>
        <v>0</v>
      </c>
      <c r="P268" s="954">
        <f t="shared" si="51"/>
        <v>0</v>
      </c>
      <c r="Q268" s="954">
        <f t="shared" si="52"/>
        <v>0</v>
      </c>
      <c r="R268" s="971"/>
    </row>
    <row r="269" spans="1:18" s="817" customFormat="1" ht="48" customHeight="1">
      <c r="A269" s="798" t="s">
        <v>733</v>
      </c>
      <c r="B269" s="799" t="s">
        <v>797</v>
      </c>
      <c r="C269" s="798" t="s">
        <v>532</v>
      </c>
      <c r="D269" s="967" t="s">
        <v>723</v>
      </c>
      <c r="E269" s="857" t="e">
        <f>NC_DKDD!H185</f>
        <v>#VALUE!</v>
      </c>
      <c r="F269" s="857"/>
      <c r="G269" s="796"/>
      <c r="H269" s="796"/>
      <c r="I269" s="796"/>
      <c r="J269" s="796"/>
      <c r="K269" s="796"/>
      <c r="L269" s="854"/>
      <c r="M269" s="854"/>
      <c r="N269" s="854"/>
      <c r="O269" s="857">
        <f t="shared" si="53"/>
        <v>614.80769230769238</v>
      </c>
      <c r="P269" s="954">
        <f t="shared" si="51"/>
        <v>534.61538461538464</v>
      </c>
      <c r="Q269" s="954">
        <f t="shared" si="52"/>
        <v>80.192307692307693</v>
      </c>
      <c r="R269" s="981">
        <f>NC_DKDD!G185</f>
        <v>0.1</v>
      </c>
    </row>
    <row r="270" spans="1:18" s="817" customFormat="1" ht="36.75" customHeight="1">
      <c r="A270" s="798" t="s">
        <v>741</v>
      </c>
      <c r="B270" s="799" t="s">
        <v>798</v>
      </c>
      <c r="C270" s="798"/>
      <c r="D270" s="952"/>
      <c r="E270" s="857">
        <f>NC_DKDD!H186</f>
        <v>0</v>
      </c>
      <c r="F270" s="857"/>
      <c r="G270" s="796"/>
      <c r="H270" s="796"/>
      <c r="I270" s="796"/>
      <c r="J270" s="796"/>
      <c r="K270" s="796"/>
      <c r="L270" s="854"/>
      <c r="M270" s="854"/>
      <c r="N270" s="854"/>
      <c r="O270" s="857">
        <f t="shared" si="53"/>
        <v>0</v>
      </c>
      <c r="P270" s="954">
        <f t="shared" si="51"/>
        <v>0</v>
      </c>
      <c r="Q270" s="954">
        <f t="shared" si="52"/>
        <v>0</v>
      </c>
      <c r="R270" s="981">
        <f>NC_DKDD!G186</f>
        <v>0</v>
      </c>
    </row>
    <row r="271" spans="1:18" s="817" customFormat="1" ht="27" customHeight="1">
      <c r="A271" s="798" t="s">
        <v>799</v>
      </c>
      <c r="B271" s="799" t="s">
        <v>846</v>
      </c>
      <c r="C271" s="798" t="s">
        <v>532</v>
      </c>
      <c r="D271" s="967" t="s">
        <v>723</v>
      </c>
      <c r="E271" s="857" t="e">
        <f>NC_DKDD!H187</f>
        <v>#VALUE!</v>
      </c>
      <c r="F271" s="857"/>
      <c r="G271" s="796"/>
      <c r="H271" s="796"/>
      <c r="I271" s="796"/>
      <c r="J271" s="796"/>
      <c r="K271" s="796"/>
      <c r="L271" s="854"/>
      <c r="M271" s="854"/>
      <c r="N271" s="854"/>
      <c r="O271" s="857">
        <f t="shared" si="53"/>
        <v>3074.0384615384614</v>
      </c>
      <c r="P271" s="954">
        <f t="shared" si="51"/>
        <v>2673.0769230769229</v>
      </c>
      <c r="Q271" s="954">
        <f t="shared" si="52"/>
        <v>400.96153846153845</v>
      </c>
      <c r="R271" s="981">
        <f>NC_DKDD!G187</f>
        <v>0.5</v>
      </c>
    </row>
    <row r="272" spans="1:18" s="817" customFormat="1" ht="27" customHeight="1">
      <c r="A272" s="798" t="s">
        <v>800</v>
      </c>
      <c r="B272" s="799" t="s">
        <v>849</v>
      </c>
      <c r="C272" s="798" t="s">
        <v>532</v>
      </c>
      <c r="D272" s="967" t="s">
        <v>723</v>
      </c>
      <c r="E272" s="857" t="e">
        <f>NC_DKDD!H188</f>
        <v>#VALUE!</v>
      </c>
      <c r="F272" s="857"/>
      <c r="G272" s="796"/>
      <c r="H272" s="796"/>
      <c r="I272" s="796"/>
      <c r="J272" s="796"/>
      <c r="K272" s="796"/>
      <c r="L272" s="854"/>
      <c r="M272" s="854"/>
      <c r="N272" s="854"/>
      <c r="O272" s="857">
        <f t="shared" si="53"/>
        <v>1537.0192307692307</v>
      </c>
      <c r="P272" s="954">
        <f t="shared" si="51"/>
        <v>1336.5384615384614</v>
      </c>
      <c r="Q272" s="954">
        <f t="shared" si="52"/>
        <v>200.48076923076923</v>
      </c>
      <c r="R272" s="981">
        <f>NC_DKDD!G188</f>
        <v>0.25</v>
      </c>
    </row>
    <row r="273" spans="1:18" s="817" customFormat="1" ht="28.5">
      <c r="A273" s="798">
        <v>2</v>
      </c>
      <c r="B273" s="799" t="s">
        <v>801</v>
      </c>
      <c r="C273" s="798"/>
      <c r="D273" s="952"/>
      <c r="E273" s="857">
        <f>NC_DKDD!H189</f>
        <v>0</v>
      </c>
      <c r="F273" s="857"/>
      <c r="G273" s="796"/>
      <c r="H273" s="796"/>
      <c r="I273" s="796"/>
      <c r="J273" s="796"/>
      <c r="K273" s="796"/>
      <c r="L273" s="854"/>
      <c r="M273" s="854"/>
      <c r="N273" s="854"/>
      <c r="O273" s="857">
        <f t="shared" si="53"/>
        <v>0</v>
      </c>
      <c r="P273" s="954">
        <f t="shared" si="51"/>
        <v>0</v>
      </c>
      <c r="Q273" s="954">
        <f t="shared" si="52"/>
        <v>0</v>
      </c>
      <c r="R273" s="981">
        <f>NC_DKDD!G189</f>
        <v>0</v>
      </c>
    </row>
    <row r="274" spans="1:18" s="817" customFormat="1" ht="29.25" customHeight="1">
      <c r="A274" s="798" t="s">
        <v>742</v>
      </c>
      <c r="B274" s="799" t="s">
        <v>846</v>
      </c>
      <c r="C274" s="798" t="s">
        <v>532</v>
      </c>
      <c r="D274" s="967" t="s">
        <v>723</v>
      </c>
      <c r="E274" s="857" t="e">
        <f>NC_DKDD!H190</f>
        <v>#VALUE!</v>
      </c>
      <c r="F274" s="857"/>
      <c r="G274" s="796"/>
      <c r="H274" s="796"/>
      <c r="I274" s="796"/>
      <c r="J274" s="796"/>
      <c r="K274" s="796"/>
      <c r="L274" s="854"/>
      <c r="M274" s="854"/>
      <c r="N274" s="854"/>
      <c r="O274" s="857">
        <f t="shared" si="53"/>
        <v>307.40384615384619</v>
      </c>
      <c r="P274" s="954">
        <f t="shared" si="51"/>
        <v>267.30769230769232</v>
      </c>
      <c r="Q274" s="954">
        <f t="shared" si="52"/>
        <v>40.096153846153847</v>
      </c>
      <c r="R274" s="981">
        <f>NC_DKDD!G190</f>
        <v>0.05</v>
      </c>
    </row>
    <row r="275" spans="1:18" s="817" customFormat="1" ht="29.25" customHeight="1">
      <c r="A275" s="798" t="s">
        <v>743</v>
      </c>
      <c r="B275" s="799" t="s">
        <v>849</v>
      </c>
      <c r="C275" s="798" t="s">
        <v>532</v>
      </c>
      <c r="D275" s="967" t="s">
        <v>723</v>
      </c>
      <c r="E275" s="857" t="e">
        <f>NC_DKDD!H191</f>
        <v>#VALUE!</v>
      </c>
      <c r="F275" s="857"/>
      <c r="G275" s="796"/>
      <c r="H275" s="796"/>
      <c r="I275" s="796"/>
      <c r="J275" s="796"/>
      <c r="K275" s="796"/>
      <c r="L275" s="854"/>
      <c r="M275" s="854"/>
      <c r="N275" s="854"/>
      <c r="O275" s="857">
        <f t="shared" si="53"/>
        <v>307.40384615384619</v>
      </c>
      <c r="P275" s="954">
        <f t="shared" si="51"/>
        <v>267.30769230769232</v>
      </c>
      <c r="Q275" s="954">
        <f t="shared" si="52"/>
        <v>40.096153846153847</v>
      </c>
      <c r="R275" s="981">
        <f>NC_DKDD!G191</f>
        <v>0.05</v>
      </c>
    </row>
    <row r="276" spans="1:18" s="817" customFormat="1" ht="32.25" customHeight="1">
      <c r="A276" s="798">
        <v>3</v>
      </c>
      <c r="B276" s="799" t="s">
        <v>584</v>
      </c>
      <c r="C276" s="798" t="s">
        <v>532</v>
      </c>
      <c r="D276" s="967" t="s">
        <v>723</v>
      </c>
      <c r="E276" s="857" t="e">
        <f>NC_DKDD!H192</f>
        <v>#VALUE!</v>
      </c>
      <c r="F276" s="857"/>
      <c r="G276" s="796"/>
      <c r="H276" s="796"/>
      <c r="I276" s="796"/>
      <c r="J276" s="796"/>
      <c r="K276" s="796"/>
      <c r="L276" s="854"/>
      <c r="M276" s="854"/>
      <c r="N276" s="854"/>
      <c r="O276" s="857">
        <f t="shared" si="53"/>
        <v>0</v>
      </c>
      <c r="P276" s="954">
        <f t="shared" si="51"/>
        <v>0</v>
      </c>
      <c r="Q276" s="954">
        <f t="shared" si="52"/>
        <v>0</v>
      </c>
      <c r="R276" s="981">
        <f>NC_DKDD!G192</f>
        <v>0</v>
      </c>
    </row>
    <row r="277" spans="1:18" s="817" customFormat="1" ht="33" customHeight="1">
      <c r="A277" s="798">
        <v>4</v>
      </c>
      <c r="B277" s="799" t="s">
        <v>585</v>
      </c>
      <c r="C277" s="798" t="s">
        <v>532</v>
      </c>
      <c r="D277" s="967" t="s">
        <v>723</v>
      </c>
      <c r="E277" s="857" t="e">
        <f>NC_DKDD!H193</f>
        <v>#VALUE!</v>
      </c>
      <c r="F277" s="857"/>
      <c r="G277" s="796"/>
      <c r="H277" s="796"/>
      <c r="I277" s="796"/>
      <c r="J277" s="796"/>
      <c r="K277" s="796"/>
      <c r="L277" s="854"/>
      <c r="M277" s="854"/>
      <c r="N277" s="854"/>
      <c r="O277" s="857">
        <f t="shared" si="53"/>
        <v>3074.0384615384614</v>
      </c>
      <c r="P277" s="954">
        <f t="shared" si="51"/>
        <v>2673.0769230769229</v>
      </c>
      <c r="Q277" s="954">
        <f t="shared" si="52"/>
        <v>400.96153846153845</v>
      </c>
      <c r="R277" s="981">
        <f>NC_DKDD!G193</f>
        <v>0.5</v>
      </c>
    </row>
    <row r="278" spans="1:18" s="817" customFormat="1" ht="33" customHeight="1">
      <c r="A278" s="798">
        <v>5</v>
      </c>
      <c r="B278" s="799" t="s">
        <v>2</v>
      </c>
      <c r="C278" s="798" t="s">
        <v>375</v>
      </c>
      <c r="D278" s="967" t="s">
        <v>723</v>
      </c>
      <c r="E278" s="857" t="e">
        <f>NC_DKDD!H194</f>
        <v>#VALUE!</v>
      </c>
      <c r="F278" s="857"/>
      <c r="G278" s="796"/>
      <c r="H278" s="796"/>
      <c r="I278" s="796"/>
      <c r="J278" s="796"/>
      <c r="K278" s="796"/>
      <c r="L278" s="854"/>
      <c r="M278" s="854"/>
      <c r="N278" s="854"/>
      <c r="O278" s="857">
        <f t="shared" si="53"/>
        <v>36.888461538461534</v>
      </c>
      <c r="P278" s="954">
        <f t="shared" si="51"/>
        <v>32.076923076923073</v>
      </c>
      <c r="Q278" s="954">
        <f t="shared" si="52"/>
        <v>4.8115384615384613</v>
      </c>
      <c r="R278" s="981">
        <f>NC_DKDD!G194</f>
        <v>6.0000000000000001E-3</v>
      </c>
    </row>
    <row r="279" spans="1:18" s="817" customFormat="1" ht="57">
      <c r="A279" s="798">
        <v>6</v>
      </c>
      <c r="B279" s="799" t="s">
        <v>802</v>
      </c>
      <c r="C279" s="798"/>
      <c r="D279" s="952"/>
      <c r="E279" s="857">
        <f>NC_DKDD!H195</f>
        <v>0</v>
      </c>
      <c r="F279" s="857"/>
      <c r="G279" s="796"/>
      <c r="H279" s="796"/>
      <c r="I279" s="796"/>
      <c r="J279" s="796"/>
      <c r="K279" s="796"/>
      <c r="L279" s="854"/>
      <c r="M279" s="854"/>
      <c r="N279" s="854"/>
      <c r="O279" s="857">
        <f t="shared" si="53"/>
        <v>0</v>
      </c>
      <c r="P279" s="954">
        <f t="shared" si="51"/>
        <v>0</v>
      </c>
      <c r="Q279" s="954">
        <f t="shared" si="52"/>
        <v>0</v>
      </c>
      <c r="R279" s="981">
        <f>NC_DKDD!G195</f>
        <v>0</v>
      </c>
    </row>
    <row r="280" spans="1:18" s="817" customFormat="1" ht="27" customHeight="1">
      <c r="A280" s="798" t="s">
        <v>661</v>
      </c>
      <c r="B280" s="799" t="s">
        <v>587</v>
      </c>
      <c r="C280" s="798" t="s">
        <v>375</v>
      </c>
      <c r="D280" s="967" t="s">
        <v>723</v>
      </c>
      <c r="E280" s="857" t="e">
        <f>NC_DKDD!H196</f>
        <v>#VALUE!</v>
      </c>
      <c r="F280" s="857"/>
      <c r="G280" s="796"/>
      <c r="H280" s="796"/>
      <c r="I280" s="796"/>
      <c r="J280" s="796"/>
      <c r="K280" s="796"/>
      <c r="L280" s="854"/>
      <c r="M280" s="854"/>
      <c r="N280" s="854"/>
      <c r="O280" s="857">
        <f t="shared" si="53"/>
        <v>307.40384615384619</v>
      </c>
      <c r="P280" s="954">
        <f t="shared" si="51"/>
        <v>267.30769230769232</v>
      </c>
      <c r="Q280" s="954">
        <f t="shared" si="52"/>
        <v>40.096153846153847</v>
      </c>
      <c r="R280" s="981">
        <f>NC_DKDD!G196</f>
        <v>0.05</v>
      </c>
    </row>
    <row r="281" spans="1:18" s="817" customFormat="1" ht="27" customHeight="1">
      <c r="A281" s="798" t="s">
        <v>662</v>
      </c>
      <c r="B281" s="799" t="s">
        <v>588</v>
      </c>
      <c r="C281" s="798" t="s">
        <v>375</v>
      </c>
      <c r="D281" s="967" t="s">
        <v>723</v>
      </c>
      <c r="E281" s="857" t="e">
        <f>NC_DKDD!H197</f>
        <v>#VALUE!</v>
      </c>
      <c r="F281" s="857"/>
      <c r="G281" s="796"/>
      <c r="H281" s="796"/>
      <c r="I281" s="796"/>
      <c r="J281" s="796"/>
      <c r="K281" s="796"/>
      <c r="L281" s="854"/>
      <c r="M281" s="854"/>
      <c r="N281" s="854"/>
      <c r="O281" s="857">
        <f t="shared" si="53"/>
        <v>614.80769230769238</v>
      </c>
      <c r="P281" s="954">
        <f t="shared" si="51"/>
        <v>534.61538461538464</v>
      </c>
      <c r="Q281" s="954">
        <f t="shared" si="52"/>
        <v>80.192307692307693</v>
      </c>
      <c r="R281" s="981">
        <f>NC_DKDD!G197</f>
        <v>0.1</v>
      </c>
    </row>
    <row r="282" spans="1:18" s="817" customFormat="1" ht="48" customHeight="1">
      <c r="A282" s="798">
        <v>7</v>
      </c>
      <c r="B282" s="799" t="s">
        <v>589</v>
      </c>
      <c r="C282" s="798"/>
      <c r="D282" s="952"/>
      <c r="E282" s="857">
        <f>NC_DKDD!H198</f>
        <v>0</v>
      </c>
      <c r="F282" s="857"/>
      <c r="G282" s="796"/>
      <c r="H282" s="796"/>
      <c r="I282" s="796"/>
      <c r="J282" s="796"/>
      <c r="K282" s="796"/>
      <c r="L282" s="854"/>
      <c r="M282" s="854"/>
      <c r="N282" s="854"/>
      <c r="O282" s="857">
        <f t="shared" si="53"/>
        <v>0</v>
      </c>
      <c r="P282" s="954">
        <f t="shared" si="51"/>
        <v>0</v>
      </c>
      <c r="Q282" s="954">
        <f t="shared" si="52"/>
        <v>0</v>
      </c>
      <c r="R282" s="981">
        <f>NC_DKDD!G198</f>
        <v>0</v>
      </c>
    </row>
    <row r="283" spans="1:18" s="817" customFormat="1" ht="29.25" customHeight="1">
      <c r="A283" s="798" t="s">
        <v>714</v>
      </c>
      <c r="B283" s="799" t="s">
        <v>590</v>
      </c>
      <c r="C283" s="798" t="s">
        <v>532</v>
      </c>
      <c r="D283" s="967" t="s">
        <v>723</v>
      </c>
      <c r="E283" s="857" t="e">
        <f>NC_DKDD!H199</f>
        <v>#VALUE!</v>
      </c>
      <c r="F283" s="857"/>
      <c r="G283" s="796"/>
      <c r="H283" s="796"/>
      <c r="I283" s="796"/>
      <c r="J283" s="796"/>
      <c r="K283" s="796"/>
      <c r="L283" s="854"/>
      <c r="M283" s="854"/>
      <c r="N283" s="854"/>
      <c r="O283" s="857">
        <f t="shared" si="53"/>
        <v>614.80769230769238</v>
      </c>
      <c r="P283" s="954">
        <f t="shared" si="51"/>
        <v>534.61538461538464</v>
      </c>
      <c r="Q283" s="954">
        <f t="shared" si="52"/>
        <v>80.192307692307693</v>
      </c>
      <c r="R283" s="981">
        <f>NC_DKDD!G199</f>
        <v>0.1</v>
      </c>
    </row>
    <row r="284" spans="1:18" s="817" customFormat="1" ht="29.25" customHeight="1">
      <c r="A284" s="798" t="s">
        <v>715</v>
      </c>
      <c r="B284" s="799" t="s">
        <v>591</v>
      </c>
      <c r="C284" s="798" t="s">
        <v>532</v>
      </c>
      <c r="D284" s="967" t="s">
        <v>723</v>
      </c>
      <c r="E284" s="857" t="e">
        <f>NC_DKDD!H200</f>
        <v>#VALUE!</v>
      </c>
      <c r="F284" s="857"/>
      <c r="G284" s="796"/>
      <c r="H284" s="796"/>
      <c r="I284" s="796"/>
      <c r="J284" s="796"/>
      <c r="K284" s="796"/>
      <c r="L284" s="854"/>
      <c r="M284" s="854"/>
      <c r="N284" s="854"/>
      <c r="O284" s="857">
        <f t="shared" si="53"/>
        <v>1229.6153846153848</v>
      </c>
      <c r="P284" s="954">
        <f t="shared" si="51"/>
        <v>1069.2307692307693</v>
      </c>
      <c r="Q284" s="954">
        <f t="shared" si="52"/>
        <v>160.38461538461539</v>
      </c>
      <c r="R284" s="981">
        <f>NC_DKDD!G200</f>
        <v>0.2</v>
      </c>
    </row>
    <row r="285" spans="1:18" s="817" customFormat="1" ht="29.25" customHeight="1">
      <c r="A285" s="798">
        <v>8</v>
      </c>
      <c r="B285" s="799" t="s">
        <v>803</v>
      </c>
      <c r="C285" s="798"/>
      <c r="D285" s="982"/>
      <c r="E285" s="857">
        <f>NC_DKDD!H201</f>
        <v>0</v>
      </c>
      <c r="F285" s="857"/>
      <c r="G285" s="796"/>
      <c r="H285" s="796"/>
      <c r="I285" s="796"/>
      <c r="J285" s="796"/>
      <c r="K285" s="796"/>
      <c r="L285" s="854"/>
      <c r="M285" s="854"/>
      <c r="N285" s="854"/>
      <c r="O285" s="857">
        <f t="shared" si="53"/>
        <v>0</v>
      </c>
      <c r="P285" s="954">
        <f t="shared" si="51"/>
        <v>0</v>
      </c>
      <c r="Q285" s="954">
        <f t="shared" si="52"/>
        <v>0</v>
      </c>
      <c r="R285" s="981">
        <f>NC_DKDD!G201</f>
        <v>0</v>
      </c>
    </row>
    <row r="286" spans="1:18" s="817" customFormat="1" ht="57">
      <c r="A286" s="798" t="s">
        <v>191</v>
      </c>
      <c r="B286" s="799" t="s">
        <v>804</v>
      </c>
      <c r="C286" s="798"/>
      <c r="D286" s="982"/>
      <c r="E286" s="857">
        <f>NC_DKDD!H202</f>
        <v>0</v>
      </c>
      <c r="F286" s="857"/>
      <c r="G286" s="796"/>
      <c r="H286" s="796"/>
      <c r="I286" s="796"/>
      <c r="J286" s="796"/>
      <c r="K286" s="796"/>
      <c r="L286" s="854"/>
      <c r="M286" s="854"/>
      <c r="N286" s="854"/>
      <c r="O286" s="857">
        <f t="shared" si="53"/>
        <v>0</v>
      </c>
      <c r="P286" s="954">
        <f t="shared" si="51"/>
        <v>0</v>
      </c>
      <c r="Q286" s="954">
        <f t="shared" si="52"/>
        <v>0</v>
      </c>
      <c r="R286" s="981">
        <f>NC_DKDD!G202</f>
        <v>0</v>
      </c>
    </row>
    <row r="287" spans="1:18" s="817" customFormat="1" ht="27" customHeight="1">
      <c r="A287" s="798" t="s">
        <v>805</v>
      </c>
      <c r="B287" s="799" t="s">
        <v>846</v>
      </c>
      <c r="C287" s="798" t="s">
        <v>532</v>
      </c>
      <c r="D287" s="978" t="s">
        <v>723</v>
      </c>
      <c r="E287" s="857" t="e">
        <f>NC_DKDD!H203</f>
        <v>#VALUE!</v>
      </c>
      <c r="F287" s="857"/>
      <c r="G287" s="796"/>
      <c r="H287" s="796"/>
      <c r="I287" s="796"/>
      <c r="J287" s="796"/>
      <c r="K287" s="796"/>
      <c r="L287" s="854"/>
      <c r="M287" s="854"/>
      <c r="N287" s="854"/>
      <c r="O287" s="857">
        <f t="shared" si="53"/>
        <v>1229.6153846153848</v>
      </c>
      <c r="P287" s="954">
        <f t="shared" si="51"/>
        <v>1069.2307692307693</v>
      </c>
      <c r="Q287" s="954">
        <f t="shared" si="52"/>
        <v>160.38461538461539</v>
      </c>
      <c r="R287" s="981">
        <f>NC_DKDD!G203</f>
        <v>0.2</v>
      </c>
    </row>
    <row r="288" spans="1:18" s="817" customFormat="1" ht="27" customHeight="1">
      <c r="A288" s="798" t="s">
        <v>806</v>
      </c>
      <c r="B288" s="799" t="s">
        <v>849</v>
      </c>
      <c r="C288" s="798" t="s">
        <v>532</v>
      </c>
      <c r="D288" s="978" t="s">
        <v>723</v>
      </c>
      <c r="E288" s="857" t="e">
        <f>NC_DKDD!H204</f>
        <v>#VALUE!</v>
      </c>
      <c r="F288" s="857"/>
      <c r="G288" s="796"/>
      <c r="H288" s="796"/>
      <c r="I288" s="796"/>
      <c r="J288" s="796"/>
      <c r="K288" s="796"/>
      <c r="L288" s="854"/>
      <c r="M288" s="854"/>
      <c r="N288" s="854"/>
      <c r="O288" s="857">
        <f t="shared" si="53"/>
        <v>614.80769230769238</v>
      </c>
      <c r="P288" s="954">
        <f t="shared" si="51"/>
        <v>534.61538461538464</v>
      </c>
      <c r="Q288" s="954">
        <f t="shared" si="52"/>
        <v>80.192307692307693</v>
      </c>
      <c r="R288" s="981">
        <f>NC_DKDD!G204</f>
        <v>0.1</v>
      </c>
    </row>
    <row r="289" spans="1:18" s="817" customFormat="1" ht="57">
      <c r="A289" s="798" t="s">
        <v>192</v>
      </c>
      <c r="B289" s="799" t="s">
        <v>867</v>
      </c>
      <c r="C289" s="798"/>
      <c r="D289" s="798"/>
      <c r="E289" s="857">
        <f>NC_DKDD!H205</f>
        <v>0</v>
      </c>
      <c r="F289" s="857"/>
      <c r="G289" s="796"/>
      <c r="H289" s="796"/>
      <c r="I289" s="796"/>
      <c r="J289" s="796"/>
      <c r="K289" s="796"/>
      <c r="L289" s="854"/>
      <c r="M289" s="854"/>
      <c r="N289" s="854"/>
      <c r="O289" s="857">
        <f t="shared" si="53"/>
        <v>0</v>
      </c>
      <c r="P289" s="954">
        <f t="shared" si="51"/>
        <v>0</v>
      </c>
      <c r="Q289" s="954">
        <f t="shared" si="52"/>
        <v>0</v>
      </c>
      <c r="R289" s="981">
        <f>NC_DKDD!G205</f>
        <v>0</v>
      </c>
    </row>
    <row r="290" spans="1:18" s="817" customFormat="1" ht="27" customHeight="1">
      <c r="A290" s="798" t="s">
        <v>659</v>
      </c>
      <c r="B290" s="799" t="s">
        <v>846</v>
      </c>
      <c r="C290" s="798" t="s">
        <v>532</v>
      </c>
      <c r="D290" s="978" t="s">
        <v>723</v>
      </c>
      <c r="E290" s="857" t="e">
        <f>NC_DKDD!H206</f>
        <v>#VALUE!</v>
      </c>
      <c r="F290" s="857"/>
      <c r="G290" s="796"/>
      <c r="H290" s="796"/>
      <c r="I290" s="796"/>
      <c r="J290" s="796"/>
      <c r="K290" s="796"/>
      <c r="L290" s="854"/>
      <c r="M290" s="854"/>
      <c r="N290" s="854"/>
      <c r="O290" s="857">
        <f t="shared" si="53"/>
        <v>1229.6153846153848</v>
      </c>
      <c r="P290" s="954">
        <f t="shared" si="51"/>
        <v>1069.2307692307693</v>
      </c>
      <c r="Q290" s="954">
        <f t="shared" si="52"/>
        <v>160.38461538461539</v>
      </c>
      <c r="R290" s="981">
        <f>NC_DKDD!G206</f>
        <v>0.2</v>
      </c>
    </row>
    <row r="291" spans="1:18" s="817" customFormat="1" ht="27" customHeight="1">
      <c r="A291" s="798" t="s">
        <v>660</v>
      </c>
      <c r="B291" s="799" t="s">
        <v>849</v>
      </c>
      <c r="C291" s="798" t="s">
        <v>532</v>
      </c>
      <c r="D291" s="978" t="s">
        <v>723</v>
      </c>
      <c r="E291" s="857" t="e">
        <f>NC_DKDD!H207</f>
        <v>#VALUE!</v>
      </c>
      <c r="F291" s="857"/>
      <c r="G291" s="796"/>
      <c r="H291" s="796"/>
      <c r="I291" s="796"/>
      <c r="J291" s="796"/>
      <c r="K291" s="796"/>
      <c r="L291" s="854"/>
      <c r="M291" s="854"/>
      <c r="N291" s="854"/>
      <c r="O291" s="857">
        <f t="shared" si="53"/>
        <v>614.80769230769238</v>
      </c>
      <c r="P291" s="954">
        <f t="shared" si="51"/>
        <v>534.61538461538464</v>
      </c>
      <c r="Q291" s="954">
        <f t="shared" si="52"/>
        <v>80.192307692307693</v>
      </c>
      <c r="R291" s="981">
        <f>NC_DKDD!G207</f>
        <v>0.1</v>
      </c>
    </row>
    <row r="292" spans="1:18" s="817" customFormat="1" ht="36" customHeight="1">
      <c r="A292" s="798">
        <v>9</v>
      </c>
      <c r="B292" s="799" t="s">
        <v>78</v>
      </c>
      <c r="C292" s="798" t="s">
        <v>375</v>
      </c>
      <c r="D292" s="978" t="s">
        <v>723</v>
      </c>
      <c r="E292" s="857" t="e">
        <f>NC_DKDD!H208</f>
        <v>#VALUE!</v>
      </c>
      <c r="F292" s="857"/>
      <c r="G292" s="796"/>
      <c r="H292" s="796"/>
      <c r="I292" s="796"/>
      <c r="J292" s="796"/>
      <c r="K292" s="796"/>
      <c r="L292" s="854"/>
      <c r="M292" s="854"/>
      <c r="N292" s="854"/>
      <c r="O292" s="857">
        <f t="shared" si="53"/>
        <v>184.44230769230768</v>
      </c>
      <c r="P292" s="954">
        <f t="shared" si="51"/>
        <v>160.38461538461536</v>
      </c>
      <c r="Q292" s="954">
        <f t="shared" si="52"/>
        <v>24.057692307692307</v>
      </c>
      <c r="R292" s="981">
        <f>NC_DKDD!G208</f>
        <v>0.03</v>
      </c>
    </row>
    <row r="293" spans="1:18" s="817" customFormat="1" ht="27" customHeight="1">
      <c r="A293" s="798">
        <v>10</v>
      </c>
      <c r="B293" s="799" t="s">
        <v>260</v>
      </c>
      <c r="C293" s="798" t="s">
        <v>376</v>
      </c>
      <c r="D293" s="978" t="s">
        <v>723</v>
      </c>
      <c r="E293" s="857" t="e">
        <f>NC_DKDD!H209</f>
        <v>#VALUE!</v>
      </c>
      <c r="F293" s="857"/>
      <c r="G293" s="796"/>
      <c r="H293" s="796"/>
      <c r="I293" s="796"/>
      <c r="J293" s="796"/>
      <c r="K293" s="796"/>
      <c r="L293" s="854"/>
      <c r="M293" s="854"/>
      <c r="N293" s="854"/>
      <c r="O293" s="857">
        <f t="shared" si="53"/>
        <v>1229.6153846153848</v>
      </c>
      <c r="P293" s="954">
        <f t="shared" si="51"/>
        <v>1069.2307692307693</v>
      </c>
      <c r="Q293" s="954">
        <f t="shared" si="52"/>
        <v>160.38461538461539</v>
      </c>
      <c r="R293" s="981">
        <f>NC_DKDD!G209</f>
        <v>0.2</v>
      </c>
    </row>
    <row r="294" spans="1:18" s="817" customFormat="1" ht="27" customHeight="1">
      <c r="A294" s="798">
        <v>11</v>
      </c>
      <c r="B294" s="799" t="s">
        <v>80</v>
      </c>
      <c r="C294" s="798"/>
      <c r="D294" s="798"/>
      <c r="E294" s="857">
        <f>NC_DKDD!H210</f>
        <v>0</v>
      </c>
      <c r="F294" s="857"/>
      <c r="G294" s="796"/>
      <c r="H294" s="796"/>
      <c r="I294" s="796"/>
      <c r="J294" s="796"/>
      <c r="K294" s="796"/>
      <c r="L294" s="854"/>
      <c r="M294" s="854"/>
      <c r="N294" s="854"/>
      <c r="O294" s="857">
        <f t="shared" si="53"/>
        <v>0</v>
      </c>
      <c r="P294" s="954">
        <f t="shared" si="51"/>
        <v>0</v>
      </c>
      <c r="Q294" s="954">
        <f t="shared" si="52"/>
        <v>0</v>
      </c>
      <c r="R294" s="981">
        <f>NC_DKDD!G210</f>
        <v>0</v>
      </c>
    </row>
    <row r="295" spans="1:18" s="817" customFormat="1" ht="27" customHeight="1">
      <c r="A295" s="798" t="s">
        <v>719</v>
      </c>
      <c r="B295" s="799" t="s">
        <v>82</v>
      </c>
      <c r="C295" s="798" t="s">
        <v>559</v>
      </c>
      <c r="D295" s="978" t="s">
        <v>723</v>
      </c>
      <c r="E295" s="857" t="e">
        <f>NC_DKDD!H211</f>
        <v>#VALUE!</v>
      </c>
      <c r="F295" s="857"/>
      <c r="G295" s="796"/>
      <c r="H295" s="796"/>
      <c r="I295" s="796"/>
      <c r="J295" s="796"/>
      <c r="K295" s="796"/>
      <c r="L295" s="854"/>
      <c r="M295" s="854"/>
      <c r="N295" s="854"/>
      <c r="O295" s="857">
        <f t="shared" si="53"/>
        <v>614.80769230769238</v>
      </c>
      <c r="P295" s="954">
        <f t="shared" si="51"/>
        <v>534.61538461538464</v>
      </c>
      <c r="Q295" s="954">
        <f t="shared" si="52"/>
        <v>80.192307692307693</v>
      </c>
      <c r="R295" s="981">
        <f>NC_DKDD!G211</f>
        <v>0.1</v>
      </c>
    </row>
    <row r="296" spans="1:18" s="817" customFormat="1" ht="27" customHeight="1">
      <c r="A296" s="798" t="s">
        <v>720</v>
      </c>
      <c r="B296" s="799" t="s">
        <v>84</v>
      </c>
      <c r="C296" s="798" t="s">
        <v>559</v>
      </c>
      <c r="D296" s="978" t="s">
        <v>723</v>
      </c>
      <c r="E296" s="857" t="e">
        <f>NC_DKDD!H212</f>
        <v>#VALUE!</v>
      </c>
      <c r="F296" s="857"/>
      <c r="G296" s="796"/>
      <c r="H296" s="796"/>
      <c r="I296" s="796"/>
      <c r="J296" s="796"/>
      <c r="K296" s="796"/>
      <c r="L296" s="854"/>
      <c r="M296" s="854"/>
      <c r="N296" s="854"/>
      <c r="O296" s="857">
        <f t="shared" si="53"/>
        <v>922.21153846153834</v>
      </c>
      <c r="P296" s="954">
        <f t="shared" si="51"/>
        <v>801.92307692307679</v>
      </c>
      <c r="Q296" s="954">
        <f t="shared" si="52"/>
        <v>120.28846153846153</v>
      </c>
      <c r="R296" s="981">
        <f>NC_DKDD!G212</f>
        <v>0.15</v>
      </c>
    </row>
    <row r="297" spans="1:18" s="817" customFormat="1" ht="30.75" customHeight="1">
      <c r="A297" s="798">
        <v>12</v>
      </c>
      <c r="B297" s="799" t="s">
        <v>85</v>
      </c>
      <c r="C297" s="798" t="s">
        <v>532</v>
      </c>
      <c r="D297" s="978" t="s">
        <v>723</v>
      </c>
      <c r="E297" s="857" t="e">
        <f>NC_DKDD!H213</f>
        <v>#VALUE!</v>
      </c>
      <c r="F297" s="857"/>
      <c r="G297" s="796"/>
      <c r="H297" s="796"/>
      <c r="I297" s="796"/>
      <c r="J297" s="796"/>
      <c r="K297" s="796"/>
      <c r="L297" s="854"/>
      <c r="M297" s="854"/>
      <c r="N297" s="854"/>
      <c r="O297" s="857">
        <f t="shared" si="53"/>
        <v>1844.4230769230767</v>
      </c>
      <c r="P297" s="954">
        <f t="shared" si="51"/>
        <v>1603.8461538461536</v>
      </c>
      <c r="Q297" s="954">
        <f t="shared" si="52"/>
        <v>240.57692307692307</v>
      </c>
      <c r="R297" s="981">
        <f>NC_DKDD!G213</f>
        <v>0.3</v>
      </c>
    </row>
    <row r="298" spans="1:18" s="817" customFormat="1" ht="30.75" customHeight="1">
      <c r="A298" s="798">
        <v>13</v>
      </c>
      <c r="B298" s="799" t="s">
        <v>868</v>
      </c>
      <c r="C298" s="798" t="s">
        <v>532</v>
      </c>
      <c r="D298" s="978" t="s">
        <v>723</v>
      </c>
      <c r="E298" s="857" t="e">
        <f>NC_DKDD!H214</f>
        <v>#VALUE!</v>
      </c>
      <c r="F298" s="857"/>
      <c r="G298" s="796"/>
      <c r="H298" s="796"/>
      <c r="I298" s="796"/>
      <c r="J298" s="796"/>
      <c r="K298" s="796"/>
      <c r="L298" s="854"/>
      <c r="M298" s="854"/>
      <c r="N298" s="854"/>
      <c r="O298" s="857">
        <f t="shared" si="53"/>
        <v>1045.1730769230769</v>
      </c>
      <c r="P298" s="954">
        <f t="shared" si="51"/>
        <v>908.84615384615381</v>
      </c>
      <c r="Q298" s="954">
        <f t="shared" si="52"/>
        <v>136.32692307692309</v>
      </c>
      <c r="R298" s="981">
        <f>NC_DKDD!G214</f>
        <v>0.17</v>
      </c>
    </row>
    <row r="299" spans="1:18" s="817" customFormat="1" ht="27" customHeight="1">
      <c r="A299" s="798">
        <v>14</v>
      </c>
      <c r="B299" s="799" t="s">
        <v>87</v>
      </c>
      <c r="C299" s="798" t="s">
        <v>375</v>
      </c>
      <c r="D299" s="978" t="s">
        <v>723</v>
      </c>
      <c r="E299" s="857" t="e">
        <f>NC_DKDD!H215</f>
        <v>#VALUE!</v>
      </c>
      <c r="F299" s="857"/>
      <c r="G299" s="796"/>
      <c r="H299" s="796"/>
      <c r="I299" s="796"/>
      <c r="J299" s="796"/>
      <c r="K299" s="796"/>
      <c r="L299" s="854"/>
      <c r="M299" s="854"/>
      <c r="N299" s="854"/>
      <c r="O299" s="857">
        <f t="shared" si="53"/>
        <v>202.88653846153844</v>
      </c>
      <c r="P299" s="954">
        <f t="shared" si="51"/>
        <v>176.42307692307691</v>
      </c>
      <c r="Q299" s="954">
        <f t="shared" si="52"/>
        <v>26.463461538461541</v>
      </c>
      <c r="R299" s="981">
        <f>NC_DKDD!G215</f>
        <v>3.3000000000000002E-2</v>
      </c>
    </row>
    <row r="300" spans="1:18" s="817" customFormat="1" ht="27" customHeight="1">
      <c r="A300" s="798">
        <v>15</v>
      </c>
      <c r="B300" s="799" t="s">
        <v>88</v>
      </c>
      <c r="C300" s="798"/>
      <c r="D300" s="798"/>
      <c r="E300" s="857">
        <f>NC_DKDD!H216</f>
        <v>0</v>
      </c>
      <c r="F300" s="857"/>
      <c r="G300" s="796"/>
      <c r="H300" s="796"/>
      <c r="I300" s="796"/>
      <c r="J300" s="796"/>
      <c r="K300" s="796"/>
      <c r="L300" s="854"/>
      <c r="M300" s="854"/>
      <c r="N300" s="854"/>
      <c r="O300" s="857">
        <f t="shared" si="53"/>
        <v>0</v>
      </c>
      <c r="P300" s="954">
        <f t="shared" si="51"/>
        <v>0</v>
      </c>
      <c r="Q300" s="954">
        <f t="shared" si="52"/>
        <v>0</v>
      </c>
      <c r="R300" s="981">
        <f>NC_DKDD!G216</f>
        <v>0</v>
      </c>
    </row>
    <row r="301" spans="1:18" s="817" customFormat="1" ht="33.75" customHeight="1">
      <c r="A301" s="798" t="s">
        <v>869</v>
      </c>
      <c r="B301" s="799" t="s">
        <v>775</v>
      </c>
      <c r="C301" s="798"/>
      <c r="D301" s="798"/>
      <c r="E301" s="857">
        <f>NC_DKDD!H217</f>
        <v>0</v>
      </c>
      <c r="F301" s="857"/>
      <c r="G301" s="796"/>
      <c r="H301" s="796"/>
      <c r="I301" s="796"/>
      <c r="J301" s="796"/>
      <c r="K301" s="796"/>
      <c r="L301" s="854"/>
      <c r="M301" s="854"/>
      <c r="N301" s="854"/>
      <c r="O301" s="857">
        <f t="shared" si="53"/>
        <v>0</v>
      </c>
      <c r="P301" s="954">
        <f t="shared" si="51"/>
        <v>0</v>
      </c>
      <c r="Q301" s="954">
        <f t="shared" si="52"/>
        <v>0</v>
      </c>
      <c r="R301" s="981">
        <f>NC_DKDD!G217</f>
        <v>0</v>
      </c>
    </row>
    <row r="302" spans="1:18" s="817" customFormat="1" ht="27" customHeight="1">
      <c r="A302" s="798" t="s">
        <v>870</v>
      </c>
      <c r="B302" s="799" t="s">
        <v>777</v>
      </c>
      <c r="C302" s="798" t="s">
        <v>377</v>
      </c>
      <c r="D302" s="978" t="s">
        <v>723</v>
      </c>
      <c r="E302" s="857" t="e">
        <f>NC_DKDD!H218</f>
        <v>#VALUE!</v>
      </c>
      <c r="F302" s="857"/>
      <c r="G302" s="796"/>
      <c r="H302" s="796"/>
      <c r="I302" s="796"/>
      <c r="J302" s="796"/>
      <c r="K302" s="796"/>
      <c r="L302" s="854"/>
      <c r="M302" s="854"/>
      <c r="N302" s="854"/>
      <c r="O302" s="857">
        <f t="shared" si="53"/>
        <v>98.369230769230768</v>
      </c>
      <c r="P302" s="954">
        <f t="shared" si="51"/>
        <v>85.538461538461533</v>
      </c>
      <c r="Q302" s="954">
        <f t="shared" si="52"/>
        <v>12.830769230769231</v>
      </c>
      <c r="R302" s="981">
        <f>NC_DKDD!G218</f>
        <v>1.6E-2</v>
      </c>
    </row>
    <row r="303" spans="1:18" s="817" customFormat="1" ht="27" customHeight="1">
      <c r="A303" s="798" t="s">
        <v>871</v>
      </c>
      <c r="B303" s="799" t="s">
        <v>781</v>
      </c>
      <c r="C303" s="798" t="s">
        <v>377</v>
      </c>
      <c r="D303" s="978" t="s">
        <v>723</v>
      </c>
      <c r="E303" s="857" t="e">
        <f>NC_DKDD!H219</f>
        <v>#VALUE!</v>
      </c>
      <c r="F303" s="857"/>
      <c r="G303" s="796"/>
      <c r="H303" s="796"/>
      <c r="I303" s="796"/>
      <c r="J303" s="796"/>
      <c r="K303" s="796"/>
      <c r="L303" s="854"/>
      <c r="M303" s="854"/>
      <c r="N303" s="854"/>
      <c r="O303" s="857">
        <f t="shared" si="53"/>
        <v>49.184615384615384</v>
      </c>
      <c r="P303" s="954">
        <f t="shared" si="51"/>
        <v>42.769230769230766</v>
      </c>
      <c r="Q303" s="954">
        <f t="shared" si="52"/>
        <v>6.4153846153846157</v>
      </c>
      <c r="R303" s="981">
        <f>NC_DKDD!G219</f>
        <v>8.0000000000000002E-3</v>
      </c>
    </row>
    <row r="304" spans="1:18" s="817" customFormat="1" ht="29.25" customHeight="1">
      <c r="A304" s="798" t="s">
        <v>872</v>
      </c>
      <c r="B304" s="799" t="s">
        <v>861</v>
      </c>
      <c r="C304" s="798" t="s">
        <v>377</v>
      </c>
      <c r="D304" s="978" t="s">
        <v>723</v>
      </c>
      <c r="E304" s="857" t="e">
        <f>NC_DKDD!H220</f>
        <v>#VALUE!</v>
      </c>
      <c r="F304" s="857"/>
      <c r="G304" s="796"/>
      <c r="H304" s="796"/>
      <c r="I304" s="796"/>
      <c r="J304" s="796"/>
      <c r="K304" s="796"/>
      <c r="L304" s="854"/>
      <c r="M304" s="854"/>
      <c r="N304" s="854"/>
      <c r="O304" s="857">
        <f t="shared" si="53"/>
        <v>24.592307692307692</v>
      </c>
      <c r="P304" s="954">
        <f t="shared" si="51"/>
        <v>21.384615384615383</v>
      </c>
      <c r="Q304" s="954">
        <f t="shared" si="52"/>
        <v>3.2076923076923078</v>
      </c>
      <c r="R304" s="981">
        <f>NC_DKDD!G220</f>
        <v>4.0000000000000001E-3</v>
      </c>
    </row>
    <row r="305" spans="1:18" s="817" customFormat="1" ht="33" customHeight="1">
      <c r="A305" s="798" t="s">
        <v>873</v>
      </c>
      <c r="B305" s="799" t="s">
        <v>863</v>
      </c>
      <c r="C305" s="798" t="s">
        <v>375</v>
      </c>
      <c r="D305" s="978" t="s">
        <v>723</v>
      </c>
      <c r="E305" s="857" t="e">
        <f>NC_DKDD!H221</f>
        <v>#VALUE!</v>
      </c>
      <c r="F305" s="857"/>
      <c r="G305" s="796"/>
      <c r="H305" s="796"/>
      <c r="I305" s="796"/>
      <c r="J305" s="796"/>
      <c r="K305" s="796"/>
      <c r="L305" s="854"/>
      <c r="M305" s="854"/>
      <c r="N305" s="854"/>
      <c r="O305" s="857">
        <f t="shared" si="53"/>
        <v>61.480769230769226</v>
      </c>
      <c r="P305" s="954">
        <f t="shared" si="51"/>
        <v>53.46153846153846</v>
      </c>
      <c r="Q305" s="954">
        <f t="shared" si="52"/>
        <v>8.0192307692307701</v>
      </c>
      <c r="R305" s="981">
        <f>NC_DKDD!G221</f>
        <v>0.01</v>
      </c>
    </row>
    <row r="306" spans="1:18" s="817" customFormat="1" ht="42.75">
      <c r="A306" s="798">
        <v>16</v>
      </c>
      <c r="B306" s="799" t="s">
        <v>874</v>
      </c>
      <c r="C306" s="798" t="s">
        <v>532</v>
      </c>
      <c r="D306" s="978" t="s">
        <v>723</v>
      </c>
      <c r="E306" s="857" t="e">
        <f>NC_DKDD!H222</f>
        <v>#VALUE!</v>
      </c>
      <c r="F306" s="857"/>
      <c r="G306" s="796"/>
      <c r="H306" s="796"/>
      <c r="I306" s="796"/>
      <c r="J306" s="796"/>
      <c r="K306" s="796"/>
      <c r="L306" s="854"/>
      <c r="M306" s="854"/>
      <c r="N306" s="854"/>
      <c r="O306" s="857">
        <f t="shared" si="53"/>
        <v>1229.6153846153848</v>
      </c>
      <c r="P306" s="954">
        <f t="shared" si="51"/>
        <v>1069.2307692307693</v>
      </c>
      <c r="Q306" s="954">
        <f t="shared" si="52"/>
        <v>160.38461538461539</v>
      </c>
      <c r="R306" s="981">
        <f>NC_DKDD!G222</f>
        <v>0.2</v>
      </c>
    </row>
    <row r="307" spans="1:18" s="817" customFormat="1" ht="38.25" customHeight="1">
      <c r="A307" s="798">
        <v>17</v>
      </c>
      <c r="B307" s="799" t="s">
        <v>875</v>
      </c>
      <c r="C307" s="798"/>
      <c r="D307" s="798"/>
      <c r="E307" s="857">
        <f>NC_DKDD!H223</f>
        <v>0</v>
      </c>
      <c r="F307" s="857"/>
      <c r="G307" s="796"/>
      <c r="H307" s="796"/>
      <c r="I307" s="796"/>
      <c r="J307" s="796"/>
      <c r="K307" s="796"/>
      <c r="L307" s="854"/>
      <c r="M307" s="854"/>
      <c r="N307" s="854"/>
      <c r="O307" s="857">
        <f t="shared" si="53"/>
        <v>0</v>
      </c>
      <c r="P307" s="954">
        <f t="shared" si="51"/>
        <v>0</v>
      </c>
      <c r="Q307" s="954">
        <f t="shared" si="52"/>
        <v>0</v>
      </c>
      <c r="R307" s="981">
        <f>NC_DKDD!G223</f>
        <v>0</v>
      </c>
    </row>
    <row r="308" spans="1:18" s="817" customFormat="1" ht="33.75" customHeight="1">
      <c r="A308" s="798" t="s">
        <v>876</v>
      </c>
      <c r="B308" s="799" t="s">
        <v>875</v>
      </c>
      <c r="C308" s="798" t="s">
        <v>532</v>
      </c>
      <c r="D308" s="978" t="s">
        <v>723</v>
      </c>
      <c r="E308" s="857" t="e">
        <f>NC_DKDD!H224</f>
        <v>#VALUE!</v>
      </c>
      <c r="F308" s="857"/>
      <c r="G308" s="796"/>
      <c r="H308" s="796"/>
      <c r="I308" s="796"/>
      <c r="J308" s="796"/>
      <c r="K308" s="796"/>
      <c r="L308" s="854"/>
      <c r="M308" s="854"/>
      <c r="N308" s="854"/>
      <c r="O308" s="857">
        <f t="shared" si="53"/>
        <v>614.80769230769238</v>
      </c>
      <c r="P308" s="954">
        <f t="shared" si="51"/>
        <v>534.61538461538464</v>
      </c>
      <c r="Q308" s="954">
        <f t="shared" si="52"/>
        <v>80.192307692307693</v>
      </c>
      <c r="R308" s="981">
        <f>NC_DKDD!G224</f>
        <v>0.1</v>
      </c>
    </row>
    <row r="309" spans="1:18" s="817" customFormat="1" ht="54" customHeight="1">
      <c r="A309" s="798" t="s">
        <v>877</v>
      </c>
      <c r="B309" s="799" t="s">
        <v>878</v>
      </c>
      <c r="C309" s="798" t="s">
        <v>532</v>
      </c>
      <c r="D309" s="978" t="s">
        <v>723</v>
      </c>
      <c r="E309" s="857" t="e">
        <f>NC_DKDD!H225</f>
        <v>#VALUE!</v>
      </c>
      <c r="F309" s="857"/>
      <c r="G309" s="796"/>
      <c r="H309" s="796"/>
      <c r="I309" s="796"/>
      <c r="J309" s="796"/>
      <c r="K309" s="796"/>
      <c r="L309" s="854"/>
      <c r="M309" s="854"/>
      <c r="N309" s="854"/>
      <c r="O309" s="857">
        <f t="shared" si="53"/>
        <v>614.80769230769238</v>
      </c>
      <c r="P309" s="954">
        <f t="shared" si="51"/>
        <v>534.61538461538464</v>
      </c>
      <c r="Q309" s="954">
        <f t="shared" si="52"/>
        <v>80.192307692307693</v>
      </c>
      <c r="R309" s="981">
        <f>NC_DKDD!G225</f>
        <v>0.1</v>
      </c>
    </row>
    <row r="310" spans="1:18" s="817" customFormat="1" ht="27" customHeight="1">
      <c r="A310" s="972" t="s">
        <v>755</v>
      </c>
      <c r="B310" s="973" t="s">
        <v>339</v>
      </c>
      <c r="C310" s="974"/>
      <c r="D310" s="975"/>
      <c r="E310" s="796" t="e">
        <f>E311</f>
        <v>#VALUE!</v>
      </c>
      <c r="F310" s="976"/>
      <c r="G310" s="976"/>
      <c r="H310" s="796"/>
      <c r="I310" s="796"/>
      <c r="J310" s="796"/>
      <c r="K310" s="796"/>
      <c r="L310" s="796" t="e">
        <f>SUM(E310:K310)</f>
        <v>#VALUE!</v>
      </c>
      <c r="M310" s="796" t="e">
        <f>L310*'He so chung'!$D$17/100</f>
        <v>#VALUE!</v>
      </c>
      <c r="N310" s="796" t="e">
        <f>L310+M310</f>
        <v>#VALUE!</v>
      </c>
      <c r="O310" s="796">
        <f>O311</f>
        <v>1229.6153846153848</v>
      </c>
      <c r="P310" s="954">
        <f t="shared" si="51"/>
        <v>1069.2307692307693</v>
      </c>
      <c r="Q310" s="954">
        <f t="shared" si="52"/>
        <v>160.38461538461539</v>
      </c>
      <c r="R310" s="810">
        <f>R311</f>
        <v>0.2</v>
      </c>
    </row>
    <row r="311" spans="1:18" s="817" customFormat="1" ht="37.5" customHeight="1">
      <c r="A311" s="798">
        <v>1</v>
      </c>
      <c r="B311" s="799" t="s">
        <v>879</v>
      </c>
      <c r="C311" s="798" t="s">
        <v>532</v>
      </c>
      <c r="D311" s="978" t="s">
        <v>723</v>
      </c>
      <c r="E311" s="857" t="e">
        <f>NC_DKDD!H227</f>
        <v>#VALUE!</v>
      </c>
      <c r="F311" s="796"/>
      <c r="G311" s="796"/>
      <c r="H311" s="796"/>
      <c r="I311" s="796"/>
      <c r="J311" s="796"/>
      <c r="K311" s="796"/>
      <c r="L311" s="854"/>
      <c r="M311" s="854"/>
      <c r="N311" s="854"/>
      <c r="O311" s="857">
        <f>P311+Q311</f>
        <v>1229.6153846153848</v>
      </c>
      <c r="P311" s="954">
        <f>R311*$P$214</f>
        <v>1069.2307692307693</v>
      </c>
      <c r="Q311" s="954">
        <f>R311*$Q$214</f>
        <v>160.38461538461539</v>
      </c>
      <c r="R311" s="981">
        <f>NC_DKDD!G227</f>
        <v>0.2</v>
      </c>
    </row>
    <row r="312" spans="1:18" ht="27" customHeight="1">
      <c r="A312" s="437"/>
      <c r="B312" s="948" t="s">
        <v>533</v>
      </c>
      <c r="C312" s="439"/>
      <c r="D312" s="437"/>
      <c r="E312" s="803"/>
      <c r="F312" s="803"/>
      <c r="G312" s="804"/>
      <c r="H312" s="803"/>
      <c r="I312" s="803"/>
      <c r="J312" s="805"/>
      <c r="K312" s="805"/>
      <c r="L312" s="805"/>
      <c r="M312" s="419"/>
      <c r="N312" s="419"/>
      <c r="O312" s="901"/>
      <c r="P312" s="420"/>
      <c r="Q312" s="420"/>
    </row>
    <row r="313" spans="1:18" ht="27" customHeight="1">
      <c r="A313" s="455"/>
      <c r="B313" s="1073" t="s">
        <v>833</v>
      </c>
      <c r="C313" s="1073"/>
      <c r="D313" s="1073"/>
      <c r="E313" s="1073"/>
      <c r="F313" s="1073"/>
      <c r="G313" s="1073"/>
      <c r="H313" s="1073"/>
      <c r="I313" s="1073"/>
      <c r="J313" s="1073"/>
      <c r="K313" s="1073"/>
      <c r="L313" s="1073"/>
      <c r="M313" s="1073"/>
      <c r="N313" s="1073"/>
      <c r="O313" s="1073"/>
      <c r="P313" s="420"/>
      <c r="Q313" s="420"/>
    </row>
    <row r="314" spans="1:18" ht="27" customHeight="1">
      <c r="A314" s="455"/>
      <c r="B314" s="1069" t="s">
        <v>744</v>
      </c>
      <c r="C314" s="1069"/>
      <c r="D314" s="1069"/>
      <c r="E314" s="1069"/>
      <c r="F314" s="1069"/>
      <c r="G314" s="1069"/>
      <c r="H314" s="1069"/>
      <c r="I314" s="1069"/>
      <c r="J314" s="1069"/>
      <c r="K314" s="1069"/>
      <c r="L314" s="1069"/>
      <c r="M314" s="1069"/>
      <c r="N314" s="1069"/>
      <c r="O314" s="1069"/>
      <c r="P314" s="420"/>
      <c r="Q314" s="420"/>
    </row>
    <row r="315" spans="1:18" ht="30.75" customHeight="1">
      <c r="A315" s="455"/>
      <c r="B315" s="1072" t="s">
        <v>865</v>
      </c>
      <c r="C315" s="1072"/>
      <c r="D315" s="1072"/>
      <c r="E315" s="1072"/>
      <c r="F315" s="1072"/>
      <c r="G315" s="1072"/>
      <c r="H315" s="1072"/>
      <c r="I315" s="1072"/>
      <c r="J315" s="1072"/>
      <c r="K315" s="1072"/>
      <c r="L315" s="1072"/>
      <c r="M315" s="1072"/>
      <c r="N315" s="1072"/>
      <c r="O315" s="1072"/>
      <c r="P315" s="420"/>
      <c r="Q315" s="420"/>
    </row>
    <row r="316" spans="1:18" ht="32.25" customHeight="1">
      <c r="A316" s="455"/>
      <c r="B316" s="1072" t="s">
        <v>866</v>
      </c>
      <c r="C316" s="1072"/>
      <c r="D316" s="1072"/>
      <c r="E316" s="1072"/>
      <c r="F316" s="1072"/>
      <c r="G316" s="1072"/>
      <c r="H316" s="1072"/>
      <c r="I316" s="1072"/>
      <c r="J316" s="1072"/>
      <c r="K316" s="1072"/>
      <c r="L316" s="1072"/>
      <c r="M316" s="1072"/>
      <c r="N316" s="1072"/>
      <c r="O316" s="1072"/>
      <c r="P316" s="420"/>
      <c r="Q316" s="420"/>
    </row>
    <row r="317" spans="1:18" ht="27" customHeight="1">
      <c r="A317" s="455"/>
      <c r="B317" s="864"/>
      <c r="C317" s="864"/>
      <c r="D317" s="864"/>
      <c r="E317" s="864"/>
      <c r="F317" s="864"/>
      <c r="G317" s="864"/>
      <c r="H317" s="864"/>
      <c r="I317" s="864"/>
      <c r="J317" s="864"/>
      <c r="K317" s="864"/>
      <c r="L317" s="864"/>
      <c r="M317" s="864"/>
      <c r="N317" s="864"/>
      <c r="O317" s="864"/>
      <c r="P317" s="420"/>
      <c r="Q317" s="420"/>
    </row>
    <row r="318" spans="1:18" ht="18.75" customHeight="1">
      <c r="A318" s="1070" t="s">
        <v>331</v>
      </c>
      <c r="B318" s="1070"/>
      <c r="C318" s="1070"/>
      <c r="D318" s="1070"/>
      <c r="E318" s="1070"/>
      <c r="F318" s="1070"/>
      <c r="G318" s="1070"/>
      <c r="H318" s="1070"/>
      <c r="I318" s="1070"/>
      <c r="J318" s="1070"/>
      <c r="K318" s="1070"/>
      <c r="L318" s="1070"/>
      <c r="M318" s="1070"/>
      <c r="N318" s="1070"/>
      <c r="O318" s="1070"/>
      <c r="P318" s="420"/>
      <c r="Q318" s="420"/>
    </row>
    <row r="319" spans="1:18" ht="18.75" customHeight="1">
      <c r="A319" s="414"/>
      <c r="B319" s="926"/>
      <c r="C319" s="776"/>
      <c r="D319" s="777" t="s">
        <v>430</v>
      </c>
      <c r="E319" s="419"/>
      <c r="F319" s="778"/>
      <c r="G319" s="779"/>
      <c r="H319" s="778"/>
      <c r="I319" s="780"/>
      <c r="J319" s="778"/>
      <c r="K319" s="778"/>
      <c r="L319" s="781" t="s">
        <v>262</v>
      </c>
      <c r="M319" s="778"/>
      <c r="N319" s="780"/>
      <c r="O319" s="419"/>
      <c r="P319" s="420"/>
      <c r="Q319" s="420"/>
    </row>
    <row r="320" spans="1:18" s="421" customFormat="1" ht="7.5" customHeight="1">
      <c r="A320" s="414"/>
      <c r="B320" s="926"/>
      <c r="C320" s="776"/>
      <c r="D320" s="821"/>
      <c r="E320" s="419"/>
      <c r="F320" s="419"/>
      <c r="G320" s="822"/>
      <c r="H320" s="419"/>
      <c r="I320" s="419"/>
      <c r="J320" s="419"/>
      <c r="K320" s="419"/>
      <c r="L320" s="419"/>
      <c r="M320" s="419"/>
      <c r="N320" s="419"/>
      <c r="O320" s="419"/>
      <c r="P320" s="420"/>
      <c r="Q320" s="420"/>
      <c r="R320" s="420"/>
    </row>
    <row r="321" spans="1:18" s="824" customFormat="1" ht="30" customHeight="1">
      <c r="A321" s="1068" t="s">
        <v>718</v>
      </c>
      <c r="B321" s="1068" t="s">
        <v>198</v>
      </c>
      <c r="C321" s="1071" t="s">
        <v>263</v>
      </c>
      <c r="D321" s="1071" t="s">
        <v>264</v>
      </c>
      <c r="E321" s="1071" t="s">
        <v>683</v>
      </c>
      <c r="F321" s="1071"/>
      <c r="G321" s="1071"/>
      <c r="H321" s="1071"/>
      <c r="I321" s="1071"/>
      <c r="J321" s="1071"/>
      <c r="K321" s="1071"/>
      <c r="L321" s="1071"/>
      <c r="M321" s="1071" t="s">
        <v>435</v>
      </c>
      <c r="N321" s="1071" t="s">
        <v>684</v>
      </c>
      <c r="O321" s="1071" t="s">
        <v>685</v>
      </c>
      <c r="P321" s="815"/>
      <c r="Q321" s="815"/>
      <c r="R321" s="816"/>
    </row>
    <row r="322" spans="1:18" s="824" customFormat="1" ht="36" customHeight="1">
      <c r="A322" s="1068"/>
      <c r="B322" s="1068"/>
      <c r="C322" s="1071"/>
      <c r="D322" s="1071"/>
      <c r="E322" s="783" t="s">
        <v>686</v>
      </c>
      <c r="F322" s="783" t="s">
        <v>687</v>
      </c>
      <c r="G322" s="784" t="s">
        <v>285</v>
      </c>
      <c r="H322" s="783" t="s">
        <v>499</v>
      </c>
      <c r="I322" s="783" t="s">
        <v>688</v>
      </c>
      <c r="J322" s="783" t="s">
        <v>531</v>
      </c>
      <c r="K322" s="783" t="s">
        <v>689</v>
      </c>
      <c r="L322" s="783" t="s">
        <v>690</v>
      </c>
      <c r="M322" s="1071"/>
      <c r="N322" s="1071"/>
      <c r="O322" s="1071"/>
      <c r="P322" s="815"/>
      <c r="Q322" s="815"/>
      <c r="R322" s="816"/>
    </row>
    <row r="323" spans="1:18" s="824" customFormat="1" ht="67.5" customHeight="1">
      <c r="A323" s="785"/>
      <c r="B323" s="839" t="s">
        <v>696</v>
      </c>
      <c r="C323" s="783"/>
      <c r="D323" s="783"/>
      <c r="E323" s="783"/>
      <c r="F323" s="783"/>
      <c r="G323" s="784"/>
      <c r="H323" s="783"/>
      <c r="I323" s="783"/>
      <c r="J323" s="783"/>
      <c r="K323" s="783"/>
      <c r="L323" s="783"/>
      <c r="M323" s="783"/>
      <c r="N323" s="783"/>
      <c r="O323" s="783"/>
      <c r="P323" s="815"/>
      <c r="Q323" s="815"/>
      <c r="R323" s="816"/>
    </row>
    <row r="324" spans="1:18" s="824" customFormat="1" ht="26.45" customHeight="1">
      <c r="A324" s="1068"/>
      <c r="B324" s="1074" t="s">
        <v>668</v>
      </c>
      <c r="C324" s="1071" t="s">
        <v>532</v>
      </c>
      <c r="D324" s="783">
        <v>1</v>
      </c>
      <c r="E324" s="788" t="e">
        <f>E336+E368</f>
        <v>#VALUE!</v>
      </c>
      <c r="F324" s="788">
        <f t="shared" ref="F324:O324" si="54">F336+F368</f>
        <v>102900</v>
      </c>
      <c r="G324" s="788">
        <f t="shared" si="54"/>
        <v>0</v>
      </c>
      <c r="H324" s="788">
        <f t="shared" si="54"/>
        <v>5994.8633814102568</v>
      </c>
      <c r="I324" s="788">
        <f t="shared" si="54"/>
        <v>6873.12</v>
      </c>
      <c r="J324" s="788">
        <f t="shared" si="54"/>
        <v>420.32</v>
      </c>
      <c r="K324" s="788">
        <f t="shared" si="54"/>
        <v>860.91600000000005</v>
      </c>
      <c r="L324" s="788" t="e">
        <f t="shared" si="54"/>
        <v>#VALUE!</v>
      </c>
      <c r="M324" s="788" t="e">
        <f t="shared" si="54"/>
        <v>#VALUE!</v>
      </c>
      <c r="N324" s="788" t="e">
        <f t="shared" si="54"/>
        <v>#VALUE!</v>
      </c>
      <c r="O324" s="788">
        <f t="shared" si="54"/>
        <v>21801.080769230764</v>
      </c>
      <c r="P324" s="815"/>
      <c r="Q324" s="815"/>
      <c r="R324" s="816"/>
    </row>
    <row r="325" spans="1:18" s="824" customFormat="1" ht="26.45" customHeight="1">
      <c r="A325" s="1068"/>
      <c r="B325" s="1074"/>
      <c r="C325" s="1071"/>
      <c r="D325" s="783">
        <v>2</v>
      </c>
      <c r="E325" s="788" t="e">
        <f>E337+E368</f>
        <v>#VALUE!</v>
      </c>
      <c r="F325" s="788">
        <f t="shared" ref="F325:O325" si="55">F337+F368</f>
        <v>113190</v>
      </c>
      <c r="G325" s="788">
        <f t="shared" si="55"/>
        <v>0</v>
      </c>
      <c r="H325" s="788">
        <f t="shared" si="55"/>
        <v>5994.8633814102568</v>
      </c>
      <c r="I325" s="788">
        <f t="shared" si="55"/>
        <v>6873.12</v>
      </c>
      <c r="J325" s="788">
        <f t="shared" si="55"/>
        <v>420.32</v>
      </c>
      <c r="K325" s="788">
        <f t="shared" si="55"/>
        <v>860.91600000000005</v>
      </c>
      <c r="L325" s="788" t="e">
        <f t="shared" si="55"/>
        <v>#VALUE!</v>
      </c>
      <c r="M325" s="788" t="e">
        <f t="shared" si="55"/>
        <v>#VALUE!</v>
      </c>
      <c r="N325" s="788" t="e">
        <f t="shared" si="55"/>
        <v>#VALUE!</v>
      </c>
      <c r="O325" s="788">
        <f t="shared" si="55"/>
        <v>22907.734615384616</v>
      </c>
      <c r="P325" s="815"/>
      <c r="Q325" s="815"/>
      <c r="R325" s="816"/>
    </row>
    <row r="326" spans="1:18" s="824" customFormat="1" ht="26.45" customHeight="1">
      <c r="A326" s="1068"/>
      <c r="B326" s="1074"/>
      <c r="C326" s="1071"/>
      <c r="D326" s="783">
        <v>3</v>
      </c>
      <c r="E326" s="788" t="e">
        <f>E338+E368</f>
        <v>#VALUE!</v>
      </c>
      <c r="F326" s="788">
        <f t="shared" ref="F326:O326" si="56">F338+F368</f>
        <v>124509</v>
      </c>
      <c r="G326" s="788">
        <f t="shared" si="56"/>
        <v>0</v>
      </c>
      <c r="H326" s="788">
        <f t="shared" si="56"/>
        <v>5994.8633814102568</v>
      </c>
      <c r="I326" s="788">
        <f t="shared" si="56"/>
        <v>6873.12</v>
      </c>
      <c r="J326" s="788">
        <f t="shared" si="56"/>
        <v>420.32</v>
      </c>
      <c r="K326" s="788">
        <f t="shared" si="56"/>
        <v>860.91600000000005</v>
      </c>
      <c r="L326" s="788" t="e">
        <f t="shared" si="56"/>
        <v>#VALUE!</v>
      </c>
      <c r="M326" s="788" t="e">
        <f t="shared" si="56"/>
        <v>#VALUE!</v>
      </c>
      <c r="N326" s="788" t="e">
        <f t="shared" si="56"/>
        <v>#VALUE!</v>
      </c>
      <c r="O326" s="788">
        <f t="shared" si="56"/>
        <v>24125.053846153845</v>
      </c>
      <c r="P326" s="983"/>
      <c r="Q326" s="815"/>
      <c r="R326" s="816"/>
    </row>
    <row r="327" spans="1:18" s="824" customFormat="1" ht="26.45" customHeight="1">
      <c r="A327" s="1068"/>
      <c r="B327" s="1074"/>
      <c r="C327" s="1071"/>
      <c r="D327" s="783">
        <v>4</v>
      </c>
      <c r="E327" s="788" t="e">
        <f>E339+E368</f>
        <v>#VALUE!</v>
      </c>
      <c r="F327" s="788">
        <f t="shared" ref="F327:O327" si="57">F339+F368</f>
        <v>137004</v>
      </c>
      <c r="G327" s="788">
        <f t="shared" si="57"/>
        <v>0</v>
      </c>
      <c r="H327" s="788">
        <f t="shared" si="57"/>
        <v>5994.8633814102568</v>
      </c>
      <c r="I327" s="788">
        <f t="shared" si="57"/>
        <v>6873.12</v>
      </c>
      <c r="J327" s="788">
        <f t="shared" si="57"/>
        <v>420.32</v>
      </c>
      <c r="K327" s="788">
        <f t="shared" si="57"/>
        <v>860.91600000000005</v>
      </c>
      <c r="L327" s="788" t="e">
        <f t="shared" si="57"/>
        <v>#VALUE!</v>
      </c>
      <c r="M327" s="788" t="e">
        <f t="shared" si="57"/>
        <v>#VALUE!</v>
      </c>
      <c r="N327" s="788" t="e">
        <f t="shared" si="57"/>
        <v>#VALUE!</v>
      </c>
      <c r="O327" s="788">
        <f t="shared" si="57"/>
        <v>25465.334615384607</v>
      </c>
      <c r="P327" s="983"/>
      <c r="Q327" s="815"/>
      <c r="R327" s="816"/>
    </row>
    <row r="328" spans="1:18" s="824" customFormat="1" ht="26.45" customHeight="1">
      <c r="A328" s="1068"/>
      <c r="B328" s="1074"/>
      <c r="C328" s="1071"/>
      <c r="D328" s="783">
        <v>5</v>
      </c>
      <c r="E328" s="788" t="e">
        <f>E340+E368</f>
        <v>#VALUE!</v>
      </c>
      <c r="F328" s="788">
        <f t="shared" ref="F328:O328" si="58">F340+F368</f>
        <v>150675</v>
      </c>
      <c r="G328" s="788">
        <f t="shared" si="58"/>
        <v>0</v>
      </c>
      <c r="H328" s="788">
        <f t="shared" si="58"/>
        <v>5994.8633814102568</v>
      </c>
      <c r="I328" s="788">
        <f t="shared" si="58"/>
        <v>6873.12</v>
      </c>
      <c r="J328" s="788">
        <f t="shared" si="58"/>
        <v>420.32</v>
      </c>
      <c r="K328" s="788">
        <f t="shared" si="58"/>
        <v>860.91600000000005</v>
      </c>
      <c r="L328" s="788" t="e">
        <f t="shared" si="58"/>
        <v>#VALUE!</v>
      </c>
      <c r="M328" s="788" t="e">
        <f t="shared" si="58"/>
        <v>#VALUE!</v>
      </c>
      <c r="N328" s="788" t="e">
        <f t="shared" si="58"/>
        <v>#VALUE!</v>
      </c>
      <c r="O328" s="788">
        <f t="shared" si="58"/>
        <v>26867.096153846149</v>
      </c>
      <c r="P328" s="983"/>
      <c r="Q328" s="815"/>
      <c r="R328" s="816"/>
    </row>
    <row r="329" spans="1:18" s="824" customFormat="1" ht="26.45" customHeight="1">
      <c r="A329" s="1068"/>
      <c r="B329" s="1074" t="s">
        <v>669</v>
      </c>
      <c r="C329" s="1071" t="s">
        <v>532</v>
      </c>
      <c r="D329" s="783">
        <v>1</v>
      </c>
      <c r="E329" s="788" t="e">
        <f>E341+E368</f>
        <v>#VALUE!</v>
      </c>
      <c r="F329" s="788">
        <f t="shared" ref="F329:O329" si="59">F341+F368</f>
        <v>102900</v>
      </c>
      <c r="G329" s="788">
        <f t="shared" si="59"/>
        <v>0</v>
      </c>
      <c r="H329" s="788">
        <f t="shared" si="59"/>
        <v>5994.8633814102568</v>
      </c>
      <c r="I329" s="788">
        <f t="shared" si="59"/>
        <v>6873.12</v>
      </c>
      <c r="J329" s="788">
        <f t="shared" si="59"/>
        <v>420.32</v>
      </c>
      <c r="K329" s="788">
        <f t="shared" si="59"/>
        <v>860.91600000000005</v>
      </c>
      <c r="L329" s="788" t="e">
        <f t="shared" si="59"/>
        <v>#VALUE!</v>
      </c>
      <c r="M329" s="788" t="e">
        <f t="shared" si="59"/>
        <v>#VALUE!</v>
      </c>
      <c r="N329" s="788" t="e">
        <f t="shared" si="59"/>
        <v>#VALUE!</v>
      </c>
      <c r="O329" s="788">
        <f t="shared" si="59"/>
        <v>21032.571153846155</v>
      </c>
      <c r="P329" s="815"/>
      <c r="Q329" s="815"/>
      <c r="R329" s="816"/>
    </row>
    <row r="330" spans="1:18" s="824" customFormat="1" ht="26.45" customHeight="1">
      <c r="A330" s="1068"/>
      <c r="B330" s="1074"/>
      <c r="C330" s="1071"/>
      <c r="D330" s="783">
        <v>2</v>
      </c>
      <c r="E330" s="788" t="e">
        <f>E342+E368</f>
        <v>#VALUE!</v>
      </c>
      <c r="F330" s="788">
        <f t="shared" ref="F330:O330" si="60">F342+F368</f>
        <v>113190</v>
      </c>
      <c r="G330" s="788">
        <f t="shared" si="60"/>
        <v>0</v>
      </c>
      <c r="H330" s="788">
        <f t="shared" si="60"/>
        <v>5994.8633814102568</v>
      </c>
      <c r="I330" s="788">
        <f t="shared" si="60"/>
        <v>6873.12</v>
      </c>
      <c r="J330" s="788">
        <f t="shared" si="60"/>
        <v>420.32</v>
      </c>
      <c r="K330" s="788">
        <f t="shared" si="60"/>
        <v>860.91600000000005</v>
      </c>
      <c r="L330" s="788" t="e">
        <f t="shared" si="60"/>
        <v>#VALUE!</v>
      </c>
      <c r="M330" s="788" t="e">
        <f t="shared" si="60"/>
        <v>#VALUE!</v>
      </c>
      <c r="N330" s="788" t="e">
        <f t="shared" si="60"/>
        <v>#VALUE!</v>
      </c>
      <c r="O330" s="788">
        <f t="shared" si="60"/>
        <v>22139.224999999999</v>
      </c>
      <c r="P330" s="815"/>
      <c r="Q330" s="815"/>
      <c r="R330" s="816"/>
    </row>
    <row r="331" spans="1:18" s="824" customFormat="1" ht="26.45" customHeight="1">
      <c r="A331" s="1068"/>
      <c r="B331" s="1074"/>
      <c r="C331" s="1071"/>
      <c r="D331" s="783">
        <v>3</v>
      </c>
      <c r="E331" s="788" t="e">
        <f>E343+E368</f>
        <v>#VALUE!</v>
      </c>
      <c r="F331" s="788">
        <f t="shared" ref="F331:O331" si="61">F343+F368</f>
        <v>124509</v>
      </c>
      <c r="G331" s="788">
        <f t="shared" si="61"/>
        <v>0</v>
      </c>
      <c r="H331" s="788">
        <f t="shared" si="61"/>
        <v>5994.8633814102568</v>
      </c>
      <c r="I331" s="788">
        <f t="shared" si="61"/>
        <v>6873.12</v>
      </c>
      <c r="J331" s="788">
        <f t="shared" si="61"/>
        <v>420.32</v>
      </c>
      <c r="K331" s="788">
        <f t="shared" si="61"/>
        <v>860.91600000000005</v>
      </c>
      <c r="L331" s="788" t="e">
        <f t="shared" si="61"/>
        <v>#VALUE!</v>
      </c>
      <c r="M331" s="788" t="e">
        <f t="shared" si="61"/>
        <v>#VALUE!</v>
      </c>
      <c r="N331" s="788" t="e">
        <f t="shared" si="61"/>
        <v>#VALUE!</v>
      </c>
      <c r="O331" s="788">
        <f t="shared" si="61"/>
        <v>23356.544230769228</v>
      </c>
      <c r="P331" s="815"/>
      <c r="Q331" s="815"/>
      <c r="R331" s="816"/>
    </row>
    <row r="332" spans="1:18" s="824" customFormat="1" ht="26.45" customHeight="1">
      <c r="A332" s="1068"/>
      <c r="B332" s="1074"/>
      <c r="C332" s="1071"/>
      <c r="D332" s="783">
        <v>4</v>
      </c>
      <c r="E332" s="788" t="e">
        <f>E344+E368</f>
        <v>#VALUE!</v>
      </c>
      <c r="F332" s="788">
        <f t="shared" ref="F332:O332" si="62">F344+F368</f>
        <v>137004</v>
      </c>
      <c r="G332" s="788">
        <f t="shared" si="62"/>
        <v>0</v>
      </c>
      <c r="H332" s="788">
        <f t="shared" si="62"/>
        <v>5994.8633814102568</v>
      </c>
      <c r="I332" s="788">
        <f t="shared" si="62"/>
        <v>6873.12</v>
      </c>
      <c r="J332" s="788">
        <f t="shared" si="62"/>
        <v>420.32</v>
      </c>
      <c r="K332" s="788">
        <f t="shared" si="62"/>
        <v>860.91600000000005</v>
      </c>
      <c r="L332" s="788" t="e">
        <f t="shared" si="62"/>
        <v>#VALUE!</v>
      </c>
      <c r="M332" s="788" t="e">
        <f t="shared" si="62"/>
        <v>#VALUE!</v>
      </c>
      <c r="N332" s="788" t="e">
        <f t="shared" si="62"/>
        <v>#VALUE!</v>
      </c>
      <c r="O332" s="788">
        <f t="shared" si="62"/>
        <v>24696.824999999997</v>
      </c>
      <c r="P332" s="815"/>
      <c r="Q332" s="815"/>
      <c r="R332" s="816"/>
    </row>
    <row r="333" spans="1:18" s="824" customFormat="1" ht="26.45" customHeight="1">
      <c r="A333" s="1068"/>
      <c r="B333" s="1074"/>
      <c r="C333" s="1071"/>
      <c r="D333" s="783">
        <v>5</v>
      </c>
      <c r="E333" s="788" t="e">
        <f>E345+E368</f>
        <v>#VALUE!</v>
      </c>
      <c r="F333" s="788">
        <f t="shared" ref="F333:O333" si="63">F345+F368</f>
        <v>150675</v>
      </c>
      <c r="G333" s="788">
        <f t="shared" si="63"/>
        <v>0</v>
      </c>
      <c r="H333" s="788">
        <f t="shared" si="63"/>
        <v>5994.8633814102568</v>
      </c>
      <c r="I333" s="788">
        <f t="shared" si="63"/>
        <v>6873.12</v>
      </c>
      <c r="J333" s="788">
        <f t="shared" si="63"/>
        <v>420.32</v>
      </c>
      <c r="K333" s="788">
        <f t="shared" si="63"/>
        <v>860.91600000000005</v>
      </c>
      <c r="L333" s="788" t="e">
        <f t="shared" si="63"/>
        <v>#VALUE!</v>
      </c>
      <c r="M333" s="788" t="e">
        <f t="shared" si="63"/>
        <v>#VALUE!</v>
      </c>
      <c r="N333" s="788" t="e">
        <f t="shared" si="63"/>
        <v>#VALUE!</v>
      </c>
      <c r="O333" s="788">
        <f t="shared" si="63"/>
        <v>26098.586538461532</v>
      </c>
      <c r="P333" s="815"/>
      <c r="Q333" s="815"/>
      <c r="R333" s="816"/>
    </row>
    <row r="334" spans="1:18" s="824" customFormat="1" ht="16.5" customHeight="1">
      <c r="A334" s="785"/>
      <c r="B334" s="789"/>
      <c r="C334" s="783"/>
      <c r="D334" s="783"/>
      <c r="E334" s="783"/>
      <c r="F334" s="783"/>
      <c r="G334" s="784"/>
      <c r="H334" s="783"/>
      <c r="I334" s="783"/>
      <c r="J334" s="783"/>
      <c r="K334" s="783"/>
      <c r="L334" s="783"/>
      <c r="M334" s="783"/>
      <c r="N334" s="783"/>
      <c r="O334" s="783"/>
      <c r="P334" s="949">
        <f>'He so chung'!D$22</f>
        <v>5346.1538461538457</v>
      </c>
      <c r="Q334" s="949">
        <f>'He so chung'!D$23</f>
        <v>801.92307692307691</v>
      </c>
      <c r="R334" s="819"/>
    </row>
    <row r="335" spans="1:18" s="824" customFormat="1" ht="35.25" customHeight="1">
      <c r="A335" s="785" t="s">
        <v>1000</v>
      </c>
      <c r="B335" s="789" t="s">
        <v>460</v>
      </c>
      <c r="C335" s="783"/>
      <c r="D335" s="783"/>
      <c r="E335" s="783"/>
      <c r="F335" s="783"/>
      <c r="G335" s="784"/>
      <c r="H335" s="783"/>
      <c r="I335" s="783"/>
      <c r="J335" s="783"/>
      <c r="K335" s="783"/>
      <c r="L335" s="783"/>
      <c r="M335" s="783"/>
      <c r="N335" s="783"/>
      <c r="O335" s="783"/>
      <c r="P335" s="818"/>
      <c r="Q335" s="818"/>
      <c r="R335" s="819"/>
    </row>
    <row r="336" spans="1:18" s="828" customFormat="1" ht="22.9" customHeight="1">
      <c r="A336" s="1089" t="s">
        <v>1008</v>
      </c>
      <c r="B336" s="1074" t="s">
        <v>668</v>
      </c>
      <c r="C336" s="1071" t="s">
        <v>532</v>
      </c>
      <c r="D336" s="851">
        <v>1</v>
      </c>
      <c r="E336" s="796" t="e">
        <f>E348+E350+E351+E352+E358+E360+E361+E363+E365+E366+E367</f>
        <v>#VALUE!</v>
      </c>
      <c r="F336" s="796">
        <f>F348+F350+F351+F352+F358+F360+F361+F363+F365+F366+F367</f>
        <v>102900</v>
      </c>
      <c r="G336" s="796"/>
      <c r="H336" s="796">
        <f>'Dcu-DKDD'!H$96</f>
        <v>5994.8633814102568</v>
      </c>
      <c r="I336" s="796">
        <f>'VL-DKDD'!F$96</f>
        <v>6873.12</v>
      </c>
      <c r="J336" s="796">
        <f>'TB-DKDD'!I$50</f>
        <v>420.32</v>
      </c>
      <c r="K336" s="796">
        <f>'NL-DKDD'!F$35</f>
        <v>860.91600000000005</v>
      </c>
      <c r="L336" s="796" t="e">
        <f t="shared" ref="L336:L345" si="64">SUM(E336:K336)</f>
        <v>#VALUE!</v>
      </c>
      <c r="M336" s="796" t="e">
        <f>L336*'He so chung'!$D$17/100</f>
        <v>#VALUE!</v>
      </c>
      <c r="N336" s="796" t="e">
        <f t="shared" ref="N336:N345" si="65">L336+M336</f>
        <v>#VALUE!</v>
      </c>
      <c r="O336" s="796">
        <f>O348+O350+O351+O352+O358+O360+O361+O363+O365+O366+O367</f>
        <v>20571.465384615381</v>
      </c>
      <c r="P336" s="951"/>
      <c r="Q336" s="951"/>
      <c r="R336" s="819"/>
    </row>
    <row r="337" spans="1:18" s="828" customFormat="1" ht="22.9" customHeight="1">
      <c r="A337" s="1089"/>
      <c r="B337" s="1074"/>
      <c r="C337" s="1071"/>
      <c r="D337" s="851">
        <v>2</v>
      </c>
      <c r="E337" s="796" t="e">
        <f>E348+E350+E351+E353+E358+E360+E361+E363+E365+E366+E367</f>
        <v>#VALUE!</v>
      </c>
      <c r="F337" s="796">
        <f>F348+F350+F351+F353+F358+F360+F361+F363+F365+F366+F367</f>
        <v>113190</v>
      </c>
      <c r="G337" s="796"/>
      <c r="H337" s="796">
        <f>'Dcu-DKDD'!H$96</f>
        <v>5994.8633814102568</v>
      </c>
      <c r="I337" s="796">
        <f>'VL-DKDD'!F$96</f>
        <v>6873.12</v>
      </c>
      <c r="J337" s="796">
        <f>'TB-DKDD'!I$50</f>
        <v>420.32</v>
      </c>
      <c r="K337" s="796">
        <f>'NL-DKDD'!F$35</f>
        <v>860.91600000000005</v>
      </c>
      <c r="L337" s="796" t="e">
        <f t="shared" si="64"/>
        <v>#VALUE!</v>
      </c>
      <c r="M337" s="796" t="e">
        <f>L337*'He so chung'!$D$17/100</f>
        <v>#VALUE!</v>
      </c>
      <c r="N337" s="796" t="e">
        <f t="shared" si="65"/>
        <v>#VALUE!</v>
      </c>
      <c r="O337" s="796">
        <f>O348+O350+O351+O353+O358+O360+O361+O363+O365+O366+O367</f>
        <v>21678.119230769233</v>
      </c>
      <c r="P337" s="951"/>
      <c r="Q337" s="951"/>
      <c r="R337" s="819"/>
    </row>
    <row r="338" spans="1:18" s="828" customFormat="1" ht="22.9" customHeight="1">
      <c r="A338" s="1089"/>
      <c r="B338" s="1074"/>
      <c r="C338" s="1071"/>
      <c r="D338" s="851">
        <v>3</v>
      </c>
      <c r="E338" s="796" t="e">
        <f>E348+E350+E351+E354+E358+E360+E361+E363+E365+E366+E367</f>
        <v>#VALUE!</v>
      </c>
      <c r="F338" s="796">
        <f>F348+F350+F351+F354+F358+F360+F361+F363+F365+F366+F367</f>
        <v>124509</v>
      </c>
      <c r="G338" s="796"/>
      <c r="H338" s="796">
        <f>'Dcu-DKDD'!H$96</f>
        <v>5994.8633814102568</v>
      </c>
      <c r="I338" s="796">
        <f>'VL-DKDD'!F$96</f>
        <v>6873.12</v>
      </c>
      <c r="J338" s="796">
        <f>'TB-DKDD'!I$50</f>
        <v>420.32</v>
      </c>
      <c r="K338" s="796">
        <f>'NL-DKDD'!F$35</f>
        <v>860.91600000000005</v>
      </c>
      <c r="L338" s="796" t="e">
        <f t="shared" si="64"/>
        <v>#VALUE!</v>
      </c>
      <c r="M338" s="796" t="e">
        <f>L338*'He so chung'!$D$17/100</f>
        <v>#VALUE!</v>
      </c>
      <c r="N338" s="796" t="e">
        <f t="shared" si="65"/>
        <v>#VALUE!</v>
      </c>
      <c r="O338" s="796">
        <f>O348+O350+O351+O354+O358+O360+O361+O363+O365+O366+O367</f>
        <v>22895.438461538462</v>
      </c>
      <c r="P338" s="951"/>
      <c r="Q338" s="951"/>
      <c r="R338" s="819"/>
    </row>
    <row r="339" spans="1:18" s="828" customFormat="1" ht="22.9" customHeight="1">
      <c r="A339" s="1089"/>
      <c r="B339" s="1074"/>
      <c r="C339" s="1071"/>
      <c r="D339" s="851">
        <v>4</v>
      </c>
      <c r="E339" s="796" t="e">
        <f>E348+E350+E351+E355+E358+E360+E361+E363+E365+E366+E367</f>
        <v>#VALUE!</v>
      </c>
      <c r="F339" s="796">
        <f>F348+F350+F351+F355+F358+F360+F361+F363+F365+F366+F367</f>
        <v>137004</v>
      </c>
      <c r="G339" s="796"/>
      <c r="H339" s="796">
        <f>'Dcu-DKDD'!H$96</f>
        <v>5994.8633814102568</v>
      </c>
      <c r="I339" s="796">
        <f>'VL-DKDD'!F$96</f>
        <v>6873.12</v>
      </c>
      <c r="J339" s="796">
        <f>'TB-DKDD'!I$50</f>
        <v>420.32</v>
      </c>
      <c r="K339" s="796">
        <f>'NL-DKDD'!F$35</f>
        <v>860.91600000000005</v>
      </c>
      <c r="L339" s="796" t="e">
        <f t="shared" si="64"/>
        <v>#VALUE!</v>
      </c>
      <c r="M339" s="796" t="e">
        <f>L339*'He so chung'!$D$17/100</f>
        <v>#VALUE!</v>
      </c>
      <c r="N339" s="796" t="e">
        <f t="shared" si="65"/>
        <v>#VALUE!</v>
      </c>
      <c r="O339" s="796">
        <f>O348+O350+O351+O355+O358+O360+O361+O363+O365+O366+O367</f>
        <v>24235.719230769224</v>
      </c>
      <c r="P339" s="951"/>
      <c r="Q339" s="951"/>
      <c r="R339" s="819"/>
    </row>
    <row r="340" spans="1:18" s="828" customFormat="1" ht="22.9" customHeight="1">
      <c r="A340" s="1089"/>
      <c r="B340" s="1074"/>
      <c r="C340" s="1071"/>
      <c r="D340" s="851">
        <v>5</v>
      </c>
      <c r="E340" s="796" t="e">
        <f>E348+E350+E351+E356+E358+E360+E361+E363+E365+E366+E367</f>
        <v>#VALUE!</v>
      </c>
      <c r="F340" s="796">
        <f>F348+F350+F351+F356+F358+F360+F361+F363+F365+F366+F367</f>
        <v>150675</v>
      </c>
      <c r="G340" s="796"/>
      <c r="H340" s="796">
        <f>'Dcu-DKDD'!H$96</f>
        <v>5994.8633814102568</v>
      </c>
      <c r="I340" s="796">
        <f>'VL-DKDD'!F$96</f>
        <v>6873.12</v>
      </c>
      <c r="J340" s="796">
        <f>'TB-DKDD'!I$50</f>
        <v>420.32</v>
      </c>
      <c r="K340" s="796">
        <f>'NL-DKDD'!F$35</f>
        <v>860.91600000000005</v>
      </c>
      <c r="L340" s="854" t="e">
        <f t="shared" si="64"/>
        <v>#VALUE!</v>
      </c>
      <c r="M340" s="854" t="e">
        <f>L340*'He so chung'!$D$17/100</f>
        <v>#VALUE!</v>
      </c>
      <c r="N340" s="854" t="e">
        <f t="shared" si="65"/>
        <v>#VALUE!</v>
      </c>
      <c r="O340" s="796">
        <f>O348+O350+O351+O356+O358+O360+O361+O363+O365+O366+O367</f>
        <v>25637.480769230766</v>
      </c>
      <c r="P340" s="951"/>
      <c r="Q340" s="951"/>
      <c r="R340" s="819"/>
    </row>
    <row r="341" spans="1:18" s="828" customFormat="1" ht="22.9" customHeight="1">
      <c r="A341" s="1089" t="s">
        <v>1009</v>
      </c>
      <c r="B341" s="1074" t="s">
        <v>669</v>
      </c>
      <c r="C341" s="1071" t="s">
        <v>532</v>
      </c>
      <c r="D341" s="851">
        <v>1</v>
      </c>
      <c r="E341" s="796" t="e">
        <f>E349+E350+E351+E352+E359+E360+E361+E364+E365+E366+E367</f>
        <v>#VALUE!</v>
      </c>
      <c r="F341" s="796">
        <f>F349+F350+F351+F352+F359+F360+F361+F364+F365+F366+F367</f>
        <v>102900</v>
      </c>
      <c r="G341" s="796"/>
      <c r="H341" s="796">
        <f>'Dcu-DKDD'!H$96</f>
        <v>5994.8633814102568</v>
      </c>
      <c r="I341" s="796">
        <f>'VL-DKDD'!F$96</f>
        <v>6873.12</v>
      </c>
      <c r="J341" s="796">
        <f>'TB-DKDD'!I$50</f>
        <v>420.32</v>
      </c>
      <c r="K341" s="796">
        <f>'NL-DKDD'!F$35</f>
        <v>860.91600000000005</v>
      </c>
      <c r="L341" s="796" t="e">
        <f t="shared" si="64"/>
        <v>#VALUE!</v>
      </c>
      <c r="M341" s="796" t="e">
        <f>L341*'He so chung'!$D$17/100</f>
        <v>#VALUE!</v>
      </c>
      <c r="N341" s="796" t="e">
        <f t="shared" si="65"/>
        <v>#VALUE!</v>
      </c>
      <c r="O341" s="796">
        <f>O349+O350+O351+O352+O359+O360+O361+O364+O365+O366+O367</f>
        <v>19802.955769230772</v>
      </c>
      <c r="P341" s="951"/>
      <c r="Q341" s="951"/>
      <c r="R341" s="819"/>
    </row>
    <row r="342" spans="1:18" s="828" customFormat="1" ht="22.9" customHeight="1">
      <c r="A342" s="1089"/>
      <c r="B342" s="1074"/>
      <c r="C342" s="1071"/>
      <c r="D342" s="851">
        <v>2</v>
      </c>
      <c r="E342" s="796" t="e">
        <f>E349+E350+E351+E353+E359+E360+E361+E364+E365+E366+E367</f>
        <v>#VALUE!</v>
      </c>
      <c r="F342" s="796">
        <f>F349+F350+F351+F353+F358+F359+F360+F361+F364+F365+F366+F367</f>
        <v>113190</v>
      </c>
      <c r="G342" s="796"/>
      <c r="H342" s="796">
        <f>'Dcu-DKDD'!H$96</f>
        <v>5994.8633814102568</v>
      </c>
      <c r="I342" s="796">
        <f>'VL-DKDD'!F$96</f>
        <v>6873.12</v>
      </c>
      <c r="J342" s="796">
        <f>'TB-DKDD'!I$50</f>
        <v>420.32</v>
      </c>
      <c r="K342" s="796">
        <f>'NL-DKDD'!F$35</f>
        <v>860.91600000000005</v>
      </c>
      <c r="L342" s="796" t="e">
        <f t="shared" si="64"/>
        <v>#VALUE!</v>
      </c>
      <c r="M342" s="796" t="e">
        <f>L342*'He so chung'!$D$17/100</f>
        <v>#VALUE!</v>
      </c>
      <c r="N342" s="796" t="e">
        <f t="shared" si="65"/>
        <v>#VALUE!</v>
      </c>
      <c r="O342" s="796">
        <f>O349+O350+O351+O353+O359+O360+O361+O364+O365+O366+O367</f>
        <v>20909.609615384616</v>
      </c>
      <c r="P342" s="951"/>
      <c r="Q342" s="951"/>
      <c r="R342" s="819"/>
    </row>
    <row r="343" spans="1:18" s="828" customFormat="1" ht="22.9" customHeight="1">
      <c r="A343" s="1089"/>
      <c r="B343" s="1074"/>
      <c r="C343" s="1071"/>
      <c r="D343" s="851">
        <v>3</v>
      </c>
      <c r="E343" s="796" t="e">
        <f>E349+E350+E351+E354+E359+E360+E361+E364+E365+E366+E367</f>
        <v>#VALUE!</v>
      </c>
      <c r="F343" s="796">
        <f>F349+F350+F351+F354+F358+F359+F360+F361+F364+F365+F366+F367</f>
        <v>124509</v>
      </c>
      <c r="G343" s="796"/>
      <c r="H343" s="796">
        <f>'Dcu-DKDD'!H$96</f>
        <v>5994.8633814102568</v>
      </c>
      <c r="I343" s="796">
        <f>'VL-DKDD'!F$96</f>
        <v>6873.12</v>
      </c>
      <c r="J343" s="796">
        <f>'TB-DKDD'!I$50</f>
        <v>420.32</v>
      </c>
      <c r="K343" s="796">
        <f>'NL-DKDD'!F$35</f>
        <v>860.91600000000005</v>
      </c>
      <c r="L343" s="796" t="e">
        <f t="shared" si="64"/>
        <v>#VALUE!</v>
      </c>
      <c r="M343" s="796" t="e">
        <f>L343*'He so chung'!$D$17/100</f>
        <v>#VALUE!</v>
      </c>
      <c r="N343" s="796" t="e">
        <f t="shared" si="65"/>
        <v>#VALUE!</v>
      </c>
      <c r="O343" s="796">
        <f>O349+O350+O351+O354+O359+O360+O361+O364+O365+O366+O367</f>
        <v>22126.928846153845</v>
      </c>
      <c r="P343" s="951"/>
      <c r="Q343" s="951"/>
      <c r="R343" s="819"/>
    </row>
    <row r="344" spans="1:18" s="828" customFormat="1" ht="22.9" customHeight="1">
      <c r="A344" s="1089"/>
      <c r="B344" s="1074"/>
      <c r="C344" s="1071"/>
      <c r="D344" s="851">
        <v>4</v>
      </c>
      <c r="E344" s="796" t="e">
        <f>E349+E350+E351+E355+E359+E360+E361+E364+E365+E366+E367</f>
        <v>#VALUE!</v>
      </c>
      <c r="F344" s="796">
        <f>F349+F350+F351+F355+F358+F359+F360+F361+F364+F365+F366+F367</f>
        <v>137004</v>
      </c>
      <c r="G344" s="796"/>
      <c r="H344" s="796">
        <f>'Dcu-DKDD'!H$96</f>
        <v>5994.8633814102568</v>
      </c>
      <c r="I344" s="796">
        <f>'VL-DKDD'!F$96</f>
        <v>6873.12</v>
      </c>
      <c r="J344" s="796">
        <f>'TB-DKDD'!I$50</f>
        <v>420.32</v>
      </c>
      <c r="K344" s="796">
        <f>'NL-DKDD'!F$35</f>
        <v>860.91600000000005</v>
      </c>
      <c r="L344" s="796" t="e">
        <f t="shared" si="64"/>
        <v>#VALUE!</v>
      </c>
      <c r="M344" s="796" t="e">
        <f>L344*'He so chung'!$D$17/100</f>
        <v>#VALUE!</v>
      </c>
      <c r="N344" s="796" t="e">
        <f t="shared" si="65"/>
        <v>#VALUE!</v>
      </c>
      <c r="O344" s="796">
        <f>O349+O350+O351+O355+O359+O360+O361+O364+O365+O366+O367</f>
        <v>23467.209615384614</v>
      </c>
      <c r="P344" s="951"/>
      <c r="Q344" s="951"/>
      <c r="R344" s="819"/>
    </row>
    <row r="345" spans="1:18" s="828" customFormat="1" ht="22.9" customHeight="1">
      <c r="A345" s="1089"/>
      <c r="B345" s="1074"/>
      <c r="C345" s="1071"/>
      <c r="D345" s="851">
        <v>5</v>
      </c>
      <c r="E345" s="796" t="e">
        <f>E349+E350+E351+E356+E359+E360+E361+E364+E365+E366+E367</f>
        <v>#VALUE!</v>
      </c>
      <c r="F345" s="796">
        <f>F349+F350+F351+F356+F358+F359+F360+F361+F364+F365+F366+F367</f>
        <v>150675</v>
      </c>
      <c r="G345" s="796"/>
      <c r="H345" s="796">
        <f>'Dcu-DKDD'!H$96</f>
        <v>5994.8633814102568</v>
      </c>
      <c r="I345" s="796">
        <f>'VL-DKDD'!F$96</f>
        <v>6873.12</v>
      </c>
      <c r="J345" s="796">
        <f>'TB-DKDD'!I$50</f>
        <v>420.32</v>
      </c>
      <c r="K345" s="796">
        <f>'NL-DKDD'!F$35</f>
        <v>860.91600000000005</v>
      </c>
      <c r="L345" s="854" t="e">
        <f t="shared" si="64"/>
        <v>#VALUE!</v>
      </c>
      <c r="M345" s="854" t="e">
        <f>L345*'He so chung'!$D$17/100</f>
        <v>#VALUE!</v>
      </c>
      <c r="N345" s="854" t="e">
        <f t="shared" si="65"/>
        <v>#VALUE!</v>
      </c>
      <c r="O345" s="796">
        <f>O349+O350+O351+O356+O359+O360+O361+O364+O365+O366+O367</f>
        <v>24868.971153846149</v>
      </c>
      <c r="P345" s="951"/>
      <c r="Q345" s="951"/>
      <c r="R345" s="819"/>
    </row>
    <row r="346" spans="1:18" s="828" customFormat="1" ht="22.9" customHeight="1">
      <c r="A346" s="865"/>
      <c r="B346" s="966"/>
      <c r="C346" s="865"/>
      <c r="D346" s="851"/>
      <c r="E346" s="796"/>
      <c r="F346" s="796"/>
      <c r="G346" s="796"/>
      <c r="H346" s="796"/>
      <c r="I346" s="796"/>
      <c r="J346" s="796"/>
      <c r="K346" s="796"/>
      <c r="L346" s="854"/>
      <c r="M346" s="854"/>
      <c r="N346" s="854"/>
      <c r="O346" s="796"/>
      <c r="P346" s="951"/>
      <c r="Q346" s="951"/>
      <c r="R346" s="819"/>
    </row>
    <row r="347" spans="1:18" s="828" customFormat="1" ht="22.9" customHeight="1">
      <c r="A347" s="798">
        <v>1</v>
      </c>
      <c r="B347" s="799" t="s">
        <v>844</v>
      </c>
      <c r="C347" s="798"/>
      <c r="D347" s="952"/>
      <c r="E347" s="857"/>
      <c r="F347" s="857"/>
      <c r="G347" s="857"/>
      <c r="H347" s="857"/>
      <c r="I347" s="796"/>
      <c r="J347" s="796"/>
      <c r="K347" s="796"/>
      <c r="L347" s="854"/>
      <c r="M347" s="854"/>
      <c r="N347" s="854"/>
      <c r="O347" s="796"/>
      <c r="P347" s="951"/>
      <c r="Q347" s="951"/>
      <c r="R347" s="819"/>
    </row>
    <row r="348" spans="1:18" s="828" customFormat="1" ht="24.75" customHeight="1">
      <c r="A348" s="798" t="s">
        <v>733</v>
      </c>
      <c r="B348" s="799" t="s">
        <v>846</v>
      </c>
      <c r="C348" s="798" t="s">
        <v>532</v>
      </c>
      <c r="D348" s="967" t="s">
        <v>723</v>
      </c>
      <c r="E348" s="857" t="e">
        <f>NC_DKDD!H234</f>
        <v>#VALUE!</v>
      </c>
      <c r="F348" s="857"/>
      <c r="G348" s="857"/>
      <c r="H348" s="857"/>
      <c r="I348" s="796"/>
      <c r="J348" s="796"/>
      <c r="K348" s="796"/>
      <c r="L348" s="854"/>
      <c r="M348" s="854"/>
      <c r="N348" s="854"/>
      <c r="O348" s="857">
        <f>P348+Q348</f>
        <v>1229.6153846153848</v>
      </c>
      <c r="P348" s="954">
        <f>R348*$P$334</f>
        <v>1069.2307692307693</v>
      </c>
      <c r="Q348" s="954">
        <f>R348*$Q$334</f>
        <v>160.38461538461539</v>
      </c>
      <c r="R348" s="971">
        <f>NC_DKDD!G234</f>
        <v>0.2</v>
      </c>
    </row>
    <row r="349" spans="1:18" s="828" customFormat="1" ht="24.75" customHeight="1">
      <c r="A349" s="798" t="s">
        <v>741</v>
      </c>
      <c r="B349" s="799" t="s">
        <v>849</v>
      </c>
      <c r="C349" s="798" t="s">
        <v>532</v>
      </c>
      <c r="D349" s="967" t="s">
        <v>723</v>
      </c>
      <c r="E349" s="857" t="e">
        <f>NC_DKDD!H235</f>
        <v>#VALUE!</v>
      </c>
      <c r="F349" s="857"/>
      <c r="G349" s="857"/>
      <c r="H349" s="857"/>
      <c r="I349" s="796"/>
      <c r="J349" s="796"/>
      <c r="K349" s="796"/>
      <c r="L349" s="854"/>
      <c r="M349" s="854"/>
      <c r="N349" s="854"/>
      <c r="O349" s="857">
        <f t="shared" ref="O349:O369" si="66">P349+Q349</f>
        <v>922.21153846153834</v>
      </c>
      <c r="P349" s="954">
        <f t="shared" ref="P349:P367" si="67">R349*$P$334</f>
        <v>801.92307692307679</v>
      </c>
      <c r="Q349" s="954">
        <f t="shared" ref="Q349:Q367" si="68">R349*$Q$334</f>
        <v>120.28846153846153</v>
      </c>
      <c r="R349" s="971">
        <f>NC_DKDD!G235</f>
        <v>0.15</v>
      </c>
    </row>
    <row r="350" spans="1:18" s="828" customFormat="1" ht="47.25" customHeight="1">
      <c r="A350" s="798">
        <v>2</v>
      </c>
      <c r="B350" s="799" t="s">
        <v>850</v>
      </c>
      <c r="C350" s="798" t="s">
        <v>532</v>
      </c>
      <c r="D350" s="967" t="s">
        <v>723</v>
      </c>
      <c r="E350" s="857" t="e">
        <f>NC_DKDD!H236</f>
        <v>#VALUE!</v>
      </c>
      <c r="F350" s="857"/>
      <c r="G350" s="857"/>
      <c r="H350" s="857"/>
      <c r="I350" s="796"/>
      <c r="J350" s="796"/>
      <c r="K350" s="796"/>
      <c r="L350" s="854"/>
      <c r="M350" s="854"/>
      <c r="N350" s="854"/>
      <c r="O350" s="857">
        <f t="shared" si="66"/>
        <v>614.80769230769238</v>
      </c>
      <c r="P350" s="954">
        <f t="shared" si="67"/>
        <v>534.61538461538464</v>
      </c>
      <c r="Q350" s="954">
        <f t="shared" si="68"/>
        <v>80.192307692307693</v>
      </c>
      <c r="R350" s="971">
        <f>NC_DKDD!G236</f>
        <v>0.1</v>
      </c>
    </row>
    <row r="351" spans="1:18" s="828" customFormat="1" ht="33.75" customHeight="1">
      <c r="A351" s="798">
        <v>3</v>
      </c>
      <c r="B351" s="799" t="s">
        <v>851</v>
      </c>
      <c r="C351" s="798" t="s">
        <v>375</v>
      </c>
      <c r="D351" s="967" t="s">
        <v>723</v>
      </c>
      <c r="E351" s="857" t="e">
        <f>NC_DKDD!H237</f>
        <v>#VALUE!</v>
      </c>
      <c r="F351" s="857"/>
      <c r="G351" s="857"/>
      <c r="H351" s="857"/>
      <c r="I351" s="796"/>
      <c r="J351" s="796"/>
      <c r="K351" s="796"/>
      <c r="L351" s="854"/>
      <c r="M351" s="854"/>
      <c r="N351" s="854"/>
      <c r="O351" s="857">
        <f t="shared" si="66"/>
        <v>202.88653846153844</v>
      </c>
      <c r="P351" s="954">
        <f t="shared" si="67"/>
        <v>176.42307692307691</v>
      </c>
      <c r="Q351" s="954">
        <f t="shared" si="68"/>
        <v>26.463461538461541</v>
      </c>
      <c r="R351" s="971">
        <f>NC_DKDD!G237</f>
        <v>3.3000000000000002E-2</v>
      </c>
    </row>
    <row r="352" spans="1:18" s="828" customFormat="1" ht="22.9" customHeight="1">
      <c r="A352" s="1084">
        <v>4</v>
      </c>
      <c r="B352" s="1099" t="s">
        <v>852</v>
      </c>
      <c r="C352" s="1081" t="s">
        <v>532</v>
      </c>
      <c r="D352" s="969">
        <v>1</v>
      </c>
      <c r="E352" s="857" t="e">
        <f>NC_DKDD!H238</f>
        <v>#VALUE!</v>
      </c>
      <c r="F352" s="857">
        <f>NC_DKDD!H239</f>
        <v>102900</v>
      </c>
      <c r="G352" s="857"/>
      <c r="H352" s="857"/>
      <c r="I352" s="796"/>
      <c r="J352" s="796"/>
      <c r="K352" s="796"/>
      <c r="L352" s="854"/>
      <c r="M352" s="854"/>
      <c r="N352" s="854"/>
      <c r="O352" s="857">
        <f t="shared" si="66"/>
        <v>11066.538461538461</v>
      </c>
      <c r="P352" s="954">
        <f t="shared" si="67"/>
        <v>9623.076923076922</v>
      </c>
      <c r="Q352" s="954">
        <f t="shared" si="68"/>
        <v>1443.4615384615386</v>
      </c>
      <c r="R352" s="971">
        <f>NC_DKDD!G238</f>
        <v>1.8</v>
      </c>
    </row>
    <row r="353" spans="1:18" s="828" customFormat="1" ht="22.9" customHeight="1">
      <c r="A353" s="1084"/>
      <c r="B353" s="1100"/>
      <c r="C353" s="1082"/>
      <c r="D353" s="969">
        <v>2</v>
      </c>
      <c r="E353" s="857" t="e">
        <f>NC_DKDD!H240</f>
        <v>#VALUE!</v>
      </c>
      <c r="F353" s="857">
        <f>NC_DKDD!H241</f>
        <v>113190</v>
      </c>
      <c r="G353" s="857"/>
      <c r="H353" s="857"/>
      <c r="I353" s="796"/>
      <c r="J353" s="796"/>
      <c r="K353" s="796"/>
      <c r="L353" s="854"/>
      <c r="M353" s="854"/>
      <c r="N353" s="854"/>
      <c r="O353" s="857">
        <f t="shared" si="66"/>
        <v>12173.192307692307</v>
      </c>
      <c r="P353" s="954">
        <f t="shared" si="67"/>
        <v>10585.384615384615</v>
      </c>
      <c r="Q353" s="954">
        <f t="shared" si="68"/>
        <v>1587.8076923076922</v>
      </c>
      <c r="R353" s="971">
        <f>NC_DKDD!G240</f>
        <v>1.98</v>
      </c>
    </row>
    <row r="354" spans="1:18" s="828" customFormat="1" ht="22.9" customHeight="1">
      <c r="A354" s="1084"/>
      <c r="B354" s="1100"/>
      <c r="C354" s="1082"/>
      <c r="D354" s="969">
        <v>3</v>
      </c>
      <c r="E354" s="857" t="e">
        <f>NC_DKDD!H242</f>
        <v>#VALUE!</v>
      </c>
      <c r="F354" s="857">
        <f>NC_DKDD!H243</f>
        <v>124509</v>
      </c>
      <c r="G354" s="857"/>
      <c r="H354" s="857"/>
      <c r="I354" s="796"/>
      <c r="J354" s="796"/>
      <c r="K354" s="796"/>
      <c r="L354" s="854"/>
      <c r="M354" s="854"/>
      <c r="N354" s="854"/>
      <c r="O354" s="857">
        <f t="shared" si="66"/>
        <v>13390.511538461538</v>
      </c>
      <c r="P354" s="954">
        <f t="shared" si="67"/>
        <v>11643.923076923076</v>
      </c>
      <c r="Q354" s="954">
        <f t="shared" si="68"/>
        <v>1746.5884615384614</v>
      </c>
      <c r="R354" s="971">
        <f>NC_DKDD!G242</f>
        <v>2.1779999999999999</v>
      </c>
    </row>
    <row r="355" spans="1:18" s="828" customFormat="1" ht="22.9" customHeight="1">
      <c r="A355" s="1084"/>
      <c r="B355" s="1100"/>
      <c r="C355" s="1082"/>
      <c r="D355" s="969">
        <v>4</v>
      </c>
      <c r="E355" s="857" t="e">
        <f>NC_DKDD!H244</f>
        <v>#VALUE!</v>
      </c>
      <c r="F355" s="857">
        <f>NC_DKDD!H245</f>
        <v>137004</v>
      </c>
      <c r="G355" s="857"/>
      <c r="H355" s="857"/>
      <c r="I355" s="796"/>
      <c r="J355" s="796"/>
      <c r="K355" s="796"/>
      <c r="L355" s="854"/>
      <c r="M355" s="854"/>
      <c r="N355" s="854"/>
      <c r="O355" s="857">
        <f t="shared" si="66"/>
        <v>14730.792307692305</v>
      </c>
      <c r="P355" s="954">
        <f t="shared" si="67"/>
        <v>12809.384615384613</v>
      </c>
      <c r="Q355" s="954">
        <f t="shared" si="68"/>
        <v>1921.4076923076923</v>
      </c>
      <c r="R355" s="971">
        <f>NC_DKDD!G244</f>
        <v>2.3959999999999999</v>
      </c>
    </row>
    <row r="356" spans="1:18" s="828" customFormat="1" ht="22.9" customHeight="1">
      <c r="A356" s="1084"/>
      <c r="B356" s="1101"/>
      <c r="C356" s="1083"/>
      <c r="D356" s="969">
        <v>5</v>
      </c>
      <c r="E356" s="857" t="e">
        <f>NC_DKDD!H246</f>
        <v>#VALUE!</v>
      </c>
      <c r="F356" s="857">
        <f>NC_DKDD!H247</f>
        <v>150675</v>
      </c>
      <c r="G356" s="857"/>
      <c r="H356" s="857"/>
      <c r="I356" s="796"/>
      <c r="J356" s="796"/>
      <c r="K356" s="796"/>
      <c r="L356" s="854"/>
      <c r="M356" s="854"/>
      <c r="N356" s="854"/>
      <c r="O356" s="857">
        <f t="shared" si="66"/>
        <v>16132.553846153845</v>
      </c>
      <c r="P356" s="954">
        <f t="shared" si="67"/>
        <v>14028.307692307691</v>
      </c>
      <c r="Q356" s="954">
        <f t="shared" si="68"/>
        <v>2104.2461538461539</v>
      </c>
      <c r="R356" s="971">
        <f>NC_DKDD!G246</f>
        <v>2.6240000000000001</v>
      </c>
    </row>
    <row r="357" spans="1:18" s="828" customFormat="1" ht="31.5" customHeight="1">
      <c r="A357" s="798">
        <v>5</v>
      </c>
      <c r="B357" s="799" t="s">
        <v>579</v>
      </c>
      <c r="C357" s="798"/>
      <c r="D357" s="969"/>
      <c r="E357" s="857"/>
      <c r="F357" s="857"/>
      <c r="G357" s="857"/>
      <c r="H357" s="857"/>
      <c r="I357" s="796"/>
      <c r="J357" s="796"/>
      <c r="K357" s="796"/>
      <c r="L357" s="854"/>
      <c r="M357" s="854"/>
      <c r="N357" s="854"/>
      <c r="O357" s="857">
        <f t="shared" si="66"/>
        <v>0</v>
      </c>
      <c r="P357" s="954">
        <f t="shared" si="67"/>
        <v>0</v>
      </c>
      <c r="Q357" s="954">
        <f t="shared" si="68"/>
        <v>0</v>
      </c>
      <c r="R357" s="971"/>
    </row>
    <row r="358" spans="1:18" s="828" customFormat="1" ht="31.5" customHeight="1">
      <c r="A358" s="798" t="s">
        <v>461</v>
      </c>
      <c r="B358" s="799" t="s">
        <v>846</v>
      </c>
      <c r="C358" s="798" t="s">
        <v>532</v>
      </c>
      <c r="D358" s="967" t="s">
        <v>723</v>
      </c>
      <c r="E358" s="857" t="e">
        <f>NC_DKDD!H249</f>
        <v>#VALUE!</v>
      </c>
      <c r="F358" s="857"/>
      <c r="G358" s="857"/>
      <c r="H358" s="857"/>
      <c r="I358" s="796"/>
      <c r="J358" s="796"/>
      <c r="K358" s="796"/>
      <c r="L358" s="854"/>
      <c r="M358" s="854"/>
      <c r="N358" s="854"/>
      <c r="O358" s="857">
        <f t="shared" si="66"/>
        <v>307.40384615384619</v>
      </c>
      <c r="P358" s="954">
        <f t="shared" si="67"/>
        <v>267.30769230769232</v>
      </c>
      <c r="Q358" s="954">
        <f t="shared" si="68"/>
        <v>40.096153846153847</v>
      </c>
      <c r="R358" s="970">
        <f>NC_DKDD!G249</f>
        <v>0.05</v>
      </c>
    </row>
    <row r="359" spans="1:18" s="828" customFormat="1" ht="31.5" customHeight="1">
      <c r="A359" s="798" t="s">
        <v>462</v>
      </c>
      <c r="B359" s="799" t="s">
        <v>849</v>
      </c>
      <c r="C359" s="798" t="s">
        <v>532</v>
      </c>
      <c r="D359" s="967" t="s">
        <v>723</v>
      </c>
      <c r="E359" s="857" t="e">
        <f>NC_DKDD!H250</f>
        <v>#VALUE!</v>
      </c>
      <c r="F359" s="857"/>
      <c r="G359" s="857"/>
      <c r="H359" s="857"/>
      <c r="I359" s="796"/>
      <c r="J359" s="796"/>
      <c r="K359" s="796"/>
      <c r="L359" s="854"/>
      <c r="M359" s="854"/>
      <c r="N359" s="854"/>
      <c r="O359" s="857">
        <f t="shared" si="66"/>
        <v>153.70192307692309</v>
      </c>
      <c r="P359" s="954">
        <f t="shared" si="67"/>
        <v>133.65384615384616</v>
      </c>
      <c r="Q359" s="954">
        <f t="shared" si="68"/>
        <v>20.048076923076923</v>
      </c>
      <c r="R359" s="970">
        <f>NC_DKDD!G250</f>
        <v>2.5000000000000001E-2</v>
      </c>
    </row>
    <row r="360" spans="1:18" s="828" customFormat="1" ht="31.5" customHeight="1">
      <c r="A360" s="798">
        <v>6</v>
      </c>
      <c r="B360" s="799" t="s">
        <v>793</v>
      </c>
      <c r="C360" s="798" t="s">
        <v>375</v>
      </c>
      <c r="D360" s="967" t="s">
        <v>723</v>
      </c>
      <c r="E360" s="857" t="e">
        <f>NC_DKDD!H251</f>
        <v>#VALUE!</v>
      </c>
      <c r="F360" s="857"/>
      <c r="G360" s="857"/>
      <c r="H360" s="857"/>
      <c r="I360" s="796"/>
      <c r="J360" s="796"/>
      <c r="K360" s="796"/>
      <c r="L360" s="854"/>
      <c r="M360" s="854"/>
      <c r="N360" s="854"/>
      <c r="O360" s="857">
        <f t="shared" si="66"/>
        <v>18.444230769230767</v>
      </c>
      <c r="P360" s="954">
        <f t="shared" si="67"/>
        <v>16.038461538461537</v>
      </c>
      <c r="Q360" s="954">
        <f t="shared" si="68"/>
        <v>2.4057692307692307</v>
      </c>
      <c r="R360" s="970">
        <f>NC_DKDD!G251</f>
        <v>3.0000000000000001E-3</v>
      </c>
    </row>
    <row r="361" spans="1:18" s="828" customFormat="1" ht="35.25" customHeight="1">
      <c r="A361" s="798">
        <v>7</v>
      </c>
      <c r="B361" s="799" t="s">
        <v>148</v>
      </c>
      <c r="C361" s="798" t="s">
        <v>532</v>
      </c>
      <c r="D361" s="967" t="s">
        <v>723</v>
      </c>
      <c r="E361" s="857" t="e">
        <f>NC_DKDD!H252</f>
        <v>#VALUE!</v>
      </c>
      <c r="F361" s="857"/>
      <c r="G361" s="857"/>
      <c r="H361" s="857"/>
      <c r="I361" s="796"/>
      <c r="J361" s="796"/>
      <c r="K361" s="796"/>
      <c r="L361" s="854"/>
      <c r="M361" s="854"/>
      <c r="N361" s="854"/>
      <c r="O361" s="857">
        <f t="shared" si="66"/>
        <v>368.88461538461536</v>
      </c>
      <c r="P361" s="954">
        <f t="shared" si="67"/>
        <v>320.76923076923072</v>
      </c>
      <c r="Q361" s="954">
        <f t="shared" si="68"/>
        <v>48.115384615384613</v>
      </c>
      <c r="R361" s="970">
        <f>NC_DKDD!G252</f>
        <v>0.06</v>
      </c>
    </row>
    <row r="362" spans="1:18" s="828" customFormat="1" ht="31.5" customHeight="1">
      <c r="A362" s="798">
        <v>8</v>
      </c>
      <c r="B362" s="799" t="s">
        <v>167</v>
      </c>
      <c r="C362" s="798"/>
      <c r="D362" s="969"/>
      <c r="E362" s="857">
        <f>NC_DKDD!H253</f>
        <v>0</v>
      </c>
      <c r="F362" s="857"/>
      <c r="G362" s="857"/>
      <c r="H362" s="857"/>
      <c r="I362" s="796"/>
      <c r="J362" s="796"/>
      <c r="K362" s="796"/>
      <c r="L362" s="854"/>
      <c r="M362" s="854"/>
      <c r="N362" s="854"/>
      <c r="O362" s="857">
        <f t="shared" si="66"/>
        <v>0</v>
      </c>
      <c r="P362" s="954">
        <f t="shared" si="67"/>
        <v>0</v>
      </c>
      <c r="Q362" s="954">
        <f t="shared" si="68"/>
        <v>0</v>
      </c>
      <c r="R362" s="970">
        <f>NC_DKDD!G253</f>
        <v>0</v>
      </c>
    </row>
    <row r="363" spans="1:18" s="828" customFormat="1" ht="22.9" customHeight="1">
      <c r="A363" s="798" t="s">
        <v>191</v>
      </c>
      <c r="B363" s="799" t="s">
        <v>846</v>
      </c>
      <c r="C363" s="798" t="s">
        <v>532</v>
      </c>
      <c r="D363" s="967" t="s">
        <v>723</v>
      </c>
      <c r="E363" s="857" t="e">
        <f>NC_DKDD!H254</f>
        <v>#VALUE!</v>
      </c>
      <c r="F363" s="857"/>
      <c r="G363" s="857"/>
      <c r="H363" s="857"/>
      <c r="I363" s="796"/>
      <c r="J363" s="796"/>
      <c r="K363" s="796"/>
      <c r="L363" s="854"/>
      <c r="M363" s="854"/>
      <c r="N363" s="854"/>
      <c r="O363" s="857">
        <f t="shared" si="66"/>
        <v>1229.6153846153848</v>
      </c>
      <c r="P363" s="954">
        <f t="shared" si="67"/>
        <v>1069.2307692307693</v>
      </c>
      <c r="Q363" s="954">
        <f t="shared" si="68"/>
        <v>160.38461538461539</v>
      </c>
      <c r="R363" s="970">
        <f>NC_DKDD!G254</f>
        <v>0.2</v>
      </c>
    </row>
    <row r="364" spans="1:18" s="828" customFormat="1" ht="22.9" customHeight="1">
      <c r="A364" s="798" t="s">
        <v>192</v>
      </c>
      <c r="B364" s="799" t="s">
        <v>849</v>
      </c>
      <c r="C364" s="798" t="s">
        <v>532</v>
      </c>
      <c r="D364" s="967" t="s">
        <v>723</v>
      </c>
      <c r="E364" s="857" t="e">
        <f>NC_DKDD!H255</f>
        <v>#VALUE!</v>
      </c>
      <c r="F364" s="857"/>
      <c r="G364" s="857"/>
      <c r="H364" s="857"/>
      <c r="I364" s="796"/>
      <c r="J364" s="796"/>
      <c r="K364" s="796"/>
      <c r="L364" s="854"/>
      <c r="M364" s="854"/>
      <c r="N364" s="854"/>
      <c r="O364" s="857">
        <f t="shared" si="66"/>
        <v>922.21153846153834</v>
      </c>
      <c r="P364" s="954">
        <f t="shared" si="67"/>
        <v>801.92307692307679</v>
      </c>
      <c r="Q364" s="954">
        <f t="shared" si="68"/>
        <v>120.28846153846153</v>
      </c>
      <c r="R364" s="970">
        <f>NC_DKDD!G255</f>
        <v>0.15</v>
      </c>
    </row>
    <row r="365" spans="1:18" s="828" customFormat="1" ht="33.75" customHeight="1">
      <c r="A365" s="798">
        <v>9</v>
      </c>
      <c r="B365" s="799" t="s">
        <v>149</v>
      </c>
      <c r="C365" s="798" t="s">
        <v>532</v>
      </c>
      <c r="D365" s="967" t="s">
        <v>723</v>
      </c>
      <c r="E365" s="857" t="e">
        <f>NC_DKDD!H256</f>
        <v>#VALUE!</v>
      </c>
      <c r="F365" s="857"/>
      <c r="G365" s="857"/>
      <c r="H365" s="857"/>
      <c r="I365" s="796"/>
      <c r="J365" s="796"/>
      <c r="K365" s="796"/>
      <c r="L365" s="854"/>
      <c r="M365" s="854"/>
      <c r="N365" s="854"/>
      <c r="O365" s="857">
        <f t="shared" si="66"/>
        <v>3074.0384615384614</v>
      </c>
      <c r="P365" s="954">
        <f t="shared" si="67"/>
        <v>2673.0769230769229</v>
      </c>
      <c r="Q365" s="954">
        <f t="shared" si="68"/>
        <v>400.96153846153845</v>
      </c>
      <c r="R365" s="970">
        <f>NC_DKDD!G256</f>
        <v>0.5</v>
      </c>
    </row>
    <row r="366" spans="1:18" s="828" customFormat="1" ht="57">
      <c r="A366" s="798">
        <v>10</v>
      </c>
      <c r="B366" s="799" t="s">
        <v>794</v>
      </c>
      <c r="C366" s="798" t="s">
        <v>532</v>
      </c>
      <c r="D366" s="967" t="s">
        <v>723</v>
      </c>
      <c r="E366" s="857" t="e">
        <f>NC_DKDD!H257</f>
        <v>#VALUE!</v>
      </c>
      <c r="F366" s="857"/>
      <c r="G366" s="857"/>
      <c r="H366" s="857"/>
      <c r="I366" s="796"/>
      <c r="J366" s="796"/>
      <c r="K366" s="796"/>
      <c r="L366" s="854"/>
      <c r="M366" s="854"/>
      <c r="N366" s="854"/>
      <c r="O366" s="857">
        <f t="shared" si="66"/>
        <v>1229.6153846153848</v>
      </c>
      <c r="P366" s="954">
        <f t="shared" si="67"/>
        <v>1069.2307692307693</v>
      </c>
      <c r="Q366" s="954">
        <f t="shared" si="68"/>
        <v>160.38461538461539</v>
      </c>
      <c r="R366" s="970">
        <f>NC_DKDD!G257</f>
        <v>0.2</v>
      </c>
    </row>
    <row r="367" spans="1:18" s="828" customFormat="1" ht="49.5" customHeight="1">
      <c r="A367" s="798">
        <v>11</v>
      </c>
      <c r="B367" s="799" t="s">
        <v>795</v>
      </c>
      <c r="C367" s="798" t="s">
        <v>532</v>
      </c>
      <c r="D367" s="967" t="s">
        <v>723</v>
      </c>
      <c r="E367" s="857" t="e">
        <f>NC_DKDD!H258</f>
        <v>#VALUE!</v>
      </c>
      <c r="F367" s="857"/>
      <c r="G367" s="857"/>
      <c r="H367" s="857"/>
      <c r="I367" s="796"/>
      <c r="J367" s="796"/>
      <c r="K367" s="796"/>
      <c r="L367" s="854"/>
      <c r="M367" s="854"/>
      <c r="N367" s="854"/>
      <c r="O367" s="857">
        <f t="shared" si="66"/>
        <v>1229.6153846153848</v>
      </c>
      <c r="P367" s="954">
        <f t="shared" si="67"/>
        <v>1069.2307692307693</v>
      </c>
      <c r="Q367" s="954">
        <f t="shared" si="68"/>
        <v>160.38461538461539</v>
      </c>
      <c r="R367" s="970">
        <f>NC_DKDD!G258</f>
        <v>0.2</v>
      </c>
    </row>
    <row r="368" spans="1:18" s="828" customFormat="1" ht="27.75" customHeight="1">
      <c r="A368" s="972" t="s">
        <v>755</v>
      </c>
      <c r="B368" s="973" t="s">
        <v>339</v>
      </c>
      <c r="C368" s="974"/>
      <c r="D368" s="975"/>
      <c r="E368" s="976" t="e">
        <f>E369</f>
        <v>#VALUE!</v>
      </c>
      <c r="F368" s="976"/>
      <c r="G368" s="976"/>
      <c r="H368" s="796"/>
      <c r="I368" s="796"/>
      <c r="J368" s="796"/>
      <c r="K368" s="796"/>
      <c r="L368" s="796" t="e">
        <f>SUM(E368:K368)</f>
        <v>#VALUE!</v>
      </c>
      <c r="M368" s="796" t="e">
        <f>L368*'He so chung'!$D$17/100</f>
        <v>#VALUE!</v>
      </c>
      <c r="N368" s="796" t="e">
        <f>L368+M368</f>
        <v>#VALUE!</v>
      </c>
      <c r="O368" s="976">
        <f>O369</f>
        <v>1229.6153846153848</v>
      </c>
      <c r="P368" s="954">
        <f>R368*$P$334</f>
        <v>1069.2307692307693</v>
      </c>
      <c r="Q368" s="954">
        <f>R368*$Q$334</f>
        <v>160.38461538461539</v>
      </c>
      <c r="R368" s="984">
        <f>R369</f>
        <v>0.2</v>
      </c>
    </row>
    <row r="369" spans="1:18" s="828" customFormat="1" ht="42.75" customHeight="1">
      <c r="A369" s="798">
        <v>1</v>
      </c>
      <c r="B369" s="799" t="s">
        <v>879</v>
      </c>
      <c r="C369" s="798" t="s">
        <v>532</v>
      </c>
      <c r="D369" s="978" t="s">
        <v>723</v>
      </c>
      <c r="E369" s="857" t="e">
        <f>NC_DKDD!H303</f>
        <v>#VALUE!</v>
      </c>
      <c r="F369" s="796"/>
      <c r="G369" s="796"/>
      <c r="H369" s="796"/>
      <c r="I369" s="796"/>
      <c r="J369" s="796"/>
      <c r="K369" s="796"/>
      <c r="L369" s="854"/>
      <c r="M369" s="854"/>
      <c r="N369" s="854"/>
      <c r="O369" s="857">
        <f t="shared" si="66"/>
        <v>1229.6153846153848</v>
      </c>
      <c r="P369" s="954">
        <f>R369*$P$334</f>
        <v>1069.2307692307693</v>
      </c>
      <c r="Q369" s="954">
        <f>R369*$Q$334</f>
        <v>160.38461538461539</v>
      </c>
      <c r="R369" s="970">
        <f>NC_DKDD!G303</f>
        <v>0.2</v>
      </c>
    </row>
    <row r="370" spans="1:18" ht="18.75" customHeight="1">
      <c r="A370" s="437"/>
      <c r="B370" s="948" t="s">
        <v>533</v>
      </c>
      <c r="C370" s="439"/>
      <c r="D370" s="437"/>
      <c r="E370" s="803"/>
      <c r="F370" s="803"/>
      <c r="G370" s="804"/>
      <c r="H370" s="803"/>
      <c r="I370" s="803"/>
      <c r="J370" s="805"/>
      <c r="K370" s="805"/>
      <c r="L370" s="805"/>
      <c r="M370" s="419"/>
      <c r="N370" s="419"/>
      <c r="O370" s="901"/>
      <c r="P370" s="420"/>
      <c r="Q370" s="420"/>
      <c r="R370" s="985"/>
    </row>
    <row r="371" spans="1:18" ht="18.75" customHeight="1">
      <c r="A371" s="455"/>
      <c r="B371" s="1073" t="s">
        <v>833</v>
      </c>
      <c r="C371" s="1073"/>
      <c r="D371" s="1073"/>
      <c r="E371" s="1073"/>
      <c r="F371" s="1073"/>
      <c r="G371" s="1073"/>
      <c r="H371" s="1073"/>
      <c r="I371" s="1073"/>
      <c r="J371" s="1073"/>
      <c r="K371" s="1073"/>
      <c r="L371" s="1073"/>
      <c r="M371" s="1073"/>
      <c r="N371" s="1073"/>
      <c r="O371" s="1073"/>
      <c r="P371" s="420"/>
      <c r="Q371" s="420"/>
    </row>
    <row r="372" spans="1:18" ht="31.5" customHeight="1">
      <c r="A372" s="455"/>
      <c r="B372" s="1069" t="s">
        <v>744</v>
      </c>
      <c r="C372" s="1069"/>
      <c r="D372" s="1069"/>
      <c r="E372" s="1069"/>
      <c r="F372" s="1069"/>
      <c r="G372" s="1069"/>
      <c r="H372" s="1069"/>
      <c r="I372" s="1069"/>
      <c r="J372" s="1069"/>
      <c r="K372" s="1069"/>
      <c r="L372" s="1069"/>
      <c r="M372" s="1069"/>
      <c r="N372" s="1069"/>
      <c r="O372" s="1069"/>
      <c r="P372" s="420"/>
      <c r="Q372" s="420"/>
    </row>
    <row r="373" spans="1:18" ht="35.25" customHeight="1">
      <c r="A373" s="455"/>
      <c r="B373" s="1072" t="s">
        <v>865</v>
      </c>
      <c r="C373" s="1072"/>
      <c r="D373" s="1072"/>
      <c r="E373" s="1072"/>
      <c r="F373" s="1072"/>
      <c r="G373" s="1072"/>
      <c r="H373" s="1072"/>
      <c r="I373" s="1072"/>
      <c r="J373" s="1072"/>
      <c r="K373" s="1072"/>
      <c r="L373" s="1072"/>
      <c r="M373" s="1072"/>
      <c r="N373" s="1072"/>
      <c r="O373" s="1072"/>
      <c r="P373" s="420"/>
      <c r="Q373" s="420"/>
    </row>
    <row r="374" spans="1:18" ht="33.75" customHeight="1">
      <c r="A374" s="455"/>
      <c r="B374" s="1072" t="s">
        <v>866</v>
      </c>
      <c r="C374" s="1072"/>
      <c r="D374" s="1072"/>
      <c r="E374" s="1072"/>
      <c r="F374" s="1072"/>
      <c r="G374" s="1072"/>
      <c r="H374" s="1072"/>
      <c r="I374" s="1072"/>
      <c r="J374" s="1072"/>
      <c r="K374" s="1072"/>
      <c r="L374" s="1072"/>
      <c r="M374" s="1072"/>
      <c r="N374" s="1072"/>
      <c r="O374" s="1072"/>
      <c r="P374" s="420"/>
      <c r="Q374" s="420"/>
    </row>
    <row r="375" spans="1:18" ht="33" customHeight="1">
      <c r="A375" s="1070" t="s">
        <v>693</v>
      </c>
      <c r="B375" s="1070"/>
      <c r="C375" s="1070"/>
      <c r="D375" s="1070"/>
      <c r="E375" s="1070"/>
      <c r="F375" s="1070"/>
      <c r="G375" s="1070"/>
      <c r="H375" s="1070"/>
      <c r="I375" s="1070"/>
      <c r="J375" s="1070"/>
      <c r="K375" s="1070"/>
      <c r="L375" s="1070"/>
      <c r="M375" s="1070"/>
      <c r="N375" s="1070"/>
      <c r="O375" s="1070"/>
      <c r="P375" s="420"/>
      <c r="Q375" s="420"/>
    </row>
    <row r="376" spans="1:18" ht="18.75" customHeight="1">
      <c r="A376" s="414"/>
      <c r="B376" s="926"/>
      <c r="C376" s="776"/>
      <c r="D376" s="777" t="s">
        <v>430</v>
      </c>
      <c r="E376" s="419"/>
      <c r="F376" s="778"/>
      <c r="G376" s="779"/>
      <c r="H376" s="778"/>
      <c r="I376" s="780"/>
      <c r="J376" s="778"/>
      <c r="K376" s="778"/>
      <c r="L376" s="781" t="s">
        <v>262</v>
      </c>
      <c r="M376" s="778"/>
      <c r="N376" s="780"/>
      <c r="O376" s="419"/>
      <c r="P376" s="420"/>
      <c r="Q376" s="420"/>
    </row>
    <row r="377" spans="1:18" s="421" customFormat="1" ht="7.5" customHeight="1">
      <c r="A377" s="414"/>
      <c r="B377" s="926"/>
      <c r="C377" s="776"/>
      <c r="D377" s="821"/>
      <c r="E377" s="419"/>
      <c r="F377" s="419"/>
      <c r="G377" s="822"/>
      <c r="H377" s="419"/>
      <c r="I377" s="419"/>
      <c r="J377" s="419"/>
      <c r="K377" s="419"/>
      <c r="L377" s="419"/>
      <c r="M377" s="419"/>
      <c r="N377" s="419"/>
      <c r="O377" s="419"/>
      <c r="P377" s="420"/>
      <c r="Q377" s="420"/>
      <c r="R377" s="420"/>
    </row>
    <row r="378" spans="1:18" s="833" customFormat="1" ht="30" customHeight="1">
      <c r="A378" s="1068" t="s">
        <v>718</v>
      </c>
      <c r="B378" s="1068" t="s">
        <v>198</v>
      </c>
      <c r="C378" s="1071" t="s">
        <v>263</v>
      </c>
      <c r="D378" s="1071" t="s">
        <v>264</v>
      </c>
      <c r="E378" s="1071" t="s">
        <v>683</v>
      </c>
      <c r="F378" s="1071"/>
      <c r="G378" s="1071"/>
      <c r="H378" s="1071"/>
      <c r="I378" s="1071"/>
      <c r="J378" s="1071"/>
      <c r="K378" s="1071"/>
      <c r="L378" s="1071"/>
      <c r="M378" s="1071" t="s">
        <v>435</v>
      </c>
      <c r="N378" s="1071" t="s">
        <v>684</v>
      </c>
      <c r="O378" s="1071" t="s">
        <v>685</v>
      </c>
      <c r="P378" s="830"/>
      <c r="Q378" s="830"/>
      <c r="R378" s="832"/>
    </row>
    <row r="379" spans="1:18" s="833" customFormat="1" ht="36" customHeight="1">
      <c r="A379" s="1068"/>
      <c r="B379" s="1068"/>
      <c r="C379" s="1071"/>
      <c r="D379" s="1071"/>
      <c r="E379" s="783" t="s">
        <v>686</v>
      </c>
      <c r="F379" s="783" t="s">
        <v>687</v>
      </c>
      <c r="G379" s="784" t="s">
        <v>285</v>
      </c>
      <c r="H379" s="783" t="s">
        <v>499</v>
      </c>
      <c r="I379" s="783" t="s">
        <v>688</v>
      </c>
      <c r="J379" s="783" t="s">
        <v>531</v>
      </c>
      <c r="K379" s="783" t="s">
        <v>689</v>
      </c>
      <c r="L379" s="783" t="s">
        <v>690</v>
      </c>
      <c r="M379" s="1071"/>
      <c r="N379" s="1071"/>
      <c r="O379" s="1071"/>
      <c r="P379" s="830"/>
      <c r="Q379" s="830"/>
      <c r="R379" s="832"/>
    </row>
    <row r="380" spans="1:18" s="833" customFormat="1" ht="69" customHeight="1">
      <c r="A380" s="785"/>
      <c r="B380" s="839" t="s">
        <v>697</v>
      </c>
      <c r="C380" s="783"/>
      <c r="D380" s="783"/>
      <c r="E380" s="783"/>
      <c r="F380" s="783"/>
      <c r="G380" s="784"/>
      <c r="H380" s="783"/>
      <c r="I380" s="783"/>
      <c r="J380" s="783"/>
      <c r="K380" s="783"/>
      <c r="L380" s="783"/>
      <c r="M380" s="783"/>
      <c r="N380" s="783"/>
      <c r="O380" s="783"/>
      <c r="P380" s="830"/>
      <c r="Q380" s="830"/>
      <c r="R380" s="832"/>
    </row>
    <row r="381" spans="1:18" s="833" customFormat="1" ht="26.45" customHeight="1">
      <c r="A381" s="785"/>
      <c r="B381" s="786" t="s">
        <v>668</v>
      </c>
      <c r="C381" s="783" t="s">
        <v>532</v>
      </c>
      <c r="D381" s="980" t="s">
        <v>723</v>
      </c>
      <c r="E381" s="788" t="e">
        <f>E385+E429</f>
        <v>#VALUE!</v>
      </c>
      <c r="F381" s="788">
        <f t="shared" ref="F381:O381" si="69">F385+F429</f>
        <v>0</v>
      </c>
      <c r="G381" s="788">
        <f t="shared" si="69"/>
        <v>0</v>
      </c>
      <c r="H381" s="788">
        <f t="shared" si="69"/>
        <v>8283.8763717948714</v>
      </c>
      <c r="I381" s="788">
        <f t="shared" si="69"/>
        <v>32414.58</v>
      </c>
      <c r="J381" s="788">
        <f t="shared" si="69"/>
        <v>4567.2199999999993</v>
      </c>
      <c r="K381" s="788">
        <f t="shared" si="69"/>
        <v>8957.2560000000012</v>
      </c>
      <c r="L381" s="788" t="e">
        <f t="shared" si="69"/>
        <v>#VALUE!</v>
      </c>
      <c r="M381" s="788" t="e">
        <f t="shared" si="69"/>
        <v>#VALUE!</v>
      </c>
      <c r="N381" s="788" t="e">
        <f t="shared" si="69"/>
        <v>#VALUE!</v>
      </c>
      <c r="O381" s="788">
        <f t="shared" si="69"/>
        <v>21069.459615384607</v>
      </c>
      <c r="P381" s="830"/>
      <c r="Q381" s="830"/>
      <c r="R381" s="832"/>
    </row>
    <row r="382" spans="1:18" s="833" customFormat="1" ht="26.45" customHeight="1">
      <c r="A382" s="785"/>
      <c r="B382" s="786" t="s">
        <v>669</v>
      </c>
      <c r="C382" s="783" t="s">
        <v>532</v>
      </c>
      <c r="D382" s="980" t="s">
        <v>723</v>
      </c>
      <c r="E382" s="788" t="e">
        <f>E386+E429</f>
        <v>#VALUE!</v>
      </c>
      <c r="F382" s="788">
        <f t="shared" ref="F382:O382" si="70">F386+F429</f>
        <v>0</v>
      </c>
      <c r="G382" s="788">
        <f t="shared" si="70"/>
        <v>0</v>
      </c>
      <c r="H382" s="788">
        <f t="shared" si="70"/>
        <v>8283.8763717948714</v>
      </c>
      <c r="I382" s="788">
        <f t="shared" si="70"/>
        <v>32414.58</v>
      </c>
      <c r="J382" s="788">
        <f t="shared" si="70"/>
        <v>4567.2199999999993</v>
      </c>
      <c r="K382" s="788">
        <f t="shared" si="70"/>
        <v>8957.2560000000012</v>
      </c>
      <c r="L382" s="788" t="e">
        <f t="shared" si="70"/>
        <v>#VALUE!</v>
      </c>
      <c r="M382" s="788" t="e">
        <f t="shared" si="70"/>
        <v>#VALUE!</v>
      </c>
      <c r="N382" s="788" t="e">
        <f t="shared" si="70"/>
        <v>#VALUE!</v>
      </c>
      <c r="O382" s="788">
        <f t="shared" si="70"/>
        <v>17688.017307692302</v>
      </c>
      <c r="P382" s="830"/>
      <c r="Q382" s="830"/>
      <c r="R382" s="832"/>
    </row>
    <row r="383" spans="1:18" s="833" customFormat="1" ht="16.5" customHeight="1">
      <c r="A383" s="785"/>
      <c r="B383" s="789"/>
      <c r="C383" s="783"/>
      <c r="D383" s="783"/>
      <c r="E383" s="783"/>
      <c r="F383" s="783"/>
      <c r="G383" s="784"/>
      <c r="H383" s="783"/>
      <c r="I383" s="783"/>
      <c r="J383" s="783"/>
      <c r="K383" s="783"/>
      <c r="L383" s="783"/>
      <c r="M383" s="783"/>
      <c r="N383" s="783"/>
      <c r="O383" s="783"/>
      <c r="P383" s="846">
        <f>'He so chung'!D$22</f>
        <v>5346.1538461538457</v>
      </c>
      <c r="Q383" s="846">
        <f>'He so chung'!D$23</f>
        <v>801.92307692307691</v>
      </c>
      <c r="R383" s="836"/>
    </row>
    <row r="384" spans="1:18" s="837" customFormat="1" ht="42" customHeight="1">
      <c r="A384" s="798" t="s">
        <v>1005</v>
      </c>
      <c r="B384" s="787" t="s">
        <v>582</v>
      </c>
      <c r="C384" s="798"/>
      <c r="D384" s="967"/>
      <c r="E384" s="796">
        <f>NC_DKDD!H259</f>
        <v>0</v>
      </c>
      <c r="F384" s="796"/>
      <c r="G384" s="796"/>
      <c r="H384" s="796"/>
      <c r="I384" s="796"/>
      <c r="J384" s="796"/>
      <c r="K384" s="796"/>
      <c r="L384" s="854"/>
      <c r="M384" s="854"/>
      <c r="N384" s="854"/>
      <c r="O384" s="857"/>
      <c r="P384" s="858">
        <f t="shared" ref="P384:P428" si="71">R384*$P$334</f>
        <v>0</v>
      </c>
      <c r="Q384" s="858">
        <f t="shared" ref="Q384:Q428" si="72">R384*$Q$334</f>
        <v>0</v>
      </c>
      <c r="R384" s="876">
        <f>NC_DKDD!G259</f>
        <v>0</v>
      </c>
    </row>
    <row r="385" spans="1:18" s="837" customFormat="1" ht="22.9" customHeight="1">
      <c r="A385" s="791" t="s">
        <v>703</v>
      </c>
      <c r="B385" s="787" t="s">
        <v>668</v>
      </c>
      <c r="C385" s="798"/>
      <c r="D385" s="952"/>
      <c r="E385" s="796" t="e">
        <f>E388+E390+E393+E395+E396+E397+E403+E406+E409+E411+E414+E416+E417+E418+E421+E422+E423+E424+E425+E427+E428</f>
        <v>#VALUE!</v>
      </c>
      <c r="F385" s="796">
        <f>F388+F390+F393+F395+F396+F397+F399+F403+F406+F409+F411+F414+F416+F417+F418+F421+F422+F423+F424+F425+F427+F428</f>
        <v>0</v>
      </c>
      <c r="G385" s="796"/>
      <c r="H385" s="796">
        <f>'Dcu-DKDD'!$J$122</f>
        <v>8283.8763717948714</v>
      </c>
      <c r="I385" s="796">
        <f>'VL-DKDD'!$H$125</f>
        <v>32414.58</v>
      </c>
      <c r="J385" s="796">
        <f>'TB-DKDD'!$K$67</f>
        <v>4567.2199999999993</v>
      </c>
      <c r="K385" s="796">
        <f>'NL-DKDD'!$H$47</f>
        <v>8957.2560000000012</v>
      </c>
      <c r="L385" s="796" t="e">
        <f>SUM(E385:K385)</f>
        <v>#VALUE!</v>
      </c>
      <c r="M385" s="796" t="e">
        <f>L385*'He so chung'!$D$17/100</f>
        <v>#VALUE!</v>
      </c>
      <c r="N385" s="796" t="e">
        <f>L385+M385</f>
        <v>#VALUE!</v>
      </c>
      <c r="O385" s="796">
        <f>O388+O390+O393+O395+O396+O397+O403+O406+O409+O411+O414+O416+O417+O418+O421+O422+O423+O424+O425+O427+O428</f>
        <v>19839.844230769224</v>
      </c>
      <c r="P385" s="858">
        <f t="shared" si="71"/>
        <v>17252.038461538461</v>
      </c>
      <c r="Q385" s="858">
        <f t="shared" si="72"/>
        <v>2587.8057692307689</v>
      </c>
      <c r="R385" s="852">
        <f>R388+R390+R393+R395+R396+R397+R403+R406+R409+R411+R414+R416+R417+R418+R421+R422+R423+R424+R425+R427+R428</f>
        <v>3.2269999999999999</v>
      </c>
    </row>
    <row r="386" spans="1:18" s="837" customFormat="1" ht="26.25" customHeight="1">
      <c r="A386" s="791" t="s">
        <v>1011</v>
      </c>
      <c r="B386" s="787" t="s">
        <v>669</v>
      </c>
      <c r="C386" s="798"/>
      <c r="D386" s="952"/>
      <c r="E386" s="796" t="e">
        <f>E388+E391+E394+E395+E396+E397+E402+E407+E410+E411+E414+E416+E417+E418+E421+E422+E423+E424+E425+E427+E428</f>
        <v>#VALUE!</v>
      </c>
      <c r="F386" s="796">
        <f>F389+F391+F394+F396+F397+F398+F400+F404+F407+F410+F412+F415+F417+F418+F419+F422+F423+F424+F425+F426+F428+F429</f>
        <v>0</v>
      </c>
      <c r="G386" s="796"/>
      <c r="H386" s="796">
        <f>'Dcu-DKDD'!$J$122</f>
        <v>8283.8763717948714</v>
      </c>
      <c r="I386" s="796">
        <f>'VL-DKDD'!$H$125</f>
        <v>32414.58</v>
      </c>
      <c r="J386" s="796">
        <f>'TB-DKDD'!$K$67</f>
        <v>4567.2199999999993</v>
      </c>
      <c r="K386" s="796">
        <f>'NL-DKDD'!$H$47</f>
        <v>8957.2560000000012</v>
      </c>
      <c r="L386" s="796" t="e">
        <f>SUM(E386:K386)</f>
        <v>#VALUE!</v>
      </c>
      <c r="M386" s="796" t="e">
        <f>L386*'He so chung'!$D$17/100</f>
        <v>#VALUE!</v>
      </c>
      <c r="N386" s="796" t="e">
        <f>L386+M386</f>
        <v>#VALUE!</v>
      </c>
      <c r="O386" s="796">
        <f>O388+O391+O394+O395+O396+O397+O402+O407+O410+O411+O414+O416+O417+O418+O421+O422+O423+O424+O425+O427+O428</f>
        <v>16458.401923076919</v>
      </c>
      <c r="P386" s="858">
        <f t="shared" si="71"/>
        <v>14311.653846153848</v>
      </c>
      <c r="Q386" s="858">
        <f t="shared" si="72"/>
        <v>2146.7480769230774</v>
      </c>
      <c r="R386" s="852">
        <f>R388+R391+R394+R395+R396+R397+R402+R407+R410+R411+R414+R416+R417+R418+R421+R422+R423+R424+R425+R427+R428</f>
        <v>2.6770000000000005</v>
      </c>
    </row>
    <row r="387" spans="1:18" s="837" customFormat="1" ht="31.5" customHeight="1">
      <c r="A387" s="798">
        <v>1</v>
      </c>
      <c r="B387" s="799" t="s">
        <v>796</v>
      </c>
      <c r="C387" s="798"/>
      <c r="D387" s="952"/>
      <c r="E387" s="857">
        <f>NC_DKDD!H260</f>
        <v>0</v>
      </c>
      <c r="F387" s="857"/>
      <c r="G387" s="796"/>
      <c r="H387" s="796"/>
      <c r="I387" s="796"/>
      <c r="J387" s="796"/>
      <c r="K387" s="796"/>
      <c r="L387" s="854"/>
      <c r="M387" s="854"/>
      <c r="N387" s="854"/>
      <c r="O387" s="857">
        <f t="shared" ref="O387:O428" si="73">P387+Q387</f>
        <v>0</v>
      </c>
      <c r="P387" s="858">
        <f t="shared" si="71"/>
        <v>0</v>
      </c>
      <c r="Q387" s="858">
        <f t="shared" si="72"/>
        <v>0</v>
      </c>
      <c r="R387" s="796">
        <f>NC_DKDD!G260</f>
        <v>0</v>
      </c>
    </row>
    <row r="388" spans="1:18" s="837" customFormat="1" ht="42.75">
      <c r="A388" s="798" t="s">
        <v>733</v>
      </c>
      <c r="B388" s="799" t="s">
        <v>797</v>
      </c>
      <c r="C388" s="798" t="s">
        <v>532</v>
      </c>
      <c r="D388" s="967" t="s">
        <v>723</v>
      </c>
      <c r="E388" s="857" t="e">
        <f>NC_DKDD!H261</f>
        <v>#VALUE!</v>
      </c>
      <c r="F388" s="857"/>
      <c r="G388" s="796"/>
      <c r="H388" s="796"/>
      <c r="I388" s="796"/>
      <c r="J388" s="796"/>
      <c r="K388" s="796"/>
      <c r="L388" s="854"/>
      <c r="M388" s="854"/>
      <c r="N388" s="854"/>
      <c r="O388" s="857">
        <f t="shared" si="73"/>
        <v>614.80769230769238</v>
      </c>
      <c r="P388" s="858">
        <f t="shared" si="71"/>
        <v>534.61538461538464</v>
      </c>
      <c r="Q388" s="858">
        <f t="shared" si="72"/>
        <v>80.192307692307693</v>
      </c>
      <c r="R388" s="796">
        <f>NC_DKDD!G261</f>
        <v>0.1</v>
      </c>
    </row>
    <row r="389" spans="1:18" s="837" customFormat="1" ht="36.75" customHeight="1">
      <c r="A389" s="798" t="s">
        <v>741</v>
      </c>
      <c r="B389" s="799" t="s">
        <v>798</v>
      </c>
      <c r="C389" s="798"/>
      <c r="D389" s="952"/>
      <c r="E389" s="857">
        <f>NC_DKDD!H262</f>
        <v>0</v>
      </c>
      <c r="F389" s="857"/>
      <c r="G389" s="796"/>
      <c r="H389" s="796"/>
      <c r="I389" s="796"/>
      <c r="J389" s="796"/>
      <c r="K389" s="796"/>
      <c r="L389" s="854"/>
      <c r="M389" s="854"/>
      <c r="N389" s="854"/>
      <c r="O389" s="857">
        <f t="shared" si="73"/>
        <v>0</v>
      </c>
      <c r="P389" s="858">
        <f t="shared" si="71"/>
        <v>0</v>
      </c>
      <c r="Q389" s="858">
        <f t="shared" si="72"/>
        <v>0</v>
      </c>
      <c r="R389" s="796">
        <f>NC_DKDD!G262</f>
        <v>0</v>
      </c>
    </row>
    <row r="390" spans="1:18" s="837" customFormat="1" ht="22.9" customHeight="1">
      <c r="A390" s="798" t="s">
        <v>799</v>
      </c>
      <c r="B390" s="799" t="s">
        <v>846</v>
      </c>
      <c r="C390" s="798" t="s">
        <v>532</v>
      </c>
      <c r="D390" s="967" t="s">
        <v>723</v>
      </c>
      <c r="E390" s="857" t="e">
        <f>NC_DKDD!H263</f>
        <v>#VALUE!</v>
      </c>
      <c r="F390" s="857"/>
      <c r="G390" s="796"/>
      <c r="H390" s="796"/>
      <c r="I390" s="796"/>
      <c r="J390" s="796"/>
      <c r="K390" s="796"/>
      <c r="L390" s="854"/>
      <c r="M390" s="854"/>
      <c r="N390" s="854"/>
      <c r="O390" s="857">
        <f t="shared" si="73"/>
        <v>3074.0384615384614</v>
      </c>
      <c r="P390" s="858">
        <f t="shared" si="71"/>
        <v>2673.0769230769229</v>
      </c>
      <c r="Q390" s="858">
        <f t="shared" si="72"/>
        <v>400.96153846153845</v>
      </c>
      <c r="R390" s="796">
        <f>NC_DKDD!G263</f>
        <v>0.5</v>
      </c>
    </row>
    <row r="391" spans="1:18" s="837" customFormat="1" ht="22.9" customHeight="1">
      <c r="A391" s="798" t="s">
        <v>800</v>
      </c>
      <c r="B391" s="799" t="s">
        <v>849</v>
      </c>
      <c r="C391" s="798" t="s">
        <v>532</v>
      </c>
      <c r="D391" s="967" t="s">
        <v>723</v>
      </c>
      <c r="E391" s="857" t="e">
        <f>NC_DKDD!H264</f>
        <v>#VALUE!</v>
      </c>
      <c r="F391" s="857"/>
      <c r="G391" s="796"/>
      <c r="H391" s="796"/>
      <c r="I391" s="796"/>
      <c r="J391" s="796"/>
      <c r="K391" s="796"/>
      <c r="L391" s="854"/>
      <c r="M391" s="854"/>
      <c r="N391" s="854"/>
      <c r="O391" s="857">
        <f t="shared" si="73"/>
        <v>1537.0192307692307</v>
      </c>
      <c r="P391" s="858">
        <f t="shared" si="71"/>
        <v>1336.5384615384614</v>
      </c>
      <c r="Q391" s="858">
        <f t="shared" si="72"/>
        <v>200.48076923076923</v>
      </c>
      <c r="R391" s="796">
        <f>NC_DKDD!G264</f>
        <v>0.25</v>
      </c>
    </row>
    <row r="392" spans="1:18" s="837" customFormat="1" ht="38.25" customHeight="1">
      <c r="A392" s="798">
        <v>2</v>
      </c>
      <c r="B392" s="799" t="s">
        <v>801</v>
      </c>
      <c r="C392" s="798"/>
      <c r="D392" s="952"/>
      <c r="E392" s="857">
        <f>NC_DKDD!H265</f>
        <v>0</v>
      </c>
      <c r="F392" s="857"/>
      <c r="G392" s="796"/>
      <c r="H392" s="796"/>
      <c r="I392" s="796"/>
      <c r="J392" s="796"/>
      <c r="K392" s="796"/>
      <c r="L392" s="854"/>
      <c r="M392" s="854"/>
      <c r="N392" s="854"/>
      <c r="O392" s="857">
        <f t="shared" si="73"/>
        <v>0</v>
      </c>
      <c r="P392" s="858">
        <f t="shared" si="71"/>
        <v>0</v>
      </c>
      <c r="Q392" s="858">
        <f t="shared" si="72"/>
        <v>0</v>
      </c>
      <c r="R392" s="796">
        <f>NC_DKDD!G265</f>
        <v>0</v>
      </c>
    </row>
    <row r="393" spans="1:18" s="837" customFormat="1" ht="22.9" customHeight="1">
      <c r="A393" s="798" t="s">
        <v>742</v>
      </c>
      <c r="B393" s="799" t="s">
        <v>846</v>
      </c>
      <c r="C393" s="798" t="s">
        <v>532</v>
      </c>
      <c r="D393" s="967" t="s">
        <v>723</v>
      </c>
      <c r="E393" s="857" t="e">
        <f>NC_DKDD!H266</f>
        <v>#VALUE!</v>
      </c>
      <c r="F393" s="857"/>
      <c r="G393" s="796"/>
      <c r="H393" s="796"/>
      <c r="I393" s="796"/>
      <c r="J393" s="796"/>
      <c r="K393" s="796"/>
      <c r="L393" s="854"/>
      <c r="M393" s="854"/>
      <c r="N393" s="854"/>
      <c r="O393" s="857">
        <f t="shared" si="73"/>
        <v>307.40384615384619</v>
      </c>
      <c r="P393" s="858">
        <f t="shared" si="71"/>
        <v>267.30769230769232</v>
      </c>
      <c r="Q393" s="858">
        <f t="shared" si="72"/>
        <v>40.096153846153847</v>
      </c>
      <c r="R393" s="796">
        <f>NC_DKDD!G266</f>
        <v>0.05</v>
      </c>
    </row>
    <row r="394" spans="1:18" s="837" customFormat="1" ht="22.9" customHeight="1">
      <c r="A394" s="798" t="s">
        <v>743</v>
      </c>
      <c r="B394" s="799" t="s">
        <v>849</v>
      </c>
      <c r="C394" s="798" t="s">
        <v>532</v>
      </c>
      <c r="D394" s="967" t="s">
        <v>723</v>
      </c>
      <c r="E394" s="857" t="e">
        <f>NC_DKDD!H267</f>
        <v>#VALUE!</v>
      </c>
      <c r="F394" s="857"/>
      <c r="G394" s="796"/>
      <c r="H394" s="796"/>
      <c r="I394" s="796"/>
      <c r="J394" s="796"/>
      <c r="K394" s="796"/>
      <c r="L394" s="854"/>
      <c r="M394" s="854"/>
      <c r="N394" s="854"/>
      <c r="O394" s="857">
        <f t="shared" si="73"/>
        <v>307.40384615384619</v>
      </c>
      <c r="P394" s="858">
        <f t="shared" si="71"/>
        <v>267.30769230769232</v>
      </c>
      <c r="Q394" s="858">
        <f t="shared" si="72"/>
        <v>40.096153846153847</v>
      </c>
      <c r="R394" s="796">
        <f>NC_DKDD!G267</f>
        <v>0.05</v>
      </c>
    </row>
    <row r="395" spans="1:18" s="837" customFormat="1" ht="34.5" customHeight="1">
      <c r="A395" s="798">
        <v>3</v>
      </c>
      <c r="B395" s="799" t="s">
        <v>584</v>
      </c>
      <c r="C395" s="798" t="s">
        <v>532</v>
      </c>
      <c r="D395" s="967" t="s">
        <v>723</v>
      </c>
      <c r="E395" s="857" t="e">
        <f>NC_DKDD!H268</f>
        <v>#VALUE!</v>
      </c>
      <c r="F395" s="857"/>
      <c r="G395" s="796"/>
      <c r="H395" s="796"/>
      <c r="I395" s="796"/>
      <c r="J395" s="796"/>
      <c r="K395" s="796"/>
      <c r="L395" s="854"/>
      <c r="M395" s="854"/>
      <c r="N395" s="854"/>
      <c r="O395" s="857">
        <f t="shared" si="73"/>
        <v>2459.2307692307695</v>
      </c>
      <c r="P395" s="858">
        <f t="shared" si="71"/>
        <v>2138.4615384615386</v>
      </c>
      <c r="Q395" s="858">
        <f t="shared" si="72"/>
        <v>320.76923076923077</v>
      </c>
      <c r="R395" s="796">
        <f>NC_DKDD!G268</f>
        <v>0.4</v>
      </c>
    </row>
    <row r="396" spans="1:18" s="837" customFormat="1" ht="30.75" customHeight="1">
      <c r="A396" s="798">
        <v>4</v>
      </c>
      <c r="B396" s="799" t="s">
        <v>585</v>
      </c>
      <c r="C396" s="798" t="s">
        <v>532</v>
      </c>
      <c r="D396" s="967" t="s">
        <v>723</v>
      </c>
      <c r="E396" s="857" t="e">
        <f>NC_DKDD!H269</f>
        <v>#VALUE!</v>
      </c>
      <c r="F396" s="857"/>
      <c r="G396" s="796"/>
      <c r="H396" s="796"/>
      <c r="I396" s="796"/>
      <c r="J396" s="796"/>
      <c r="K396" s="796"/>
      <c r="L396" s="854"/>
      <c r="M396" s="854"/>
      <c r="N396" s="854"/>
      <c r="O396" s="857">
        <f t="shared" si="73"/>
        <v>3074.0384615384614</v>
      </c>
      <c r="P396" s="858">
        <f t="shared" si="71"/>
        <v>2673.0769230769229</v>
      </c>
      <c r="Q396" s="858">
        <f t="shared" si="72"/>
        <v>400.96153846153845</v>
      </c>
      <c r="R396" s="796">
        <f>NC_DKDD!G269</f>
        <v>0.5</v>
      </c>
    </row>
    <row r="397" spans="1:18" s="837" customFormat="1" ht="37.5" customHeight="1">
      <c r="A397" s="798">
        <v>5</v>
      </c>
      <c r="B397" s="799" t="s">
        <v>2</v>
      </c>
      <c r="C397" s="798" t="s">
        <v>375</v>
      </c>
      <c r="D397" s="967" t="s">
        <v>723</v>
      </c>
      <c r="E397" s="857" t="e">
        <f>NC_DKDD!H270</f>
        <v>#VALUE!</v>
      </c>
      <c r="F397" s="857"/>
      <c r="G397" s="796"/>
      <c r="H397" s="796"/>
      <c r="I397" s="796"/>
      <c r="J397" s="796"/>
      <c r="K397" s="796"/>
      <c r="L397" s="854"/>
      <c r="M397" s="854"/>
      <c r="N397" s="854"/>
      <c r="O397" s="857">
        <f t="shared" si="73"/>
        <v>36.888461538461534</v>
      </c>
      <c r="P397" s="858">
        <f t="shared" si="71"/>
        <v>32.076923076923073</v>
      </c>
      <c r="Q397" s="858">
        <f t="shared" si="72"/>
        <v>4.8115384615384613</v>
      </c>
      <c r="R397" s="796">
        <f>NC_DKDD!G270</f>
        <v>6.0000000000000001E-3</v>
      </c>
    </row>
    <row r="398" spans="1:18" s="837" customFormat="1" ht="57">
      <c r="A398" s="798">
        <v>6</v>
      </c>
      <c r="B398" s="799" t="s">
        <v>802</v>
      </c>
      <c r="C398" s="798"/>
      <c r="D398" s="952"/>
      <c r="E398" s="857">
        <f>NC_DKDD!H271</f>
        <v>0</v>
      </c>
      <c r="F398" s="857"/>
      <c r="G398" s="796"/>
      <c r="H398" s="796"/>
      <c r="I398" s="796"/>
      <c r="J398" s="796"/>
      <c r="K398" s="796"/>
      <c r="L398" s="854"/>
      <c r="M398" s="854"/>
      <c r="N398" s="854"/>
      <c r="O398" s="857">
        <f t="shared" si="73"/>
        <v>0</v>
      </c>
      <c r="P398" s="858">
        <f t="shared" si="71"/>
        <v>0</v>
      </c>
      <c r="Q398" s="858">
        <f t="shared" si="72"/>
        <v>0</v>
      </c>
      <c r="R398" s="796">
        <f>NC_DKDD!G271</f>
        <v>0</v>
      </c>
    </row>
    <row r="399" spans="1:18" s="837" customFormat="1" ht="22.5" customHeight="1">
      <c r="A399" s="798" t="s">
        <v>661</v>
      </c>
      <c r="B399" s="799" t="s">
        <v>587</v>
      </c>
      <c r="C399" s="798" t="s">
        <v>375</v>
      </c>
      <c r="D399" s="967" t="s">
        <v>723</v>
      </c>
      <c r="E399" s="857" t="e">
        <f>NC_DKDD!H272</f>
        <v>#VALUE!</v>
      </c>
      <c r="F399" s="857"/>
      <c r="G399" s="796"/>
      <c r="H399" s="796"/>
      <c r="I399" s="796"/>
      <c r="J399" s="796"/>
      <c r="K399" s="796"/>
      <c r="L399" s="854"/>
      <c r="M399" s="854"/>
      <c r="N399" s="854"/>
      <c r="O399" s="857">
        <f t="shared" si="73"/>
        <v>0</v>
      </c>
      <c r="P399" s="858">
        <f t="shared" si="71"/>
        <v>0</v>
      </c>
      <c r="Q399" s="858">
        <f t="shared" si="72"/>
        <v>0</v>
      </c>
      <c r="R399" s="796">
        <f>NC_DKDD!G272</f>
        <v>0</v>
      </c>
    </row>
    <row r="400" spans="1:18" s="837" customFormat="1" ht="22.5" customHeight="1">
      <c r="A400" s="798" t="s">
        <v>662</v>
      </c>
      <c r="B400" s="799" t="s">
        <v>588</v>
      </c>
      <c r="C400" s="798" t="s">
        <v>375</v>
      </c>
      <c r="D400" s="967" t="s">
        <v>723</v>
      </c>
      <c r="E400" s="857" t="e">
        <f>NC_DKDD!H273</f>
        <v>#VALUE!</v>
      </c>
      <c r="F400" s="857"/>
      <c r="G400" s="796"/>
      <c r="H400" s="796"/>
      <c r="I400" s="796"/>
      <c r="J400" s="796"/>
      <c r="K400" s="796"/>
      <c r="L400" s="854"/>
      <c r="M400" s="854"/>
      <c r="N400" s="854"/>
      <c r="O400" s="857">
        <f t="shared" si="73"/>
        <v>0</v>
      </c>
      <c r="P400" s="858">
        <f t="shared" si="71"/>
        <v>0</v>
      </c>
      <c r="Q400" s="858">
        <f t="shared" si="72"/>
        <v>0</v>
      </c>
      <c r="R400" s="796">
        <f>NC_DKDD!G273</f>
        <v>0</v>
      </c>
    </row>
    <row r="401" spans="1:18" s="837" customFormat="1" ht="42.75">
      <c r="A401" s="798">
        <v>7</v>
      </c>
      <c r="B401" s="799" t="s">
        <v>589</v>
      </c>
      <c r="C401" s="798"/>
      <c r="D401" s="952"/>
      <c r="E401" s="857">
        <f>NC_DKDD!H274</f>
        <v>0</v>
      </c>
      <c r="F401" s="857"/>
      <c r="G401" s="796"/>
      <c r="H401" s="796"/>
      <c r="I401" s="796"/>
      <c r="J401" s="796"/>
      <c r="K401" s="796"/>
      <c r="L401" s="854"/>
      <c r="M401" s="854"/>
      <c r="N401" s="854"/>
      <c r="O401" s="857">
        <f t="shared" si="73"/>
        <v>0</v>
      </c>
      <c r="P401" s="858">
        <f t="shared" si="71"/>
        <v>0</v>
      </c>
      <c r="Q401" s="858">
        <f t="shared" si="72"/>
        <v>0</v>
      </c>
      <c r="R401" s="796">
        <f>NC_DKDD!G274</f>
        <v>0</v>
      </c>
    </row>
    <row r="402" spans="1:18" s="837" customFormat="1" ht="22.9" customHeight="1">
      <c r="A402" s="798" t="s">
        <v>714</v>
      </c>
      <c r="B402" s="799" t="s">
        <v>590</v>
      </c>
      <c r="C402" s="798" t="s">
        <v>532</v>
      </c>
      <c r="D402" s="967" t="s">
        <v>723</v>
      </c>
      <c r="E402" s="857" t="e">
        <f>NC_DKDD!H275</f>
        <v>#VALUE!</v>
      </c>
      <c r="F402" s="857"/>
      <c r="G402" s="796"/>
      <c r="H402" s="796"/>
      <c r="I402" s="796"/>
      <c r="J402" s="796"/>
      <c r="K402" s="796"/>
      <c r="L402" s="854"/>
      <c r="M402" s="854"/>
      <c r="N402" s="854"/>
      <c r="O402" s="857">
        <f t="shared" si="73"/>
        <v>614.80769230769238</v>
      </c>
      <c r="P402" s="858">
        <f t="shared" si="71"/>
        <v>534.61538461538464</v>
      </c>
      <c r="Q402" s="858">
        <f t="shared" si="72"/>
        <v>80.192307692307693</v>
      </c>
      <c r="R402" s="796">
        <f>NC_DKDD!G275</f>
        <v>0.1</v>
      </c>
    </row>
    <row r="403" spans="1:18" s="837" customFormat="1" ht="22.9" customHeight="1">
      <c r="A403" s="798" t="s">
        <v>715</v>
      </c>
      <c r="B403" s="799" t="s">
        <v>591</v>
      </c>
      <c r="C403" s="798" t="s">
        <v>532</v>
      </c>
      <c r="D403" s="967" t="s">
        <v>723</v>
      </c>
      <c r="E403" s="857" t="e">
        <f>NC_DKDD!H276</f>
        <v>#VALUE!</v>
      </c>
      <c r="F403" s="857"/>
      <c r="G403" s="796"/>
      <c r="H403" s="796"/>
      <c r="I403" s="796"/>
      <c r="J403" s="796"/>
      <c r="K403" s="796"/>
      <c r="L403" s="854"/>
      <c r="M403" s="854"/>
      <c r="N403" s="854"/>
      <c r="O403" s="857">
        <f t="shared" si="73"/>
        <v>1229.6153846153848</v>
      </c>
      <c r="P403" s="858">
        <f t="shared" si="71"/>
        <v>1069.2307692307693</v>
      </c>
      <c r="Q403" s="858">
        <f t="shared" si="72"/>
        <v>160.38461538461539</v>
      </c>
      <c r="R403" s="796">
        <f>NC_DKDD!G276</f>
        <v>0.2</v>
      </c>
    </row>
    <row r="404" spans="1:18" s="837" customFormat="1" ht="22.9" customHeight="1">
      <c r="A404" s="798">
        <v>8</v>
      </c>
      <c r="B404" s="799" t="s">
        <v>803</v>
      </c>
      <c r="C404" s="798"/>
      <c r="D404" s="982"/>
      <c r="E404" s="857">
        <f>NC_DKDD!H277</f>
        <v>0</v>
      </c>
      <c r="F404" s="857"/>
      <c r="G404" s="796"/>
      <c r="H404" s="796"/>
      <c r="I404" s="796"/>
      <c r="J404" s="796"/>
      <c r="K404" s="796"/>
      <c r="L404" s="854"/>
      <c r="M404" s="854"/>
      <c r="N404" s="854"/>
      <c r="O404" s="857">
        <f t="shared" si="73"/>
        <v>0</v>
      </c>
      <c r="P404" s="858">
        <f t="shared" si="71"/>
        <v>0</v>
      </c>
      <c r="Q404" s="858">
        <f t="shared" si="72"/>
        <v>0</v>
      </c>
      <c r="R404" s="796">
        <f>NC_DKDD!G277</f>
        <v>0</v>
      </c>
    </row>
    <row r="405" spans="1:18" s="837" customFormat="1" ht="57">
      <c r="A405" s="798" t="s">
        <v>191</v>
      </c>
      <c r="B405" s="799" t="s">
        <v>804</v>
      </c>
      <c r="C405" s="798"/>
      <c r="D405" s="982"/>
      <c r="E405" s="857">
        <f>NC_DKDD!H278</f>
        <v>0</v>
      </c>
      <c r="F405" s="857"/>
      <c r="G405" s="796"/>
      <c r="H405" s="796"/>
      <c r="I405" s="796"/>
      <c r="J405" s="796"/>
      <c r="K405" s="796"/>
      <c r="L405" s="854"/>
      <c r="M405" s="854"/>
      <c r="N405" s="854"/>
      <c r="O405" s="857">
        <f t="shared" si="73"/>
        <v>0</v>
      </c>
      <c r="P405" s="858">
        <f t="shared" si="71"/>
        <v>0</v>
      </c>
      <c r="Q405" s="858">
        <f t="shared" si="72"/>
        <v>0</v>
      </c>
      <c r="R405" s="796">
        <f>NC_DKDD!G278</f>
        <v>0</v>
      </c>
    </row>
    <row r="406" spans="1:18" s="837" customFormat="1" ht="22.9" customHeight="1">
      <c r="A406" s="798" t="s">
        <v>805</v>
      </c>
      <c r="B406" s="799" t="s">
        <v>846</v>
      </c>
      <c r="C406" s="798" t="s">
        <v>532</v>
      </c>
      <c r="D406" s="978" t="s">
        <v>723</v>
      </c>
      <c r="E406" s="857" t="e">
        <f>NC_DKDD!H279</f>
        <v>#VALUE!</v>
      </c>
      <c r="F406" s="857"/>
      <c r="G406" s="796"/>
      <c r="H406" s="796"/>
      <c r="I406" s="796"/>
      <c r="J406" s="796"/>
      <c r="K406" s="796"/>
      <c r="L406" s="854"/>
      <c r="M406" s="854"/>
      <c r="N406" s="854"/>
      <c r="O406" s="857">
        <f t="shared" si="73"/>
        <v>1229.6153846153848</v>
      </c>
      <c r="P406" s="858">
        <f t="shared" si="71"/>
        <v>1069.2307692307693</v>
      </c>
      <c r="Q406" s="858">
        <f t="shared" si="72"/>
        <v>160.38461538461539</v>
      </c>
      <c r="R406" s="796">
        <f>NC_DKDD!G279</f>
        <v>0.2</v>
      </c>
    </row>
    <row r="407" spans="1:18" s="837" customFormat="1" ht="22.9" customHeight="1">
      <c r="A407" s="798" t="s">
        <v>806</v>
      </c>
      <c r="B407" s="799" t="s">
        <v>849</v>
      </c>
      <c r="C407" s="798" t="s">
        <v>532</v>
      </c>
      <c r="D407" s="978" t="s">
        <v>723</v>
      </c>
      <c r="E407" s="857" t="e">
        <f>NC_DKDD!H280</f>
        <v>#VALUE!</v>
      </c>
      <c r="F407" s="857"/>
      <c r="G407" s="796"/>
      <c r="H407" s="796"/>
      <c r="I407" s="796"/>
      <c r="J407" s="796"/>
      <c r="K407" s="796"/>
      <c r="L407" s="854"/>
      <c r="M407" s="854"/>
      <c r="N407" s="854"/>
      <c r="O407" s="857">
        <f t="shared" si="73"/>
        <v>614.80769230769238</v>
      </c>
      <c r="P407" s="858">
        <f t="shared" si="71"/>
        <v>534.61538461538464</v>
      </c>
      <c r="Q407" s="858">
        <f t="shared" si="72"/>
        <v>80.192307692307693</v>
      </c>
      <c r="R407" s="796">
        <f>NC_DKDD!G280</f>
        <v>0.1</v>
      </c>
    </row>
    <row r="408" spans="1:18" s="837" customFormat="1" ht="57">
      <c r="A408" s="798" t="s">
        <v>192</v>
      </c>
      <c r="B408" s="799" t="s">
        <v>867</v>
      </c>
      <c r="C408" s="798"/>
      <c r="D408" s="798"/>
      <c r="E408" s="857">
        <f>NC_DKDD!H281</f>
        <v>0</v>
      </c>
      <c r="F408" s="857"/>
      <c r="G408" s="796"/>
      <c r="H408" s="796"/>
      <c r="I408" s="796"/>
      <c r="J408" s="796"/>
      <c r="K408" s="796"/>
      <c r="L408" s="854"/>
      <c r="M408" s="854"/>
      <c r="N408" s="854"/>
      <c r="O408" s="857">
        <f t="shared" si="73"/>
        <v>0</v>
      </c>
      <c r="P408" s="858">
        <f t="shared" si="71"/>
        <v>0</v>
      </c>
      <c r="Q408" s="858">
        <f t="shared" si="72"/>
        <v>0</v>
      </c>
      <c r="R408" s="796">
        <f>NC_DKDD!G281</f>
        <v>0</v>
      </c>
    </row>
    <row r="409" spans="1:18" s="837" customFormat="1" ht="22.5" customHeight="1">
      <c r="A409" s="798" t="s">
        <v>659</v>
      </c>
      <c r="B409" s="799" t="s">
        <v>846</v>
      </c>
      <c r="C409" s="798" t="s">
        <v>532</v>
      </c>
      <c r="D409" s="978" t="s">
        <v>723</v>
      </c>
      <c r="E409" s="857" t="e">
        <f>NC_DKDD!H282</f>
        <v>#VALUE!</v>
      </c>
      <c r="F409" s="857"/>
      <c r="G409" s="796"/>
      <c r="H409" s="796"/>
      <c r="I409" s="796"/>
      <c r="J409" s="796"/>
      <c r="K409" s="796"/>
      <c r="L409" s="854"/>
      <c r="M409" s="854"/>
      <c r="N409" s="854"/>
      <c r="O409" s="857">
        <f t="shared" si="73"/>
        <v>1229.6153846153848</v>
      </c>
      <c r="P409" s="858">
        <f t="shared" si="71"/>
        <v>1069.2307692307693</v>
      </c>
      <c r="Q409" s="858">
        <f t="shared" si="72"/>
        <v>160.38461538461539</v>
      </c>
      <c r="R409" s="796">
        <f>NC_DKDD!G282</f>
        <v>0.2</v>
      </c>
    </row>
    <row r="410" spans="1:18" s="837" customFormat="1" ht="22.9" customHeight="1">
      <c r="A410" s="798" t="s">
        <v>660</v>
      </c>
      <c r="B410" s="799" t="s">
        <v>849</v>
      </c>
      <c r="C410" s="798" t="s">
        <v>532</v>
      </c>
      <c r="D410" s="978" t="s">
        <v>723</v>
      </c>
      <c r="E410" s="857" t="e">
        <f>NC_DKDD!H283</f>
        <v>#VALUE!</v>
      </c>
      <c r="F410" s="857"/>
      <c r="G410" s="796"/>
      <c r="H410" s="796"/>
      <c r="I410" s="796"/>
      <c r="J410" s="796"/>
      <c r="K410" s="796"/>
      <c r="L410" s="854"/>
      <c r="M410" s="854"/>
      <c r="N410" s="854"/>
      <c r="O410" s="857">
        <f t="shared" si="73"/>
        <v>614.80769230769238</v>
      </c>
      <c r="P410" s="858">
        <f t="shared" si="71"/>
        <v>534.61538461538464</v>
      </c>
      <c r="Q410" s="858">
        <f t="shared" si="72"/>
        <v>80.192307692307693</v>
      </c>
      <c r="R410" s="796">
        <f>NC_DKDD!G283</f>
        <v>0.1</v>
      </c>
    </row>
    <row r="411" spans="1:18" s="837" customFormat="1" ht="31.5" customHeight="1">
      <c r="A411" s="798">
        <v>9</v>
      </c>
      <c r="B411" s="799" t="s">
        <v>78</v>
      </c>
      <c r="C411" s="798" t="s">
        <v>375</v>
      </c>
      <c r="D411" s="978" t="s">
        <v>723</v>
      </c>
      <c r="E411" s="857" t="e">
        <f>NC_DKDD!H284</f>
        <v>#VALUE!</v>
      </c>
      <c r="F411" s="857"/>
      <c r="G411" s="796"/>
      <c r="H411" s="796"/>
      <c r="I411" s="796"/>
      <c r="J411" s="796"/>
      <c r="K411" s="796"/>
      <c r="L411" s="854"/>
      <c r="M411" s="854"/>
      <c r="N411" s="854"/>
      <c r="O411" s="857">
        <f t="shared" si="73"/>
        <v>184.44230769230768</v>
      </c>
      <c r="P411" s="858">
        <f t="shared" si="71"/>
        <v>160.38461538461536</v>
      </c>
      <c r="Q411" s="858">
        <f t="shared" si="72"/>
        <v>24.057692307692307</v>
      </c>
      <c r="R411" s="796">
        <f>NC_DKDD!G284</f>
        <v>0.03</v>
      </c>
    </row>
    <row r="412" spans="1:18" s="837" customFormat="1" ht="22.5" customHeight="1">
      <c r="A412" s="798">
        <v>10</v>
      </c>
      <c r="B412" s="799" t="s">
        <v>260</v>
      </c>
      <c r="C412" s="798" t="s">
        <v>376</v>
      </c>
      <c r="D412" s="978" t="s">
        <v>723</v>
      </c>
      <c r="E412" s="857" t="e">
        <f>NC_DKDD!H285</f>
        <v>#VALUE!</v>
      </c>
      <c r="F412" s="857"/>
      <c r="G412" s="796"/>
      <c r="H412" s="796"/>
      <c r="I412" s="796"/>
      <c r="J412" s="796"/>
      <c r="K412" s="796"/>
      <c r="L412" s="854"/>
      <c r="M412" s="854"/>
      <c r="N412" s="854"/>
      <c r="O412" s="857">
        <f t="shared" si="73"/>
        <v>0</v>
      </c>
      <c r="P412" s="858">
        <f t="shared" si="71"/>
        <v>0</v>
      </c>
      <c r="Q412" s="858">
        <f t="shared" si="72"/>
        <v>0</v>
      </c>
      <c r="R412" s="796">
        <f>NC_DKDD!G285</f>
        <v>0</v>
      </c>
    </row>
    <row r="413" spans="1:18" s="837" customFormat="1" ht="25.5" customHeight="1">
      <c r="A413" s="798">
        <v>11</v>
      </c>
      <c r="B413" s="799" t="s">
        <v>80</v>
      </c>
      <c r="C413" s="798"/>
      <c r="D413" s="798"/>
      <c r="E413" s="857">
        <f>NC_DKDD!H286</f>
        <v>0</v>
      </c>
      <c r="F413" s="857"/>
      <c r="G413" s="796"/>
      <c r="H413" s="796"/>
      <c r="I413" s="796"/>
      <c r="J413" s="796"/>
      <c r="K413" s="796"/>
      <c r="L413" s="854"/>
      <c r="M413" s="854"/>
      <c r="N413" s="854"/>
      <c r="O413" s="857">
        <f t="shared" si="73"/>
        <v>0</v>
      </c>
      <c r="P413" s="858">
        <f t="shared" si="71"/>
        <v>0</v>
      </c>
      <c r="Q413" s="858">
        <f t="shared" si="72"/>
        <v>0</v>
      </c>
      <c r="R413" s="796">
        <f>NC_DKDD!G286</f>
        <v>0</v>
      </c>
    </row>
    <row r="414" spans="1:18" s="837" customFormat="1" ht="25.5" customHeight="1">
      <c r="A414" s="798" t="s">
        <v>719</v>
      </c>
      <c r="B414" s="799" t="s">
        <v>82</v>
      </c>
      <c r="C414" s="798" t="s">
        <v>559</v>
      </c>
      <c r="D414" s="978" t="s">
        <v>723</v>
      </c>
      <c r="E414" s="857" t="e">
        <f>NC_DKDD!H287</f>
        <v>#VALUE!</v>
      </c>
      <c r="F414" s="857"/>
      <c r="G414" s="796"/>
      <c r="H414" s="796"/>
      <c r="I414" s="796"/>
      <c r="J414" s="796"/>
      <c r="K414" s="796"/>
      <c r="L414" s="854"/>
      <c r="M414" s="854"/>
      <c r="N414" s="854"/>
      <c r="O414" s="857">
        <f t="shared" si="73"/>
        <v>614.80769230769238</v>
      </c>
      <c r="P414" s="858">
        <f t="shared" si="71"/>
        <v>534.61538461538464</v>
      </c>
      <c r="Q414" s="858">
        <f t="shared" si="72"/>
        <v>80.192307692307693</v>
      </c>
      <c r="R414" s="796">
        <f>NC_DKDD!G287</f>
        <v>0.1</v>
      </c>
    </row>
    <row r="415" spans="1:18" s="837" customFormat="1" ht="25.5" customHeight="1">
      <c r="A415" s="798" t="s">
        <v>720</v>
      </c>
      <c r="B415" s="799" t="s">
        <v>84</v>
      </c>
      <c r="C415" s="798" t="s">
        <v>559</v>
      </c>
      <c r="D415" s="978" t="s">
        <v>723</v>
      </c>
      <c r="E415" s="857" t="e">
        <f>NC_DKDD!H288</f>
        <v>#VALUE!</v>
      </c>
      <c r="F415" s="857"/>
      <c r="G415" s="796"/>
      <c r="H415" s="796"/>
      <c r="I415" s="796"/>
      <c r="J415" s="796"/>
      <c r="K415" s="796"/>
      <c r="L415" s="854"/>
      <c r="M415" s="854"/>
      <c r="N415" s="854"/>
      <c r="O415" s="857">
        <f t="shared" si="73"/>
        <v>1229.6153846153848</v>
      </c>
      <c r="P415" s="858">
        <f t="shared" si="71"/>
        <v>1069.2307692307693</v>
      </c>
      <c r="Q415" s="858">
        <f t="shared" si="72"/>
        <v>160.38461538461539</v>
      </c>
      <c r="R415" s="796">
        <f>NC_DKDD!G288</f>
        <v>0.2</v>
      </c>
    </row>
    <row r="416" spans="1:18" s="837" customFormat="1" ht="46.5" customHeight="1">
      <c r="A416" s="798">
        <v>12</v>
      </c>
      <c r="B416" s="799" t="s">
        <v>85</v>
      </c>
      <c r="C416" s="798" t="s">
        <v>532</v>
      </c>
      <c r="D416" s="978" t="s">
        <v>723</v>
      </c>
      <c r="E416" s="857" t="e">
        <f>NC_DKDD!H289</f>
        <v>#VALUE!</v>
      </c>
      <c r="F416" s="857"/>
      <c r="G416" s="796"/>
      <c r="H416" s="796"/>
      <c r="I416" s="796"/>
      <c r="J416" s="796"/>
      <c r="K416" s="796"/>
      <c r="L416" s="854"/>
      <c r="M416" s="854"/>
      <c r="N416" s="854"/>
      <c r="O416" s="857">
        <f t="shared" si="73"/>
        <v>1844.4230769230767</v>
      </c>
      <c r="P416" s="858">
        <f t="shared" si="71"/>
        <v>1603.8461538461536</v>
      </c>
      <c r="Q416" s="858">
        <f t="shared" si="72"/>
        <v>240.57692307692307</v>
      </c>
      <c r="R416" s="796">
        <f>NC_DKDD!G289</f>
        <v>0.3</v>
      </c>
    </row>
    <row r="417" spans="1:18" s="837" customFormat="1" ht="33" customHeight="1">
      <c r="A417" s="798">
        <v>13</v>
      </c>
      <c r="B417" s="799" t="s">
        <v>868</v>
      </c>
      <c r="C417" s="798" t="s">
        <v>532</v>
      </c>
      <c r="D417" s="978" t="s">
        <v>723</v>
      </c>
      <c r="E417" s="857" t="e">
        <f>NC_DKDD!H290</f>
        <v>#VALUE!</v>
      </c>
      <c r="F417" s="857"/>
      <c r="G417" s="796"/>
      <c r="H417" s="796"/>
      <c r="I417" s="796"/>
      <c r="J417" s="796"/>
      <c r="K417" s="796"/>
      <c r="L417" s="854"/>
      <c r="M417" s="854"/>
      <c r="N417" s="854"/>
      <c r="O417" s="857">
        <f t="shared" si="73"/>
        <v>1045.1730769230769</v>
      </c>
      <c r="P417" s="858">
        <f t="shared" si="71"/>
        <v>908.84615384615381</v>
      </c>
      <c r="Q417" s="858">
        <f t="shared" si="72"/>
        <v>136.32692307692309</v>
      </c>
      <c r="R417" s="796">
        <f>NC_DKDD!G290</f>
        <v>0.17</v>
      </c>
    </row>
    <row r="418" spans="1:18" s="837" customFormat="1" ht="22.9" customHeight="1">
      <c r="A418" s="798">
        <v>14</v>
      </c>
      <c r="B418" s="799" t="s">
        <v>87</v>
      </c>
      <c r="C418" s="798" t="s">
        <v>375</v>
      </c>
      <c r="D418" s="978" t="s">
        <v>723</v>
      </c>
      <c r="E418" s="857" t="e">
        <f>NC_DKDD!H291</f>
        <v>#VALUE!</v>
      </c>
      <c r="F418" s="857"/>
      <c r="G418" s="796"/>
      <c r="H418" s="796"/>
      <c r="I418" s="796"/>
      <c r="J418" s="796"/>
      <c r="K418" s="796"/>
      <c r="L418" s="854"/>
      <c r="M418" s="854"/>
      <c r="N418" s="854"/>
      <c r="O418" s="857">
        <f t="shared" si="73"/>
        <v>202.88653846153844</v>
      </c>
      <c r="P418" s="858">
        <f t="shared" si="71"/>
        <v>176.42307692307691</v>
      </c>
      <c r="Q418" s="858">
        <f t="shared" si="72"/>
        <v>26.463461538461541</v>
      </c>
      <c r="R418" s="796">
        <f>NC_DKDD!G291</f>
        <v>3.3000000000000002E-2</v>
      </c>
    </row>
    <row r="419" spans="1:18" s="837" customFormat="1" ht="22.9" customHeight="1">
      <c r="A419" s="798">
        <v>15</v>
      </c>
      <c r="B419" s="799" t="s">
        <v>88</v>
      </c>
      <c r="C419" s="798"/>
      <c r="D419" s="798"/>
      <c r="E419" s="857">
        <f>NC_DKDD!H292</f>
        <v>0</v>
      </c>
      <c r="F419" s="857"/>
      <c r="G419" s="796"/>
      <c r="H419" s="796"/>
      <c r="I419" s="796"/>
      <c r="J419" s="796"/>
      <c r="K419" s="796"/>
      <c r="L419" s="854"/>
      <c r="M419" s="854"/>
      <c r="N419" s="854"/>
      <c r="O419" s="857">
        <f t="shared" si="73"/>
        <v>0</v>
      </c>
      <c r="P419" s="858">
        <f t="shared" si="71"/>
        <v>0</v>
      </c>
      <c r="Q419" s="858">
        <f t="shared" si="72"/>
        <v>0</v>
      </c>
      <c r="R419" s="796">
        <f>NC_DKDD!G292</f>
        <v>0</v>
      </c>
    </row>
    <row r="420" spans="1:18" s="837" customFormat="1" ht="39.75" customHeight="1">
      <c r="A420" s="798" t="s">
        <v>869</v>
      </c>
      <c r="B420" s="799" t="s">
        <v>775</v>
      </c>
      <c r="C420" s="798"/>
      <c r="D420" s="798"/>
      <c r="E420" s="857">
        <f>NC_DKDD!H293</f>
        <v>0</v>
      </c>
      <c r="F420" s="857"/>
      <c r="G420" s="796"/>
      <c r="H420" s="796"/>
      <c r="I420" s="796"/>
      <c r="J420" s="796"/>
      <c r="K420" s="796"/>
      <c r="L420" s="854"/>
      <c r="M420" s="854"/>
      <c r="N420" s="854"/>
      <c r="O420" s="857">
        <f t="shared" si="73"/>
        <v>0</v>
      </c>
      <c r="P420" s="858">
        <f t="shared" si="71"/>
        <v>0</v>
      </c>
      <c r="Q420" s="858">
        <f t="shared" si="72"/>
        <v>0</v>
      </c>
      <c r="R420" s="796">
        <f>NC_DKDD!G293</f>
        <v>0</v>
      </c>
    </row>
    <row r="421" spans="1:18" s="837" customFormat="1" ht="30.75" customHeight="1">
      <c r="A421" s="798" t="s">
        <v>870</v>
      </c>
      <c r="B421" s="799" t="s">
        <v>777</v>
      </c>
      <c r="C421" s="798" t="s">
        <v>377</v>
      </c>
      <c r="D421" s="978" t="s">
        <v>723</v>
      </c>
      <c r="E421" s="857" t="e">
        <f>NC_DKDD!H294</f>
        <v>#VALUE!</v>
      </c>
      <c r="F421" s="857"/>
      <c r="G421" s="796"/>
      <c r="H421" s="796"/>
      <c r="I421" s="796"/>
      <c r="J421" s="796"/>
      <c r="K421" s="796"/>
      <c r="L421" s="854"/>
      <c r="M421" s="854"/>
      <c r="N421" s="854"/>
      <c r="O421" s="857">
        <f t="shared" si="73"/>
        <v>98.369230769230768</v>
      </c>
      <c r="P421" s="858">
        <f t="shared" si="71"/>
        <v>85.538461538461533</v>
      </c>
      <c r="Q421" s="858">
        <f t="shared" si="72"/>
        <v>12.830769230769231</v>
      </c>
      <c r="R421" s="796">
        <f>NC_DKDD!G294</f>
        <v>1.6E-2</v>
      </c>
    </row>
    <row r="422" spans="1:18" s="837" customFormat="1" ht="30.75" customHeight="1">
      <c r="A422" s="798" t="s">
        <v>871</v>
      </c>
      <c r="B422" s="799" t="s">
        <v>781</v>
      </c>
      <c r="C422" s="798" t="s">
        <v>377</v>
      </c>
      <c r="D422" s="978" t="s">
        <v>723</v>
      </c>
      <c r="E422" s="857" t="e">
        <f>NC_DKDD!H295</f>
        <v>#VALUE!</v>
      </c>
      <c r="F422" s="857"/>
      <c r="G422" s="796"/>
      <c r="H422" s="796"/>
      <c r="I422" s="796"/>
      <c r="J422" s="796"/>
      <c r="K422" s="796"/>
      <c r="L422" s="854"/>
      <c r="M422" s="854"/>
      <c r="N422" s="854"/>
      <c r="O422" s="857">
        <f t="shared" si="73"/>
        <v>49.184615384615384</v>
      </c>
      <c r="P422" s="858">
        <f t="shared" si="71"/>
        <v>42.769230769230766</v>
      </c>
      <c r="Q422" s="858">
        <f t="shared" si="72"/>
        <v>6.4153846153846157</v>
      </c>
      <c r="R422" s="796">
        <f>NC_DKDD!G295</f>
        <v>8.0000000000000002E-3</v>
      </c>
    </row>
    <row r="423" spans="1:18" s="837" customFormat="1" ht="33.75" customHeight="1">
      <c r="A423" s="798" t="s">
        <v>872</v>
      </c>
      <c r="B423" s="799" t="s">
        <v>861</v>
      </c>
      <c r="C423" s="798" t="s">
        <v>377</v>
      </c>
      <c r="D423" s="978" t="s">
        <v>723</v>
      </c>
      <c r="E423" s="857" t="e">
        <f>NC_DKDD!H296</f>
        <v>#VALUE!</v>
      </c>
      <c r="F423" s="857"/>
      <c r="G423" s="796"/>
      <c r="H423" s="796"/>
      <c r="I423" s="796"/>
      <c r="J423" s="796"/>
      <c r="K423" s="796"/>
      <c r="L423" s="854"/>
      <c r="M423" s="854"/>
      <c r="N423" s="854"/>
      <c r="O423" s="857">
        <f t="shared" si="73"/>
        <v>24.592307692307692</v>
      </c>
      <c r="P423" s="858">
        <f t="shared" si="71"/>
        <v>21.384615384615383</v>
      </c>
      <c r="Q423" s="858">
        <f t="shared" si="72"/>
        <v>3.2076923076923078</v>
      </c>
      <c r="R423" s="796">
        <f>NC_DKDD!G296</f>
        <v>4.0000000000000001E-3</v>
      </c>
    </row>
    <row r="424" spans="1:18" s="837" customFormat="1" ht="33.75" customHeight="1">
      <c r="A424" s="798" t="s">
        <v>873</v>
      </c>
      <c r="B424" s="799" t="s">
        <v>863</v>
      </c>
      <c r="C424" s="798" t="s">
        <v>375</v>
      </c>
      <c r="D424" s="978" t="s">
        <v>723</v>
      </c>
      <c r="E424" s="857" t="e">
        <f>NC_DKDD!H297</f>
        <v>#VALUE!</v>
      </c>
      <c r="F424" s="857"/>
      <c r="G424" s="796"/>
      <c r="H424" s="796"/>
      <c r="I424" s="796"/>
      <c r="J424" s="796"/>
      <c r="K424" s="796"/>
      <c r="L424" s="854"/>
      <c r="M424" s="854"/>
      <c r="N424" s="854"/>
      <c r="O424" s="857">
        <f t="shared" si="73"/>
        <v>61.480769230769226</v>
      </c>
      <c r="P424" s="858">
        <f t="shared" si="71"/>
        <v>53.46153846153846</v>
      </c>
      <c r="Q424" s="858">
        <f t="shared" si="72"/>
        <v>8.0192307692307701</v>
      </c>
      <c r="R424" s="796">
        <f>NC_DKDD!G297</f>
        <v>0.01</v>
      </c>
    </row>
    <row r="425" spans="1:18" s="837" customFormat="1" ht="51" customHeight="1">
      <c r="A425" s="798">
        <v>16</v>
      </c>
      <c r="B425" s="799" t="s">
        <v>874</v>
      </c>
      <c r="C425" s="798" t="s">
        <v>532</v>
      </c>
      <c r="D425" s="978" t="s">
        <v>723</v>
      </c>
      <c r="E425" s="857" t="e">
        <f>NC_DKDD!H298</f>
        <v>#VALUE!</v>
      </c>
      <c r="F425" s="857"/>
      <c r="G425" s="796"/>
      <c r="H425" s="796"/>
      <c r="I425" s="796"/>
      <c r="J425" s="796"/>
      <c r="K425" s="796"/>
      <c r="L425" s="854"/>
      <c r="M425" s="854"/>
      <c r="N425" s="854"/>
      <c r="O425" s="857">
        <f t="shared" si="73"/>
        <v>1229.6153846153848</v>
      </c>
      <c r="P425" s="858">
        <f t="shared" si="71"/>
        <v>1069.2307692307693</v>
      </c>
      <c r="Q425" s="858">
        <f t="shared" si="72"/>
        <v>160.38461538461539</v>
      </c>
      <c r="R425" s="796">
        <f>NC_DKDD!G298</f>
        <v>0.2</v>
      </c>
    </row>
    <row r="426" spans="1:18" s="837" customFormat="1" ht="33.75" customHeight="1">
      <c r="A426" s="798">
        <v>17</v>
      </c>
      <c r="B426" s="799" t="s">
        <v>875</v>
      </c>
      <c r="C426" s="798"/>
      <c r="D426" s="798"/>
      <c r="E426" s="857">
        <f>NC_DKDD!H299</f>
        <v>0</v>
      </c>
      <c r="F426" s="857"/>
      <c r="G426" s="796"/>
      <c r="H426" s="796"/>
      <c r="I426" s="796"/>
      <c r="J426" s="796"/>
      <c r="K426" s="796"/>
      <c r="L426" s="854"/>
      <c r="M426" s="854"/>
      <c r="N426" s="854"/>
      <c r="O426" s="857">
        <f t="shared" si="73"/>
        <v>0</v>
      </c>
      <c r="P426" s="858">
        <f t="shared" si="71"/>
        <v>0</v>
      </c>
      <c r="Q426" s="858">
        <f t="shared" si="72"/>
        <v>0</v>
      </c>
      <c r="R426" s="796">
        <f>NC_DKDD!G299</f>
        <v>0</v>
      </c>
    </row>
    <row r="427" spans="1:18" s="837" customFormat="1" ht="33.75" customHeight="1">
      <c r="A427" s="798" t="s">
        <v>876</v>
      </c>
      <c r="B427" s="799" t="s">
        <v>875</v>
      </c>
      <c r="C427" s="798" t="s">
        <v>532</v>
      </c>
      <c r="D427" s="978" t="s">
        <v>723</v>
      </c>
      <c r="E427" s="857" t="e">
        <f>NC_DKDD!H300</f>
        <v>#VALUE!</v>
      </c>
      <c r="F427" s="857"/>
      <c r="G427" s="796"/>
      <c r="H427" s="796"/>
      <c r="I427" s="796"/>
      <c r="J427" s="796"/>
      <c r="K427" s="796"/>
      <c r="L427" s="854"/>
      <c r="M427" s="854"/>
      <c r="N427" s="854"/>
      <c r="O427" s="857">
        <f t="shared" si="73"/>
        <v>614.80769230769238</v>
      </c>
      <c r="P427" s="858">
        <f t="shared" si="71"/>
        <v>534.61538461538464</v>
      </c>
      <c r="Q427" s="858">
        <f t="shared" si="72"/>
        <v>80.192307692307693</v>
      </c>
      <c r="R427" s="796">
        <f>NC_DKDD!G300</f>
        <v>0.1</v>
      </c>
    </row>
    <row r="428" spans="1:18" s="837" customFormat="1" ht="48.75" customHeight="1">
      <c r="A428" s="798" t="s">
        <v>877</v>
      </c>
      <c r="B428" s="799" t="s">
        <v>878</v>
      </c>
      <c r="C428" s="798" t="s">
        <v>532</v>
      </c>
      <c r="D428" s="978" t="s">
        <v>723</v>
      </c>
      <c r="E428" s="857" t="e">
        <f>NC_DKDD!H301</f>
        <v>#VALUE!</v>
      </c>
      <c r="F428" s="857"/>
      <c r="G428" s="796"/>
      <c r="H428" s="796"/>
      <c r="I428" s="796"/>
      <c r="J428" s="796"/>
      <c r="K428" s="796"/>
      <c r="L428" s="854"/>
      <c r="M428" s="854"/>
      <c r="N428" s="854"/>
      <c r="O428" s="857">
        <f t="shared" si="73"/>
        <v>614.80769230769238</v>
      </c>
      <c r="P428" s="858">
        <f t="shared" si="71"/>
        <v>534.61538461538464</v>
      </c>
      <c r="Q428" s="858">
        <f t="shared" si="72"/>
        <v>80.192307692307693</v>
      </c>
      <c r="R428" s="796">
        <f>NC_DKDD!G301</f>
        <v>0.1</v>
      </c>
    </row>
    <row r="429" spans="1:18" s="837" customFormat="1" ht="30.75" customHeight="1">
      <c r="A429" s="972" t="s">
        <v>755</v>
      </c>
      <c r="B429" s="973" t="s">
        <v>339</v>
      </c>
      <c r="C429" s="974"/>
      <c r="D429" s="975"/>
      <c r="E429" s="976" t="e">
        <f>E430</f>
        <v>#VALUE!</v>
      </c>
      <c r="F429" s="976"/>
      <c r="G429" s="976"/>
      <c r="H429" s="796"/>
      <c r="I429" s="796"/>
      <c r="J429" s="796"/>
      <c r="K429" s="796"/>
      <c r="L429" s="796" t="e">
        <f>SUM(E429:K429)</f>
        <v>#VALUE!</v>
      </c>
      <c r="M429" s="796" t="e">
        <f>L429*'He so chung'!$D$17/100</f>
        <v>#VALUE!</v>
      </c>
      <c r="N429" s="796" t="e">
        <f>L429+M429</f>
        <v>#VALUE!</v>
      </c>
      <c r="O429" s="976">
        <f>O430</f>
        <v>1229.6153846153848</v>
      </c>
      <c r="P429" s="858">
        <f>R429*$P$334</f>
        <v>1069.2307692307693</v>
      </c>
      <c r="Q429" s="858">
        <f>R429*$Q$334</f>
        <v>160.38461538461539</v>
      </c>
      <c r="R429" s="976">
        <f>R430</f>
        <v>0.2</v>
      </c>
    </row>
    <row r="430" spans="1:18" s="837" customFormat="1" ht="42.75" customHeight="1">
      <c r="A430" s="798">
        <v>1</v>
      </c>
      <c r="B430" s="799" t="s">
        <v>879</v>
      </c>
      <c r="C430" s="798" t="s">
        <v>532</v>
      </c>
      <c r="D430" s="978" t="s">
        <v>723</v>
      </c>
      <c r="E430" s="857" t="e">
        <f>NC_DKDD!H303</f>
        <v>#VALUE!</v>
      </c>
      <c r="F430" s="796"/>
      <c r="G430" s="796"/>
      <c r="H430" s="796">
        <f>'Dcu-DKDD'!$L$122</f>
        <v>0</v>
      </c>
      <c r="I430" s="796"/>
      <c r="J430" s="796"/>
      <c r="K430" s="796"/>
      <c r="L430" s="854"/>
      <c r="M430" s="854"/>
      <c r="N430" s="854"/>
      <c r="O430" s="857">
        <f>P430+Q430</f>
        <v>1229.6153846153848</v>
      </c>
      <c r="P430" s="858">
        <f>R430*$P$334</f>
        <v>1069.2307692307693</v>
      </c>
      <c r="Q430" s="858">
        <f>R430*$Q$334</f>
        <v>160.38461538461539</v>
      </c>
      <c r="R430" s="796">
        <f>NC_DKDD!G303</f>
        <v>0.2</v>
      </c>
    </row>
    <row r="431" spans="1:18" ht="18.75" customHeight="1">
      <c r="A431" s="437"/>
      <c r="B431" s="948" t="s">
        <v>533</v>
      </c>
      <c r="C431" s="439"/>
      <c r="D431" s="437"/>
      <c r="E431" s="803"/>
      <c r="F431" s="803"/>
      <c r="G431" s="804"/>
      <c r="H431" s="803"/>
      <c r="I431" s="803"/>
      <c r="J431" s="805"/>
      <c r="K431" s="805"/>
      <c r="L431" s="805"/>
      <c r="M431" s="419"/>
      <c r="N431" s="419"/>
      <c r="O431" s="901"/>
      <c r="P431" s="420"/>
      <c r="Q431" s="420"/>
      <c r="R431" s="985"/>
    </row>
    <row r="432" spans="1:18" ht="18.75" customHeight="1">
      <c r="A432" s="455"/>
      <c r="B432" s="1073" t="s">
        <v>833</v>
      </c>
      <c r="C432" s="1073"/>
      <c r="D432" s="1073"/>
      <c r="E432" s="1073"/>
      <c r="F432" s="1073"/>
      <c r="G432" s="1073"/>
      <c r="H432" s="1073"/>
      <c r="I432" s="1073"/>
      <c r="J432" s="1073"/>
      <c r="K432" s="1073"/>
      <c r="L432" s="1073"/>
      <c r="M432" s="1073"/>
      <c r="N432" s="1073"/>
      <c r="O432" s="1073"/>
      <c r="P432" s="420"/>
      <c r="Q432" s="420"/>
    </row>
    <row r="433" spans="1:21" ht="31.5" customHeight="1">
      <c r="A433" s="455"/>
      <c r="B433" s="1069" t="s">
        <v>744</v>
      </c>
      <c r="C433" s="1069"/>
      <c r="D433" s="1069"/>
      <c r="E433" s="1069"/>
      <c r="F433" s="1069"/>
      <c r="G433" s="1069"/>
      <c r="H433" s="1069"/>
      <c r="I433" s="1069"/>
      <c r="J433" s="1069"/>
      <c r="K433" s="1069"/>
      <c r="L433" s="1069"/>
      <c r="M433" s="1069"/>
      <c r="N433" s="1069"/>
      <c r="O433" s="1069"/>
      <c r="P433" s="420"/>
      <c r="Q433" s="420"/>
    </row>
    <row r="434" spans="1:21" ht="35.25" customHeight="1">
      <c r="A434" s="455"/>
      <c r="B434" s="1072" t="s">
        <v>865</v>
      </c>
      <c r="C434" s="1072"/>
      <c r="D434" s="1072"/>
      <c r="E434" s="1072"/>
      <c r="F434" s="1072"/>
      <c r="G434" s="1072"/>
      <c r="H434" s="1072"/>
      <c r="I434" s="1072"/>
      <c r="J434" s="1072"/>
      <c r="K434" s="1072"/>
      <c r="L434" s="1072"/>
      <c r="M434" s="1072"/>
      <c r="N434" s="1072"/>
      <c r="O434" s="1072"/>
      <c r="P434" s="420"/>
      <c r="Q434" s="420"/>
    </row>
    <row r="435" spans="1:21" ht="34.5" customHeight="1">
      <c r="A435" s="455"/>
      <c r="B435" s="1072" t="s">
        <v>866</v>
      </c>
      <c r="C435" s="1072"/>
      <c r="D435" s="1072"/>
      <c r="E435" s="1072"/>
      <c r="F435" s="1072"/>
      <c r="G435" s="1072"/>
      <c r="H435" s="1072"/>
      <c r="I435" s="1072"/>
      <c r="J435" s="1072"/>
      <c r="K435" s="1072"/>
      <c r="L435" s="1072"/>
      <c r="M435" s="1072"/>
      <c r="N435" s="1072"/>
      <c r="O435" s="1072"/>
      <c r="P435" s="420"/>
      <c r="Q435" s="420"/>
    </row>
    <row r="436" spans="1:21" ht="42" customHeight="1">
      <c r="A436" s="1070" t="s">
        <v>332</v>
      </c>
      <c r="B436" s="1070"/>
      <c r="C436" s="1070"/>
      <c r="D436" s="1070"/>
      <c r="E436" s="1070"/>
      <c r="F436" s="1070"/>
      <c r="G436" s="1070"/>
      <c r="H436" s="1070"/>
      <c r="I436" s="1070"/>
      <c r="J436" s="1070"/>
      <c r="K436" s="1070"/>
      <c r="L436" s="1070"/>
      <c r="M436" s="1070"/>
      <c r="N436" s="1070"/>
      <c r="O436" s="1070"/>
    </row>
    <row r="437" spans="1:21" s="421" customFormat="1" ht="19.5" customHeight="1">
      <c r="A437" s="414"/>
      <c r="B437" s="926"/>
      <c r="C437" s="776"/>
      <c r="D437" s="777" t="s">
        <v>430</v>
      </c>
      <c r="E437" s="419"/>
      <c r="F437" s="778"/>
      <c r="G437" s="779"/>
      <c r="H437" s="778"/>
      <c r="I437" s="780"/>
      <c r="J437" s="778"/>
      <c r="K437" s="778"/>
      <c r="L437" s="781" t="s">
        <v>262</v>
      </c>
      <c r="M437" s="778"/>
      <c r="N437" s="780"/>
      <c r="O437" s="419"/>
      <c r="P437" s="420"/>
      <c r="Q437" s="420"/>
      <c r="R437" s="420"/>
    </row>
    <row r="438" spans="1:21" s="421" customFormat="1" ht="7.5" customHeight="1">
      <c r="A438" s="414"/>
      <c r="B438" s="926"/>
      <c r="C438" s="776"/>
      <c r="D438" s="821"/>
      <c r="E438" s="419"/>
      <c r="F438" s="419"/>
      <c r="G438" s="822"/>
      <c r="H438" s="419"/>
      <c r="I438" s="419"/>
      <c r="J438" s="419"/>
      <c r="K438" s="419"/>
      <c r="L438" s="419"/>
      <c r="M438" s="419"/>
      <c r="N438" s="419"/>
      <c r="O438" s="419"/>
      <c r="P438" s="420"/>
      <c r="Q438" s="420"/>
      <c r="R438" s="420"/>
    </row>
    <row r="439" spans="1:21" s="833" customFormat="1" ht="28.15" customHeight="1">
      <c r="A439" s="1068" t="s">
        <v>718</v>
      </c>
      <c r="B439" s="1068" t="s">
        <v>198</v>
      </c>
      <c r="C439" s="1071" t="s">
        <v>263</v>
      </c>
      <c r="D439" s="1071" t="s">
        <v>264</v>
      </c>
      <c r="E439" s="1071" t="s">
        <v>683</v>
      </c>
      <c r="F439" s="1071"/>
      <c r="G439" s="1071"/>
      <c r="H439" s="1071"/>
      <c r="I439" s="1071"/>
      <c r="J439" s="1071"/>
      <c r="K439" s="1071"/>
      <c r="L439" s="1071"/>
      <c r="M439" s="1071" t="s">
        <v>435</v>
      </c>
      <c r="N439" s="1071" t="s">
        <v>684</v>
      </c>
      <c r="O439" s="1071" t="s">
        <v>685</v>
      </c>
      <c r="P439" s="830"/>
      <c r="Q439" s="830"/>
      <c r="R439" s="832"/>
    </row>
    <row r="440" spans="1:21" s="833" customFormat="1" ht="36" customHeight="1">
      <c r="A440" s="1068"/>
      <c r="B440" s="1068"/>
      <c r="C440" s="1071"/>
      <c r="D440" s="1071"/>
      <c r="E440" s="783" t="s">
        <v>686</v>
      </c>
      <c r="F440" s="783" t="s">
        <v>687</v>
      </c>
      <c r="G440" s="784" t="s">
        <v>285</v>
      </c>
      <c r="H440" s="783" t="s">
        <v>499</v>
      </c>
      <c r="I440" s="783" t="s">
        <v>688</v>
      </c>
      <c r="J440" s="783" t="s">
        <v>531</v>
      </c>
      <c r="K440" s="783" t="s">
        <v>689</v>
      </c>
      <c r="L440" s="783" t="s">
        <v>690</v>
      </c>
      <c r="M440" s="1071"/>
      <c r="N440" s="1071"/>
      <c r="O440" s="1071"/>
      <c r="P440" s="830"/>
      <c r="Q440" s="830"/>
      <c r="R440" s="832"/>
    </row>
    <row r="441" spans="1:21" s="833" customFormat="1" ht="75">
      <c r="A441" s="785"/>
      <c r="B441" s="839" t="s">
        <v>831</v>
      </c>
      <c r="C441" s="783"/>
      <c r="D441" s="783"/>
      <c r="E441" s="783"/>
      <c r="F441" s="783"/>
      <c r="G441" s="784"/>
      <c r="H441" s="783"/>
      <c r="I441" s="783"/>
      <c r="J441" s="783"/>
      <c r="K441" s="783"/>
      <c r="L441" s="783"/>
      <c r="M441" s="783"/>
      <c r="N441" s="783"/>
      <c r="O441" s="783"/>
      <c r="P441" s="830"/>
      <c r="Q441" s="830"/>
      <c r="R441" s="832"/>
    </row>
    <row r="442" spans="1:21" s="833" customFormat="1" ht="22.5" customHeight="1">
      <c r="A442" s="1068"/>
      <c r="B442" s="1074" t="s">
        <v>668</v>
      </c>
      <c r="C442" s="1071" t="s">
        <v>532</v>
      </c>
      <c r="D442" s="783">
        <v>1</v>
      </c>
      <c r="E442" s="788" t="e">
        <f>E454+E486</f>
        <v>#VALUE!</v>
      </c>
      <c r="F442" s="788">
        <f t="shared" ref="F442:O442" si="74">F454+F486</f>
        <v>133770</v>
      </c>
      <c r="G442" s="788">
        <f t="shared" si="74"/>
        <v>0</v>
      </c>
      <c r="H442" s="788">
        <f t="shared" si="74"/>
        <v>7793.3223958333338</v>
      </c>
      <c r="I442" s="788">
        <f t="shared" si="74"/>
        <v>6873.12</v>
      </c>
      <c r="J442" s="788">
        <f t="shared" si="74"/>
        <v>546.41600000000005</v>
      </c>
      <c r="K442" s="788">
        <f t="shared" si="74"/>
        <v>1119.1908000000001</v>
      </c>
      <c r="L442" s="788" t="e">
        <f t="shared" si="74"/>
        <v>#VALUE!</v>
      </c>
      <c r="M442" s="788" t="e">
        <f t="shared" si="74"/>
        <v>#VALUE!</v>
      </c>
      <c r="N442" s="788" t="e">
        <f t="shared" si="74"/>
        <v>#VALUE!</v>
      </c>
      <c r="O442" s="788">
        <f t="shared" si="74"/>
        <v>34509.155769230762</v>
      </c>
      <c r="P442" s="830"/>
      <c r="Q442" s="830"/>
      <c r="R442" s="832"/>
      <c r="U442" s="917"/>
    </row>
    <row r="443" spans="1:21" s="833" customFormat="1" ht="23.45" customHeight="1">
      <c r="A443" s="1068"/>
      <c r="B443" s="1074"/>
      <c r="C443" s="1071"/>
      <c r="D443" s="783">
        <v>2</v>
      </c>
      <c r="E443" s="788" t="e">
        <f>E455+E486</f>
        <v>#VALUE!</v>
      </c>
      <c r="F443" s="788">
        <f t="shared" ref="F443:O443" si="75">F455+F486</f>
        <v>147146.99999999997</v>
      </c>
      <c r="G443" s="788">
        <f t="shared" si="75"/>
        <v>0</v>
      </c>
      <c r="H443" s="788">
        <f t="shared" si="75"/>
        <v>7793.3223958333338</v>
      </c>
      <c r="I443" s="788">
        <f t="shared" si="75"/>
        <v>6873.12</v>
      </c>
      <c r="J443" s="788">
        <f t="shared" si="75"/>
        <v>546.41600000000005</v>
      </c>
      <c r="K443" s="788">
        <f t="shared" si="75"/>
        <v>1119.1908000000001</v>
      </c>
      <c r="L443" s="788" t="e">
        <f t="shared" si="75"/>
        <v>#VALUE!</v>
      </c>
      <c r="M443" s="788" t="e">
        <f t="shared" si="75"/>
        <v>#VALUE!</v>
      </c>
      <c r="N443" s="788" t="e">
        <f t="shared" si="75"/>
        <v>#VALUE!</v>
      </c>
      <c r="O443" s="788">
        <f t="shared" si="75"/>
        <v>35947.805769230763</v>
      </c>
      <c r="P443" s="830"/>
      <c r="Q443" s="830"/>
      <c r="R443" s="832"/>
      <c r="U443" s="917"/>
    </row>
    <row r="444" spans="1:21" s="833" customFormat="1" ht="23.45" customHeight="1">
      <c r="A444" s="1068"/>
      <c r="B444" s="1074"/>
      <c r="C444" s="1071"/>
      <c r="D444" s="783">
        <v>3</v>
      </c>
      <c r="E444" s="788" t="e">
        <f>E456+E486</f>
        <v>#VALUE!</v>
      </c>
      <c r="F444" s="788">
        <f t="shared" ref="F444:O444" si="76">F456+F486</f>
        <v>161847</v>
      </c>
      <c r="G444" s="788">
        <f t="shared" si="76"/>
        <v>0</v>
      </c>
      <c r="H444" s="788">
        <f t="shared" si="76"/>
        <v>7793.3223958333338</v>
      </c>
      <c r="I444" s="788">
        <f t="shared" si="76"/>
        <v>6873.12</v>
      </c>
      <c r="J444" s="788">
        <f t="shared" si="76"/>
        <v>546.41600000000005</v>
      </c>
      <c r="K444" s="788">
        <f t="shared" si="76"/>
        <v>1119.1908000000001</v>
      </c>
      <c r="L444" s="788" t="e">
        <f t="shared" si="76"/>
        <v>#VALUE!</v>
      </c>
      <c r="M444" s="788" t="e">
        <f t="shared" si="76"/>
        <v>#VALUE!</v>
      </c>
      <c r="N444" s="788" t="e">
        <f t="shared" si="76"/>
        <v>#VALUE!</v>
      </c>
      <c r="O444" s="788">
        <f t="shared" si="76"/>
        <v>37534.00961538461</v>
      </c>
      <c r="P444" s="830"/>
      <c r="Q444" s="830"/>
      <c r="R444" s="832"/>
      <c r="U444" s="917"/>
    </row>
    <row r="445" spans="1:21" s="833" customFormat="1" ht="23.45" customHeight="1">
      <c r="A445" s="1068"/>
      <c r="B445" s="1074"/>
      <c r="C445" s="1071"/>
      <c r="D445" s="783">
        <v>4</v>
      </c>
      <c r="E445" s="788" t="e">
        <f>E457+E486</f>
        <v>#VALUE!</v>
      </c>
      <c r="F445" s="788">
        <f t="shared" ref="F445:O445" si="77">F457+F486</f>
        <v>178164</v>
      </c>
      <c r="G445" s="788">
        <f t="shared" si="77"/>
        <v>0</v>
      </c>
      <c r="H445" s="788">
        <f t="shared" si="77"/>
        <v>7793.3223958333338</v>
      </c>
      <c r="I445" s="788">
        <f t="shared" si="77"/>
        <v>6873.12</v>
      </c>
      <c r="J445" s="788">
        <f t="shared" si="77"/>
        <v>546.41600000000005</v>
      </c>
      <c r="K445" s="788">
        <f t="shared" si="77"/>
        <v>1119.1908000000001</v>
      </c>
      <c r="L445" s="788" t="e">
        <f t="shared" si="77"/>
        <v>#VALUE!</v>
      </c>
      <c r="M445" s="788" t="e">
        <f t="shared" si="77"/>
        <v>#VALUE!</v>
      </c>
      <c r="N445" s="788" t="e">
        <f t="shared" si="77"/>
        <v>#VALUE!</v>
      </c>
      <c r="O445" s="788">
        <f t="shared" si="77"/>
        <v>39267.767307692295</v>
      </c>
      <c r="P445" s="830"/>
      <c r="Q445" s="830"/>
      <c r="R445" s="832"/>
      <c r="U445" s="917"/>
    </row>
    <row r="446" spans="1:21" s="833" customFormat="1" ht="23.45" customHeight="1">
      <c r="A446" s="1068"/>
      <c r="B446" s="1074"/>
      <c r="C446" s="1071"/>
      <c r="D446" s="783">
        <v>5</v>
      </c>
      <c r="E446" s="788" t="e">
        <f>E458+E486</f>
        <v>#VALUE!</v>
      </c>
      <c r="F446" s="788">
        <f t="shared" ref="F446:O446" si="78">F458+F486</f>
        <v>195951</v>
      </c>
      <c r="G446" s="788">
        <f t="shared" si="78"/>
        <v>0</v>
      </c>
      <c r="H446" s="788">
        <f t="shared" si="78"/>
        <v>7793.3223958333338</v>
      </c>
      <c r="I446" s="788">
        <f t="shared" si="78"/>
        <v>6873.12</v>
      </c>
      <c r="J446" s="788">
        <f t="shared" si="78"/>
        <v>546.41600000000005</v>
      </c>
      <c r="K446" s="788">
        <f t="shared" si="78"/>
        <v>1119.1908000000001</v>
      </c>
      <c r="L446" s="788" t="e">
        <f t="shared" si="78"/>
        <v>#VALUE!</v>
      </c>
      <c r="M446" s="788" t="e">
        <f t="shared" si="78"/>
        <v>#VALUE!</v>
      </c>
      <c r="N446" s="788" t="e">
        <f t="shared" si="78"/>
        <v>#VALUE!</v>
      </c>
      <c r="O446" s="788">
        <f t="shared" si="78"/>
        <v>41099.89423076922</v>
      </c>
      <c r="P446" s="830"/>
      <c r="Q446" s="830"/>
      <c r="R446" s="832"/>
      <c r="U446" s="917"/>
    </row>
    <row r="447" spans="1:21" s="833" customFormat="1" ht="23.45" customHeight="1">
      <c r="A447" s="1068"/>
      <c r="B447" s="1074" t="s">
        <v>333</v>
      </c>
      <c r="C447" s="1071" t="s">
        <v>532</v>
      </c>
      <c r="D447" s="783">
        <v>1</v>
      </c>
      <c r="E447" s="788" t="e">
        <f>E459+E486</f>
        <v>#VALUE!</v>
      </c>
      <c r="F447" s="788">
        <f t="shared" ref="F447:O447" si="79">F459+F486</f>
        <v>133770</v>
      </c>
      <c r="G447" s="788">
        <f t="shared" si="79"/>
        <v>0</v>
      </c>
      <c r="H447" s="788">
        <f t="shared" si="79"/>
        <v>7793.3223958333338</v>
      </c>
      <c r="I447" s="788">
        <f t="shared" si="79"/>
        <v>6873.12</v>
      </c>
      <c r="J447" s="788">
        <f t="shared" si="79"/>
        <v>546.41600000000005</v>
      </c>
      <c r="K447" s="788">
        <f t="shared" si="79"/>
        <v>1119.1908000000001</v>
      </c>
      <c r="L447" s="788" t="e">
        <f t="shared" si="79"/>
        <v>#VALUE!</v>
      </c>
      <c r="M447" s="788" t="e">
        <f t="shared" si="79"/>
        <v>#VALUE!</v>
      </c>
      <c r="N447" s="788" t="e">
        <f t="shared" si="79"/>
        <v>#VALUE!</v>
      </c>
      <c r="O447" s="788">
        <f t="shared" si="79"/>
        <v>33482.426923076913</v>
      </c>
      <c r="P447" s="830"/>
      <c r="Q447" s="830"/>
      <c r="R447" s="832"/>
      <c r="U447" s="917"/>
    </row>
    <row r="448" spans="1:21" s="833" customFormat="1" ht="23.45" customHeight="1">
      <c r="A448" s="1068"/>
      <c r="B448" s="1074"/>
      <c r="C448" s="1071"/>
      <c r="D448" s="783">
        <v>2</v>
      </c>
      <c r="E448" s="788" t="e">
        <f>E460+E486</f>
        <v>#VALUE!</v>
      </c>
      <c r="F448" s="788">
        <f t="shared" ref="F448:O448" si="80">F460+F486</f>
        <v>147146.99999999997</v>
      </c>
      <c r="G448" s="788">
        <f t="shared" si="80"/>
        <v>0</v>
      </c>
      <c r="H448" s="788">
        <f t="shared" si="80"/>
        <v>7793.3223958333338</v>
      </c>
      <c r="I448" s="788">
        <f t="shared" si="80"/>
        <v>6873.12</v>
      </c>
      <c r="J448" s="788">
        <f t="shared" si="80"/>
        <v>546.41600000000005</v>
      </c>
      <c r="K448" s="788">
        <f t="shared" si="80"/>
        <v>1119.1908000000001</v>
      </c>
      <c r="L448" s="788" t="e">
        <f t="shared" si="80"/>
        <v>#VALUE!</v>
      </c>
      <c r="M448" s="788" t="e">
        <f t="shared" si="80"/>
        <v>#VALUE!</v>
      </c>
      <c r="N448" s="788" t="e">
        <f t="shared" si="80"/>
        <v>#VALUE!</v>
      </c>
      <c r="O448" s="788">
        <f t="shared" si="80"/>
        <v>34921.076923076915</v>
      </c>
      <c r="P448" s="830"/>
      <c r="Q448" s="830"/>
      <c r="R448" s="832"/>
      <c r="U448" s="917"/>
    </row>
    <row r="449" spans="1:23" s="833" customFormat="1" ht="23.45" customHeight="1">
      <c r="A449" s="1068"/>
      <c r="B449" s="1074"/>
      <c r="C449" s="1071"/>
      <c r="D449" s="783">
        <v>3</v>
      </c>
      <c r="E449" s="788" t="e">
        <f>E461+E486</f>
        <v>#VALUE!</v>
      </c>
      <c r="F449" s="788">
        <f t="shared" ref="F449:O449" si="81">F461+F486</f>
        <v>161847</v>
      </c>
      <c r="G449" s="788">
        <f t="shared" si="81"/>
        <v>0</v>
      </c>
      <c r="H449" s="788">
        <f t="shared" si="81"/>
        <v>7793.3223958333338</v>
      </c>
      <c r="I449" s="788">
        <f t="shared" si="81"/>
        <v>6873.12</v>
      </c>
      <c r="J449" s="788">
        <f t="shared" si="81"/>
        <v>546.41600000000005</v>
      </c>
      <c r="K449" s="788">
        <f t="shared" si="81"/>
        <v>1119.1908000000001</v>
      </c>
      <c r="L449" s="788" t="e">
        <f t="shared" si="81"/>
        <v>#VALUE!</v>
      </c>
      <c r="M449" s="788" t="e">
        <f t="shared" si="81"/>
        <v>#VALUE!</v>
      </c>
      <c r="N449" s="788" t="e">
        <f t="shared" si="81"/>
        <v>#VALUE!</v>
      </c>
      <c r="O449" s="788">
        <f t="shared" si="81"/>
        <v>36507.280769230762</v>
      </c>
      <c r="P449" s="830"/>
      <c r="Q449" s="830"/>
      <c r="R449" s="832"/>
      <c r="U449" s="917"/>
    </row>
    <row r="450" spans="1:23" s="833" customFormat="1" ht="23.45" customHeight="1">
      <c r="A450" s="1068"/>
      <c r="B450" s="1074"/>
      <c r="C450" s="1071"/>
      <c r="D450" s="783">
        <v>4</v>
      </c>
      <c r="E450" s="788" t="e">
        <f>E462+E486</f>
        <v>#VALUE!</v>
      </c>
      <c r="F450" s="788">
        <f t="shared" ref="F450:O450" si="82">F462+F486</f>
        <v>178164</v>
      </c>
      <c r="G450" s="788">
        <f t="shared" si="82"/>
        <v>0</v>
      </c>
      <c r="H450" s="788">
        <f t="shared" si="82"/>
        <v>7793.3223958333338</v>
      </c>
      <c r="I450" s="788">
        <f t="shared" si="82"/>
        <v>6873.12</v>
      </c>
      <c r="J450" s="788">
        <f t="shared" si="82"/>
        <v>546.41600000000005</v>
      </c>
      <c r="K450" s="788">
        <f t="shared" si="82"/>
        <v>1119.1908000000001</v>
      </c>
      <c r="L450" s="788" t="e">
        <f t="shared" si="82"/>
        <v>#VALUE!</v>
      </c>
      <c r="M450" s="788" t="e">
        <f t="shared" si="82"/>
        <v>#VALUE!</v>
      </c>
      <c r="N450" s="788" t="e">
        <f t="shared" si="82"/>
        <v>#VALUE!</v>
      </c>
      <c r="O450" s="788">
        <f t="shared" si="82"/>
        <v>38241.038461538454</v>
      </c>
      <c r="P450" s="830"/>
      <c r="Q450" s="830"/>
      <c r="R450" s="832"/>
      <c r="U450" s="917"/>
    </row>
    <row r="451" spans="1:23" s="833" customFormat="1" ht="23.45" customHeight="1">
      <c r="A451" s="1068"/>
      <c r="B451" s="1074"/>
      <c r="C451" s="1071"/>
      <c r="D451" s="783">
        <v>5</v>
      </c>
      <c r="E451" s="788" t="e">
        <f>E463+E486</f>
        <v>#VALUE!</v>
      </c>
      <c r="F451" s="788">
        <f t="shared" ref="F451:O451" si="83">F463+F486</f>
        <v>195951</v>
      </c>
      <c r="G451" s="788">
        <f t="shared" si="83"/>
        <v>0</v>
      </c>
      <c r="H451" s="788">
        <f t="shared" si="83"/>
        <v>7793.3223958333338</v>
      </c>
      <c r="I451" s="788">
        <f t="shared" si="83"/>
        <v>6873.12</v>
      </c>
      <c r="J451" s="788">
        <f t="shared" si="83"/>
        <v>546.41600000000005</v>
      </c>
      <c r="K451" s="788">
        <f t="shared" si="83"/>
        <v>1119.1908000000001</v>
      </c>
      <c r="L451" s="788" t="e">
        <f t="shared" si="83"/>
        <v>#VALUE!</v>
      </c>
      <c r="M451" s="788" t="e">
        <f t="shared" si="83"/>
        <v>#VALUE!</v>
      </c>
      <c r="N451" s="788" t="e">
        <f t="shared" si="83"/>
        <v>#VALUE!</v>
      </c>
      <c r="O451" s="788">
        <f t="shared" si="83"/>
        <v>40073.165384615379</v>
      </c>
      <c r="P451" s="830"/>
      <c r="Q451" s="830"/>
      <c r="R451" s="832"/>
      <c r="U451" s="917"/>
    </row>
    <row r="452" spans="1:23" s="833" customFormat="1" ht="23.25" customHeight="1">
      <c r="A452" s="785"/>
      <c r="B452" s="789"/>
      <c r="C452" s="783"/>
      <c r="D452" s="783"/>
      <c r="E452" s="783"/>
      <c r="F452" s="783"/>
      <c r="G452" s="784"/>
      <c r="H452" s="783"/>
      <c r="I452" s="783"/>
      <c r="J452" s="783"/>
      <c r="K452" s="783"/>
      <c r="L452" s="783"/>
      <c r="M452" s="783"/>
      <c r="N452" s="783"/>
      <c r="O452" s="783"/>
      <c r="P452" s="846">
        <f>'He so chung'!D$22</f>
        <v>5346.1538461538457</v>
      </c>
      <c r="Q452" s="846">
        <f>'He so chung'!D$23</f>
        <v>801.92307692307691</v>
      </c>
      <c r="R452" s="836"/>
      <c r="U452" s="917"/>
    </row>
    <row r="453" spans="1:23" s="833" customFormat="1" ht="30" customHeight="1">
      <c r="A453" s="785" t="s">
        <v>1000</v>
      </c>
      <c r="B453" s="789" t="s">
        <v>460</v>
      </c>
      <c r="C453" s="783"/>
      <c r="D453" s="783"/>
      <c r="E453" s="783"/>
      <c r="F453" s="783"/>
      <c r="G453" s="784"/>
      <c r="H453" s="783"/>
      <c r="I453" s="783"/>
      <c r="J453" s="783"/>
      <c r="K453" s="783"/>
      <c r="L453" s="783"/>
      <c r="M453" s="783"/>
      <c r="N453" s="783"/>
      <c r="O453" s="783"/>
      <c r="P453" s="834"/>
      <c r="Q453" s="834"/>
      <c r="R453" s="836"/>
      <c r="U453" s="917"/>
    </row>
    <row r="454" spans="1:23" s="837" customFormat="1" ht="24" customHeight="1">
      <c r="A454" s="1089" t="s">
        <v>1008</v>
      </c>
      <c r="B454" s="1074" t="s">
        <v>668</v>
      </c>
      <c r="C454" s="1071" t="s">
        <v>532</v>
      </c>
      <c r="D454" s="851">
        <v>1</v>
      </c>
      <c r="E454" s="796" t="e">
        <f>E466+E468+E469+E470+E476+E478+E479+E481+E483+E484+E485</f>
        <v>#VALUE!</v>
      </c>
      <c r="F454" s="796">
        <f>F466+F468+F469+F470+F476+F478+F479+F481+F483+F484+F485</f>
        <v>133770</v>
      </c>
      <c r="G454" s="852">
        <f>G466+G467+G468+G469+G470+G476+G477+G478+G479+G481+G482+G483+G484+G485</f>
        <v>0</v>
      </c>
      <c r="H454" s="796">
        <f>'Dcu-DKDD'!H$96*1.3</f>
        <v>7793.3223958333338</v>
      </c>
      <c r="I454" s="796">
        <f>'VL-DKDD'!F$96</f>
        <v>6873.12</v>
      </c>
      <c r="J454" s="796">
        <f>'TB-DKDD'!I$50*1.3</f>
        <v>546.41600000000005</v>
      </c>
      <c r="K454" s="796">
        <f>'NL-DKDD'!F$35*1.3</f>
        <v>1119.1908000000001</v>
      </c>
      <c r="L454" s="796" t="e">
        <f t="shared" ref="L454:L463" si="84">SUM(E454:K454)</f>
        <v>#VALUE!</v>
      </c>
      <c r="M454" s="796" t="e">
        <f>L454*'He so chung'!$D$17/100</f>
        <v>#VALUE!</v>
      </c>
      <c r="N454" s="796" t="e">
        <f t="shared" ref="N454:N463" si="85">L454+M454</f>
        <v>#VALUE!</v>
      </c>
      <c r="O454" s="796">
        <f>O466+O468+O469+O470+O476+O478+O479+O481+O483+O484+O485</f>
        <v>32910.655769230762</v>
      </c>
      <c r="P454" s="853"/>
      <c r="Q454" s="853"/>
      <c r="R454" s="836"/>
      <c r="U454" s="917"/>
      <c r="W454" s="986"/>
    </row>
    <row r="455" spans="1:23" s="837" customFormat="1" ht="24" customHeight="1">
      <c r="A455" s="1089"/>
      <c r="B455" s="1074"/>
      <c r="C455" s="1071"/>
      <c r="D455" s="851">
        <v>2</v>
      </c>
      <c r="E455" s="796" t="e">
        <f>E466+E468+E469+E471+E476+E478+E479+E481+E483+E484+E485</f>
        <v>#VALUE!</v>
      </c>
      <c r="F455" s="796">
        <f>F466+F468+F469+F471+F476+F478+F479+F481+F483+F484+F485</f>
        <v>147146.99999999997</v>
      </c>
      <c r="G455" s="852">
        <f>G466+G467+G468+G469+G471+G476+G477+G478+G479+G481+G482+G483+G484+G485</f>
        <v>0</v>
      </c>
      <c r="H455" s="796">
        <f>'Dcu-DKDD'!H$96*1.3</f>
        <v>7793.3223958333338</v>
      </c>
      <c r="I455" s="796">
        <f>'VL-DKDD'!F$96</f>
        <v>6873.12</v>
      </c>
      <c r="J455" s="796">
        <f>'TB-DKDD'!I$50*1.3</f>
        <v>546.41600000000005</v>
      </c>
      <c r="K455" s="796">
        <f>'NL-DKDD'!F$35*1.3</f>
        <v>1119.1908000000001</v>
      </c>
      <c r="L455" s="796" t="e">
        <f t="shared" si="84"/>
        <v>#VALUE!</v>
      </c>
      <c r="M455" s="796" t="e">
        <f>L455*'He so chung'!$D$17/100</f>
        <v>#VALUE!</v>
      </c>
      <c r="N455" s="796" t="e">
        <f t="shared" si="85"/>
        <v>#VALUE!</v>
      </c>
      <c r="O455" s="796">
        <f>O466+O468+O469+O471+O476+O478+O479+O481+O483+O484+O485</f>
        <v>34349.305769230763</v>
      </c>
      <c r="P455" s="853"/>
      <c r="Q455" s="853"/>
      <c r="R455" s="836"/>
      <c r="U455" s="917"/>
      <c r="W455" s="986"/>
    </row>
    <row r="456" spans="1:23" s="837" customFormat="1" ht="24" customHeight="1">
      <c r="A456" s="1089"/>
      <c r="B456" s="1074"/>
      <c r="C456" s="1071"/>
      <c r="D456" s="851">
        <v>3</v>
      </c>
      <c r="E456" s="796" t="e">
        <f>E466+E468+E469+E472+E476+E478+E479+E481+E483+E484+E485</f>
        <v>#VALUE!</v>
      </c>
      <c r="F456" s="796">
        <f>F466+F468+F469+F472+F476+F478+F479+F481+F483+F484+F485</f>
        <v>161847</v>
      </c>
      <c r="G456" s="852">
        <f>G466+G467+G468+G469+G470+G472+G476+G477+G478+G479+G481+G482+G483+G484+G485</f>
        <v>0</v>
      </c>
      <c r="H456" s="796">
        <f>'Dcu-DKDD'!H$96*1.3</f>
        <v>7793.3223958333338</v>
      </c>
      <c r="I456" s="796">
        <f>'VL-DKDD'!F$96</f>
        <v>6873.12</v>
      </c>
      <c r="J456" s="796">
        <f>'TB-DKDD'!I$50*1.3</f>
        <v>546.41600000000005</v>
      </c>
      <c r="K456" s="796">
        <f>'NL-DKDD'!F$35*1.3</f>
        <v>1119.1908000000001</v>
      </c>
      <c r="L456" s="796" t="e">
        <f t="shared" si="84"/>
        <v>#VALUE!</v>
      </c>
      <c r="M456" s="796" t="e">
        <f>L456*'He so chung'!$D$17/100</f>
        <v>#VALUE!</v>
      </c>
      <c r="N456" s="796" t="e">
        <f t="shared" si="85"/>
        <v>#VALUE!</v>
      </c>
      <c r="O456" s="796">
        <f>O466+O468+O469+O472+O476+O478+O479+O481+O483+O484+O485</f>
        <v>35935.50961538461</v>
      </c>
      <c r="P456" s="853"/>
      <c r="Q456" s="853"/>
      <c r="R456" s="836"/>
      <c r="U456" s="917"/>
      <c r="W456" s="986"/>
    </row>
    <row r="457" spans="1:23" s="837" customFormat="1" ht="24" customHeight="1">
      <c r="A457" s="1089"/>
      <c r="B457" s="1074"/>
      <c r="C457" s="1071"/>
      <c r="D457" s="851">
        <v>4</v>
      </c>
      <c r="E457" s="796" t="e">
        <f>E466+E468+E469+E473+E476+E478+E479+E481+E483+E484+E485</f>
        <v>#VALUE!</v>
      </c>
      <c r="F457" s="796">
        <f>F466+F468+F469+F473+F476+F478+F479+F481+F483+F484+F485</f>
        <v>178164</v>
      </c>
      <c r="G457" s="852">
        <f>G466+G467+G468+G469+G473+G476+G477+G478+G479+G481+G482+G483+G484+G485</f>
        <v>0</v>
      </c>
      <c r="H457" s="796">
        <f>'Dcu-DKDD'!H$96*1.3</f>
        <v>7793.3223958333338</v>
      </c>
      <c r="I457" s="796">
        <f>'VL-DKDD'!F$96</f>
        <v>6873.12</v>
      </c>
      <c r="J457" s="796">
        <f>'TB-DKDD'!I$50*1.3</f>
        <v>546.41600000000005</v>
      </c>
      <c r="K457" s="796">
        <f>'NL-DKDD'!F$35*1.3</f>
        <v>1119.1908000000001</v>
      </c>
      <c r="L457" s="796" t="e">
        <f t="shared" si="84"/>
        <v>#VALUE!</v>
      </c>
      <c r="M457" s="796" t="e">
        <f>L457*'He so chung'!$D$17/100</f>
        <v>#VALUE!</v>
      </c>
      <c r="N457" s="796" t="e">
        <f t="shared" si="85"/>
        <v>#VALUE!</v>
      </c>
      <c r="O457" s="796">
        <f>O466+O468+O469+O473+O476+O478+O479+O481+O483+O484+O485</f>
        <v>37669.267307692295</v>
      </c>
      <c r="P457" s="853"/>
      <c r="Q457" s="853"/>
      <c r="R457" s="836"/>
      <c r="U457" s="917"/>
      <c r="W457" s="986"/>
    </row>
    <row r="458" spans="1:23" s="837" customFormat="1" ht="24" customHeight="1">
      <c r="A458" s="1089"/>
      <c r="B458" s="1074"/>
      <c r="C458" s="1071"/>
      <c r="D458" s="851">
        <v>5</v>
      </c>
      <c r="E458" s="796" t="e">
        <f>E466+E468+E469+E474+E476+E478+E479+E481+E483+E484+E485</f>
        <v>#VALUE!</v>
      </c>
      <c r="F458" s="796">
        <f>F466+F468+F469+F474+F476+F478+F479+F481+F483+F484+F485</f>
        <v>195951</v>
      </c>
      <c r="G458" s="852">
        <f>G466+G467+G468+G469+G474+G476+G477+G478+G479+G481+G482+G483+G484+G485</f>
        <v>0</v>
      </c>
      <c r="H458" s="796">
        <f>'Dcu-DKDD'!H$96*1.3</f>
        <v>7793.3223958333338</v>
      </c>
      <c r="I458" s="796">
        <f>'VL-DKDD'!F$96</f>
        <v>6873.12</v>
      </c>
      <c r="J458" s="796">
        <f>'TB-DKDD'!I$50*1.3</f>
        <v>546.41600000000005</v>
      </c>
      <c r="K458" s="796">
        <f>'NL-DKDD'!F$35*1.3</f>
        <v>1119.1908000000001</v>
      </c>
      <c r="L458" s="796" t="e">
        <f t="shared" si="84"/>
        <v>#VALUE!</v>
      </c>
      <c r="M458" s="796" t="e">
        <f>L458*'He so chung'!$D$17/100</f>
        <v>#VALUE!</v>
      </c>
      <c r="N458" s="796" t="e">
        <f t="shared" si="85"/>
        <v>#VALUE!</v>
      </c>
      <c r="O458" s="796">
        <f>O466+O468+O469+O474+O476+O478+O479+O481+O483+O484+O485</f>
        <v>39501.39423076922</v>
      </c>
      <c r="P458" s="853"/>
      <c r="Q458" s="853"/>
      <c r="R458" s="836"/>
      <c r="U458" s="917"/>
      <c r="W458" s="986"/>
    </row>
    <row r="459" spans="1:23" s="837" customFormat="1" ht="24" customHeight="1">
      <c r="A459" s="1089" t="s">
        <v>1009</v>
      </c>
      <c r="B459" s="1074" t="s">
        <v>669</v>
      </c>
      <c r="C459" s="1071" t="s">
        <v>532</v>
      </c>
      <c r="D459" s="851">
        <v>1</v>
      </c>
      <c r="E459" s="796" t="e">
        <f>E467+E468+E469+E470+E477+E478+E479+E482+E483+E484+E485</f>
        <v>#VALUE!</v>
      </c>
      <c r="F459" s="796">
        <f>F467+F468+F469+F470+F476+F477+F478+F479+F482+F483+F484+F485</f>
        <v>133770</v>
      </c>
      <c r="G459" s="796">
        <f>G467+G468+G469+G470+G476+G477+G478+G479+G482+G483+G484+G485</f>
        <v>0</v>
      </c>
      <c r="H459" s="796">
        <f>'Dcu-DKDD'!H$96*1.3</f>
        <v>7793.3223958333338</v>
      </c>
      <c r="I459" s="796">
        <f>'VL-DKDD'!F$96</f>
        <v>6873.12</v>
      </c>
      <c r="J459" s="796">
        <f>'TB-DKDD'!I$50*1.3</f>
        <v>546.41600000000005</v>
      </c>
      <c r="K459" s="796">
        <f>'NL-DKDD'!F$35*1.3</f>
        <v>1119.1908000000001</v>
      </c>
      <c r="L459" s="796" t="e">
        <f t="shared" si="84"/>
        <v>#VALUE!</v>
      </c>
      <c r="M459" s="796" t="e">
        <f>L459*'He so chung'!$D$17/100</f>
        <v>#VALUE!</v>
      </c>
      <c r="N459" s="796" t="e">
        <f t="shared" si="85"/>
        <v>#VALUE!</v>
      </c>
      <c r="O459" s="796">
        <f>O467+O468+O469+O470+O477+O478+O479+O482+O483+O484+O485</f>
        <v>31883.926923076913</v>
      </c>
      <c r="P459" s="853"/>
      <c r="Q459" s="853"/>
      <c r="R459" s="836"/>
      <c r="U459" s="917"/>
      <c r="W459" s="986"/>
    </row>
    <row r="460" spans="1:23" s="837" customFormat="1" ht="24" customHeight="1">
      <c r="A460" s="1089"/>
      <c r="B460" s="1074"/>
      <c r="C460" s="1071"/>
      <c r="D460" s="851">
        <v>2</v>
      </c>
      <c r="E460" s="796" t="e">
        <f>E467+E468+E469+E471+E477+E478+E479+E482+E483+E484+E485</f>
        <v>#VALUE!</v>
      </c>
      <c r="F460" s="796">
        <f>F467+F468+F469+F471+F477+F478+F479+F482+F483+F484+F485</f>
        <v>147146.99999999997</v>
      </c>
      <c r="G460" s="796">
        <f>G467+G468+G469+G471+G477+G478+G479+G482+G483+G484+G485</f>
        <v>0</v>
      </c>
      <c r="H460" s="796">
        <f>'Dcu-DKDD'!H$96*1.3</f>
        <v>7793.3223958333338</v>
      </c>
      <c r="I460" s="796">
        <f>'VL-DKDD'!F$96</f>
        <v>6873.12</v>
      </c>
      <c r="J460" s="796">
        <f>'TB-DKDD'!I$50*1.3</f>
        <v>546.41600000000005</v>
      </c>
      <c r="K460" s="796">
        <f>'NL-DKDD'!F$35*1.3</f>
        <v>1119.1908000000001</v>
      </c>
      <c r="L460" s="796" t="e">
        <f t="shared" si="84"/>
        <v>#VALUE!</v>
      </c>
      <c r="M460" s="796" t="e">
        <f>L460*'He so chung'!$D$17/100</f>
        <v>#VALUE!</v>
      </c>
      <c r="N460" s="796" t="e">
        <f t="shared" si="85"/>
        <v>#VALUE!</v>
      </c>
      <c r="O460" s="796">
        <f>O467+O468+O469+O471+O477+O478+O479+O482+O483+O484+O485</f>
        <v>33322.576923076915</v>
      </c>
      <c r="P460" s="853"/>
      <c r="Q460" s="853"/>
      <c r="R460" s="836"/>
      <c r="U460" s="917"/>
      <c r="W460" s="986"/>
    </row>
    <row r="461" spans="1:23" s="837" customFormat="1" ht="24" customHeight="1">
      <c r="A461" s="1089"/>
      <c r="B461" s="1074"/>
      <c r="C461" s="1071"/>
      <c r="D461" s="851">
        <v>3</v>
      </c>
      <c r="E461" s="796" t="e">
        <f>E467+E468+E469+E472+E477+E478+E479+E482+E483+E484+E485</f>
        <v>#VALUE!</v>
      </c>
      <c r="F461" s="796">
        <f>F467+F468+F469+F472+F476+F477+F478+F479+F482+F483+F484+F485</f>
        <v>161847</v>
      </c>
      <c r="G461" s="796">
        <f>G467+G468+G469+G472+G476+G477+G478+G479+G482+G483+G484+G485</f>
        <v>0</v>
      </c>
      <c r="H461" s="796">
        <f>'Dcu-DKDD'!H$96*1.3</f>
        <v>7793.3223958333338</v>
      </c>
      <c r="I461" s="796">
        <f>'VL-DKDD'!F$96</f>
        <v>6873.12</v>
      </c>
      <c r="J461" s="796">
        <f>'TB-DKDD'!I$50*1.3</f>
        <v>546.41600000000005</v>
      </c>
      <c r="K461" s="796">
        <f>'NL-DKDD'!F$35*1.3</f>
        <v>1119.1908000000001</v>
      </c>
      <c r="L461" s="796" t="e">
        <f t="shared" si="84"/>
        <v>#VALUE!</v>
      </c>
      <c r="M461" s="796" t="e">
        <f>L461*'He so chung'!$D$17/100</f>
        <v>#VALUE!</v>
      </c>
      <c r="N461" s="796" t="e">
        <f t="shared" si="85"/>
        <v>#VALUE!</v>
      </c>
      <c r="O461" s="796">
        <f>O467+O468+O469+O472+O477+O478+O479+O482+O483+O484+O485</f>
        <v>34908.780769230762</v>
      </c>
      <c r="P461" s="853"/>
      <c r="Q461" s="853"/>
      <c r="R461" s="836"/>
      <c r="U461" s="917"/>
      <c r="W461" s="986"/>
    </row>
    <row r="462" spans="1:23" s="837" customFormat="1" ht="24" customHeight="1">
      <c r="A462" s="1089"/>
      <c r="B462" s="1074"/>
      <c r="C462" s="1071"/>
      <c r="D462" s="851">
        <v>4</v>
      </c>
      <c r="E462" s="796" t="e">
        <f>E467+E468+E469+E473+E477+E478+E479+E482+E483+E484+E485</f>
        <v>#VALUE!</v>
      </c>
      <c r="F462" s="796">
        <f>F467+F468+F469+F473+F476+F477+F478+F479+F482+F483+F484+F485</f>
        <v>178164</v>
      </c>
      <c r="G462" s="796">
        <f>G467+G468+G469+G473+G476+G477+G478+G479+G482+G483+G484+G485</f>
        <v>0</v>
      </c>
      <c r="H462" s="796">
        <f>'Dcu-DKDD'!H$96*1.3</f>
        <v>7793.3223958333338</v>
      </c>
      <c r="I462" s="796">
        <f>'VL-DKDD'!F$96</f>
        <v>6873.12</v>
      </c>
      <c r="J462" s="796">
        <f>'TB-DKDD'!I$50*1.3</f>
        <v>546.41600000000005</v>
      </c>
      <c r="K462" s="796">
        <f>'NL-DKDD'!F$35*1.3</f>
        <v>1119.1908000000001</v>
      </c>
      <c r="L462" s="796" t="e">
        <f t="shared" si="84"/>
        <v>#VALUE!</v>
      </c>
      <c r="M462" s="796" t="e">
        <f>L462*'He so chung'!$D$17/100</f>
        <v>#VALUE!</v>
      </c>
      <c r="N462" s="796" t="e">
        <f t="shared" si="85"/>
        <v>#VALUE!</v>
      </c>
      <c r="O462" s="796">
        <f>O467+O468+O469+O473+O477+O478+O479+O482+O483+O484+O485</f>
        <v>36642.538461538454</v>
      </c>
      <c r="P462" s="853"/>
      <c r="Q462" s="853"/>
      <c r="R462" s="836"/>
      <c r="U462" s="917"/>
      <c r="W462" s="986"/>
    </row>
    <row r="463" spans="1:23" s="837" customFormat="1" ht="24" customHeight="1">
      <c r="A463" s="1089"/>
      <c r="B463" s="1074"/>
      <c r="C463" s="1071"/>
      <c r="D463" s="851">
        <v>5</v>
      </c>
      <c r="E463" s="796" t="e">
        <f>E467+E468+E469+E474+E477+E478+E479+E482+E483+E484+E485</f>
        <v>#VALUE!</v>
      </c>
      <c r="F463" s="796">
        <f>F467+F468+F469+F474+F476+F477+F478+F479+F482+F483+F484+F485</f>
        <v>195951</v>
      </c>
      <c r="G463" s="796">
        <f>G467+G468+G469+G474+G476+G477+G478+G479+G482+G483+G484+G485</f>
        <v>0</v>
      </c>
      <c r="H463" s="796">
        <f>'Dcu-DKDD'!H$96*1.3</f>
        <v>7793.3223958333338</v>
      </c>
      <c r="I463" s="796">
        <f>'VL-DKDD'!F$96</f>
        <v>6873.12</v>
      </c>
      <c r="J463" s="796">
        <f>'TB-DKDD'!I$50*1.3</f>
        <v>546.41600000000005</v>
      </c>
      <c r="K463" s="796">
        <f>'NL-DKDD'!F$35*1.3</f>
        <v>1119.1908000000001</v>
      </c>
      <c r="L463" s="796" t="e">
        <f t="shared" si="84"/>
        <v>#VALUE!</v>
      </c>
      <c r="M463" s="796" t="e">
        <f>L463*'He so chung'!$D$17/100</f>
        <v>#VALUE!</v>
      </c>
      <c r="N463" s="796" t="e">
        <f t="shared" si="85"/>
        <v>#VALUE!</v>
      </c>
      <c r="O463" s="796">
        <f>O467+O468+O469+O474+O477+O478+O479+O482+O483+O484+O485</f>
        <v>38474.665384615379</v>
      </c>
      <c r="P463" s="853"/>
      <c r="Q463" s="853"/>
      <c r="R463" s="836"/>
      <c r="U463" s="917"/>
      <c r="W463" s="986"/>
    </row>
    <row r="464" spans="1:23" s="837" customFormat="1" ht="24" customHeight="1">
      <c r="A464" s="865"/>
      <c r="B464" s="966"/>
      <c r="C464" s="865"/>
      <c r="D464" s="851"/>
      <c r="E464" s="796"/>
      <c r="F464" s="796"/>
      <c r="G464" s="852"/>
      <c r="H464" s="796"/>
      <c r="I464" s="796"/>
      <c r="J464" s="796"/>
      <c r="K464" s="796"/>
      <c r="L464" s="796"/>
      <c r="M464" s="796"/>
      <c r="N464" s="796"/>
      <c r="O464" s="796"/>
      <c r="P464" s="853"/>
      <c r="Q464" s="853"/>
      <c r="R464" s="836"/>
    </row>
    <row r="465" spans="1:18" s="837" customFormat="1" ht="24" customHeight="1">
      <c r="A465" s="798">
        <v>1</v>
      </c>
      <c r="B465" s="799" t="s">
        <v>844</v>
      </c>
      <c r="C465" s="798"/>
      <c r="D465" s="952"/>
      <c r="E465" s="796"/>
      <c r="F465" s="796"/>
      <c r="G465" s="796"/>
      <c r="H465" s="796"/>
      <c r="I465" s="796"/>
      <c r="J465" s="796"/>
      <c r="K465" s="796"/>
      <c r="L465" s="854"/>
      <c r="M465" s="854"/>
      <c r="N465" s="854"/>
      <c r="O465" s="796"/>
      <c r="P465" s="853"/>
      <c r="Q465" s="853"/>
      <c r="R465" s="836"/>
    </row>
    <row r="466" spans="1:18" s="837" customFormat="1" ht="24.75" customHeight="1">
      <c r="A466" s="798" t="s">
        <v>733</v>
      </c>
      <c r="B466" s="799" t="s">
        <v>846</v>
      </c>
      <c r="C466" s="798" t="s">
        <v>532</v>
      </c>
      <c r="D466" s="967" t="s">
        <v>723</v>
      </c>
      <c r="E466" s="857" t="e">
        <f>NC_DKDD!H310</f>
        <v>#VALUE!</v>
      </c>
      <c r="F466" s="857"/>
      <c r="G466" s="796"/>
      <c r="H466" s="796"/>
      <c r="I466" s="796"/>
      <c r="J466" s="796"/>
      <c r="K466" s="796"/>
      <c r="L466" s="854"/>
      <c r="M466" s="854"/>
      <c r="N466" s="854"/>
      <c r="O466" s="857">
        <f>P466+Q466</f>
        <v>1598.5</v>
      </c>
      <c r="P466" s="858">
        <f>R466*$P$452</f>
        <v>1390</v>
      </c>
      <c r="Q466" s="858">
        <f>R466*$Q$452</f>
        <v>208.5</v>
      </c>
      <c r="R466" s="852">
        <f>NC_DKDD!G310</f>
        <v>0.26</v>
      </c>
    </row>
    <row r="467" spans="1:18" s="837" customFormat="1" ht="24.75" customHeight="1">
      <c r="A467" s="798" t="s">
        <v>741</v>
      </c>
      <c r="B467" s="799" t="s">
        <v>849</v>
      </c>
      <c r="C467" s="798" t="s">
        <v>532</v>
      </c>
      <c r="D467" s="967" t="s">
        <v>723</v>
      </c>
      <c r="E467" s="857" t="e">
        <f>NC_DKDD!H311</f>
        <v>#VALUE!</v>
      </c>
      <c r="F467" s="857"/>
      <c r="G467" s="796"/>
      <c r="H467" s="796"/>
      <c r="I467" s="796"/>
      <c r="J467" s="796"/>
      <c r="K467" s="796"/>
      <c r="L467" s="854"/>
      <c r="M467" s="854"/>
      <c r="N467" s="854"/>
      <c r="O467" s="857">
        <f t="shared" ref="O467:O487" si="86">P467+Q467</f>
        <v>1168.1346153846152</v>
      </c>
      <c r="P467" s="858">
        <f t="shared" ref="P467:P485" si="87">R467*$P$452</f>
        <v>1015.7692307692307</v>
      </c>
      <c r="Q467" s="858">
        <f t="shared" ref="Q467:Q485" si="88">R467*$Q$452</f>
        <v>152.36538461538461</v>
      </c>
      <c r="R467" s="852">
        <f>NC_DKDD!G311</f>
        <v>0.19</v>
      </c>
    </row>
    <row r="468" spans="1:18" s="837" customFormat="1" ht="42.75">
      <c r="A468" s="798">
        <v>2</v>
      </c>
      <c r="B468" s="799" t="s">
        <v>850</v>
      </c>
      <c r="C468" s="798" t="s">
        <v>532</v>
      </c>
      <c r="D468" s="967" t="s">
        <v>723</v>
      </c>
      <c r="E468" s="857" t="e">
        <f>NC_DKDD!H312</f>
        <v>#VALUE!</v>
      </c>
      <c r="F468" s="857"/>
      <c r="G468" s="796"/>
      <c r="H468" s="796"/>
      <c r="I468" s="796"/>
      <c r="J468" s="796"/>
      <c r="K468" s="796"/>
      <c r="L468" s="854"/>
      <c r="M468" s="854"/>
      <c r="N468" s="854"/>
      <c r="O468" s="857">
        <f t="shared" si="86"/>
        <v>6947.326923076922</v>
      </c>
      <c r="P468" s="858">
        <f t="shared" si="87"/>
        <v>6041.1538461538448</v>
      </c>
      <c r="Q468" s="858">
        <f t="shared" si="88"/>
        <v>906.17307692307679</v>
      </c>
      <c r="R468" s="852">
        <f>NC_DKDD!G312</f>
        <v>1.1299999999999999</v>
      </c>
    </row>
    <row r="469" spans="1:18" s="837" customFormat="1" ht="40.5" customHeight="1">
      <c r="A469" s="798">
        <v>3</v>
      </c>
      <c r="B469" s="799" t="s">
        <v>851</v>
      </c>
      <c r="C469" s="798" t="s">
        <v>375</v>
      </c>
      <c r="D469" s="967" t="s">
        <v>723</v>
      </c>
      <c r="E469" s="857" t="e">
        <f>NC_DKDD!H313</f>
        <v>#VALUE!</v>
      </c>
      <c r="F469" s="857"/>
      <c r="G469" s="796"/>
      <c r="H469" s="796"/>
      <c r="I469" s="796"/>
      <c r="J469" s="796"/>
      <c r="K469" s="796"/>
      <c r="L469" s="854"/>
      <c r="M469" s="854"/>
      <c r="N469" s="854"/>
      <c r="O469" s="857">
        <f t="shared" si="86"/>
        <v>1026.728846153846</v>
      </c>
      <c r="P469" s="858">
        <f t="shared" si="87"/>
        <v>892.80769230769226</v>
      </c>
      <c r="Q469" s="858">
        <f t="shared" si="88"/>
        <v>133.92115384615386</v>
      </c>
      <c r="R469" s="852">
        <f>NC_DKDD!G313</f>
        <v>0.16700000000000001</v>
      </c>
    </row>
    <row r="470" spans="1:18" s="837" customFormat="1" ht="24" customHeight="1">
      <c r="A470" s="1084">
        <v>4</v>
      </c>
      <c r="B470" s="1096" t="s">
        <v>852</v>
      </c>
      <c r="C470" s="1084" t="s">
        <v>532</v>
      </c>
      <c r="D470" s="969">
        <v>1</v>
      </c>
      <c r="E470" s="857" t="e">
        <f>NC_DKDD!H314</f>
        <v>#VALUE!</v>
      </c>
      <c r="F470" s="857">
        <f>NC_DKDD!H315</f>
        <v>133770</v>
      </c>
      <c r="G470" s="796"/>
      <c r="H470" s="796"/>
      <c r="I470" s="796"/>
      <c r="J470" s="796"/>
      <c r="K470" s="796"/>
      <c r="L470" s="854"/>
      <c r="M470" s="854"/>
      <c r="N470" s="854"/>
      <c r="O470" s="857">
        <f t="shared" si="86"/>
        <v>14386.499999999998</v>
      </c>
      <c r="P470" s="858">
        <f t="shared" si="87"/>
        <v>12509.999999999998</v>
      </c>
      <c r="Q470" s="858">
        <f t="shared" si="88"/>
        <v>1876.4999999999998</v>
      </c>
      <c r="R470" s="852">
        <f>NC_DKDD!G314</f>
        <v>2.34</v>
      </c>
    </row>
    <row r="471" spans="1:18" s="837" customFormat="1" ht="24" customHeight="1">
      <c r="A471" s="1084"/>
      <c r="B471" s="1096"/>
      <c r="C471" s="1084"/>
      <c r="D471" s="969">
        <v>2</v>
      </c>
      <c r="E471" s="857" t="e">
        <f>NC_DKDD!H316</f>
        <v>#VALUE!</v>
      </c>
      <c r="F471" s="857">
        <f>NC_DKDD!H317</f>
        <v>147146.99999999997</v>
      </c>
      <c r="G471" s="796"/>
      <c r="H471" s="796"/>
      <c r="I471" s="796"/>
      <c r="J471" s="796"/>
      <c r="K471" s="796"/>
      <c r="L471" s="854"/>
      <c r="M471" s="854"/>
      <c r="N471" s="854"/>
      <c r="O471" s="857">
        <f t="shared" si="86"/>
        <v>15825.149999999998</v>
      </c>
      <c r="P471" s="858">
        <f t="shared" si="87"/>
        <v>13760.999999999998</v>
      </c>
      <c r="Q471" s="858">
        <f t="shared" si="88"/>
        <v>2064.1499999999996</v>
      </c>
      <c r="R471" s="852">
        <f>NC_DKDD!G316</f>
        <v>2.5739999999999998</v>
      </c>
    </row>
    <row r="472" spans="1:18" s="837" customFormat="1" ht="24" customHeight="1">
      <c r="A472" s="1084"/>
      <c r="B472" s="1096"/>
      <c r="C472" s="1084"/>
      <c r="D472" s="969">
        <v>3</v>
      </c>
      <c r="E472" s="857" t="e">
        <f>NC_DKDD!H318</f>
        <v>#VALUE!</v>
      </c>
      <c r="F472" s="857">
        <f>NC_DKDD!H319</f>
        <v>161847</v>
      </c>
      <c r="G472" s="796"/>
      <c r="H472" s="796"/>
      <c r="I472" s="796"/>
      <c r="J472" s="796"/>
      <c r="K472" s="796"/>
      <c r="L472" s="854"/>
      <c r="M472" s="854"/>
      <c r="N472" s="854"/>
      <c r="O472" s="857">
        <f t="shared" si="86"/>
        <v>17411.353846153845</v>
      </c>
      <c r="P472" s="858">
        <f t="shared" si="87"/>
        <v>15140.30769230769</v>
      </c>
      <c r="Q472" s="858">
        <f t="shared" si="88"/>
        <v>2271.0461538461536</v>
      </c>
      <c r="R472" s="852">
        <f>NC_DKDD!G318</f>
        <v>2.8319999999999999</v>
      </c>
    </row>
    <row r="473" spans="1:18" s="837" customFormat="1" ht="24" customHeight="1">
      <c r="A473" s="1084"/>
      <c r="B473" s="1096"/>
      <c r="C473" s="1084"/>
      <c r="D473" s="969">
        <v>4</v>
      </c>
      <c r="E473" s="857" t="e">
        <f>NC_DKDD!H320</f>
        <v>#VALUE!</v>
      </c>
      <c r="F473" s="857">
        <f>NC_DKDD!H321</f>
        <v>178164</v>
      </c>
      <c r="G473" s="796"/>
      <c r="H473" s="796"/>
      <c r="I473" s="796"/>
      <c r="J473" s="796"/>
      <c r="K473" s="796"/>
      <c r="L473" s="854"/>
      <c r="M473" s="854"/>
      <c r="N473" s="854"/>
      <c r="O473" s="857">
        <f t="shared" si="86"/>
        <v>19145.111538461537</v>
      </c>
      <c r="P473" s="858">
        <f t="shared" si="87"/>
        <v>16647.923076923074</v>
      </c>
      <c r="Q473" s="858">
        <f t="shared" si="88"/>
        <v>2497.1884615384615</v>
      </c>
      <c r="R473" s="852">
        <f>NC_DKDD!G320</f>
        <v>3.1139999999999999</v>
      </c>
    </row>
    <row r="474" spans="1:18" s="837" customFormat="1" ht="24" customHeight="1">
      <c r="A474" s="1084"/>
      <c r="B474" s="1096"/>
      <c r="C474" s="1084"/>
      <c r="D474" s="969">
        <v>5</v>
      </c>
      <c r="E474" s="857" t="e">
        <f>NC_DKDD!H322</f>
        <v>#VALUE!</v>
      </c>
      <c r="F474" s="857">
        <f>NC_DKDD!H323</f>
        <v>195951</v>
      </c>
      <c r="G474" s="796"/>
      <c r="H474" s="796"/>
      <c r="I474" s="796"/>
      <c r="J474" s="796"/>
      <c r="K474" s="796"/>
      <c r="L474" s="854"/>
      <c r="M474" s="854"/>
      <c r="N474" s="854"/>
      <c r="O474" s="857">
        <f t="shared" si="86"/>
        <v>20977.238461538462</v>
      </c>
      <c r="P474" s="858">
        <f t="shared" si="87"/>
        <v>18241.076923076922</v>
      </c>
      <c r="Q474" s="858">
        <f t="shared" si="88"/>
        <v>2736.1615384615384</v>
      </c>
      <c r="R474" s="852">
        <f>NC_DKDD!G322</f>
        <v>3.4119999999999999</v>
      </c>
    </row>
    <row r="475" spans="1:18" s="837" customFormat="1" ht="33" customHeight="1">
      <c r="A475" s="798">
        <v>5</v>
      </c>
      <c r="B475" s="799" t="s">
        <v>579</v>
      </c>
      <c r="C475" s="798"/>
      <c r="D475" s="969"/>
      <c r="E475" s="857"/>
      <c r="F475" s="857"/>
      <c r="G475" s="796"/>
      <c r="H475" s="796"/>
      <c r="I475" s="796"/>
      <c r="J475" s="796"/>
      <c r="K475" s="796"/>
      <c r="L475" s="854"/>
      <c r="M475" s="854"/>
      <c r="N475" s="854"/>
      <c r="O475" s="857">
        <f t="shared" si="86"/>
        <v>0</v>
      </c>
      <c r="P475" s="858">
        <f t="shared" si="87"/>
        <v>0</v>
      </c>
      <c r="Q475" s="858">
        <f t="shared" si="88"/>
        <v>0</v>
      </c>
      <c r="R475" s="852"/>
    </row>
    <row r="476" spans="1:18" s="837" customFormat="1" ht="24" customHeight="1">
      <c r="A476" s="798" t="s">
        <v>461</v>
      </c>
      <c r="B476" s="799" t="s">
        <v>846</v>
      </c>
      <c r="C476" s="798" t="s">
        <v>532</v>
      </c>
      <c r="D476" s="967" t="s">
        <v>723</v>
      </c>
      <c r="E476" s="857" t="e">
        <f>NC_DKDD!H325</f>
        <v>#VALUE!</v>
      </c>
      <c r="F476" s="857"/>
      <c r="G476" s="796"/>
      <c r="H476" s="796"/>
      <c r="I476" s="796"/>
      <c r="J476" s="796"/>
      <c r="K476" s="796"/>
      <c r="L476" s="854"/>
      <c r="M476" s="854"/>
      <c r="N476" s="854"/>
      <c r="O476" s="857">
        <f t="shared" si="86"/>
        <v>399.625</v>
      </c>
      <c r="P476" s="858">
        <f t="shared" si="87"/>
        <v>347.5</v>
      </c>
      <c r="Q476" s="858">
        <f t="shared" si="88"/>
        <v>52.125</v>
      </c>
      <c r="R476" s="867">
        <f>NC_DKDD!G325</f>
        <v>6.5000000000000002E-2</v>
      </c>
    </row>
    <row r="477" spans="1:18" s="837" customFormat="1" ht="24" customHeight="1">
      <c r="A477" s="798" t="s">
        <v>462</v>
      </c>
      <c r="B477" s="799" t="s">
        <v>849</v>
      </c>
      <c r="C477" s="798" t="s">
        <v>532</v>
      </c>
      <c r="D477" s="967" t="s">
        <v>723</v>
      </c>
      <c r="E477" s="857" t="e">
        <f>NC_DKDD!H326</f>
        <v>#VALUE!</v>
      </c>
      <c r="F477" s="857"/>
      <c r="G477" s="796"/>
      <c r="H477" s="796"/>
      <c r="I477" s="796"/>
      <c r="J477" s="796"/>
      <c r="K477" s="796"/>
      <c r="L477" s="854"/>
      <c r="M477" s="854"/>
      <c r="N477" s="854"/>
      <c r="O477" s="857">
        <f t="shared" si="86"/>
        <v>202.88653846153844</v>
      </c>
      <c r="P477" s="858">
        <f t="shared" si="87"/>
        <v>176.42307692307691</v>
      </c>
      <c r="Q477" s="858">
        <f t="shared" si="88"/>
        <v>26.463461538461541</v>
      </c>
      <c r="R477" s="867">
        <f>NC_DKDD!G326</f>
        <v>3.3000000000000002E-2</v>
      </c>
    </row>
    <row r="478" spans="1:18" s="837" customFormat="1" ht="33" customHeight="1">
      <c r="A478" s="798">
        <v>6</v>
      </c>
      <c r="B478" s="799" t="s">
        <v>793</v>
      </c>
      <c r="C478" s="798" t="s">
        <v>375</v>
      </c>
      <c r="D478" s="967" t="s">
        <v>723</v>
      </c>
      <c r="E478" s="857" t="e">
        <f>NC_DKDD!H327</f>
        <v>#VALUE!</v>
      </c>
      <c r="F478" s="857"/>
      <c r="G478" s="796"/>
      <c r="H478" s="796"/>
      <c r="I478" s="796"/>
      <c r="J478" s="796"/>
      <c r="K478" s="796"/>
      <c r="L478" s="854"/>
      <c r="M478" s="854"/>
      <c r="N478" s="854"/>
      <c r="O478" s="857">
        <f t="shared" si="86"/>
        <v>18.444230769230767</v>
      </c>
      <c r="P478" s="858">
        <f t="shared" si="87"/>
        <v>16.038461538461537</v>
      </c>
      <c r="Q478" s="858">
        <f t="shared" si="88"/>
        <v>2.4057692307692307</v>
      </c>
      <c r="R478" s="867">
        <f>NC_DKDD!G327</f>
        <v>3.0000000000000001E-3</v>
      </c>
    </row>
    <row r="479" spans="1:18" s="837" customFormat="1" ht="33" customHeight="1">
      <c r="A479" s="798">
        <v>7</v>
      </c>
      <c r="B479" s="799" t="s">
        <v>148</v>
      </c>
      <c r="C479" s="798" t="s">
        <v>532</v>
      </c>
      <c r="D479" s="967" t="s">
        <v>723</v>
      </c>
      <c r="E479" s="857" t="e">
        <f>NC_DKDD!H328</f>
        <v>#VALUE!</v>
      </c>
      <c r="F479" s="857"/>
      <c r="G479" s="796"/>
      <c r="H479" s="796"/>
      <c r="I479" s="796"/>
      <c r="J479" s="796"/>
      <c r="K479" s="796"/>
      <c r="L479" s="854"/>
      <c r="M479" s="854"/>
      <c r="N479" s="854"/>
      <c r="O479" s="857">
        <f t="shared" si="86"/>
        <v>479.54999999999995</v>
      </c>
      <c r="P479" s="858">
        <f t="shared" si="87"/>
        <v>416.99999999999994</v>
      </c>
      <c r="Q479" s="858">
        <f t="shared" si="88"/>
        <v>62.55</v>
      </c>
      <c r="R479" s="867">
        <f>NC_DKDD!G328</f>
        <v>7.8E-2</v>
      </c>
    </row>
    <row r="480" spans="1:18" s="837" customFormat="1" ht="33" customHeight="1">
      <c r="A480" s="798">
        <v>8</v>
      </c>
      <c r="B480" s="799" t="s">
        <v>167</v>
      </c>
      <c r="C480" s="798"/>
      <c r="D480" s="969"/>
      <c r="E480" s="857">
        <f>NC_DKDD!H329</f>
        <v>0</v>
      </c>
      <c r="F480" s="857"/>
      <c r="G480" s="796"/>
      <c r="H480" s="796"/>
      <c r="I480" s="796"/>
      <c r="J480" s="796"/>
      <c r="K480" s="796"/>
      <c r="L480" s="854"/>
      <c r="M480" s="854"/>
      <c r="N480" s="854"/>
      <c r="O480" s="857">
        <f t="shared" si="86"/>
        <v>0</v>
      </c>
      <c r="P480" s="858">
        <f t="shared" si="87"/>
        <v>0</v>
      </c>
      <c r="Q480" s="858">
        <f t="shared" si="88"/>
        <v>0</v>
      </c>
      <c r="R480" s="867">
        <f>NC_DKDD!G329</f>
        <v>0</v>
      </c>
    </row>
    <row r="481" spans="1:20" s="837" customFormat="1" ht="27" customHeight="1">
      <c r="A481" s="798" t="s">
        <v>191</v>
      </c>
      <c r="B481" s="799" t="s">
        <v>846</v>
      </c>
      <c r="C481" s="798" t="s">
        <v>532</v>
      </c>
      <c r="D481" s="967" t="s">
        <v>723</v>
      </c>
      <c r="E481" s="857" t="e">
        <f>NC_DKDD!H330</f>
        <v>#VALUE!</v>
      </c>
      <c r="F481" s="857"/>
      <c r="G481" s="796"/>
      <c r="H481" s="796"/>
      <c r="I481" s="796"/>
      <c r="J481" s="796"/>
      <c r="K481" s="796"/>
      <c r="L481" s="854"/>
      <c r="M481" s="854"/>
      <c r="N481" s="854"/>
      <c r="O481" s="857">
        <f t="shared" si="86"/>
        <v>1598.5</v>
      </c>
      <c r="P481" s="858">
        <f t="shared" si="87"/>
        <v>1390</v>
      </c>
      <c r="Q481" s="858">
        <f t="shared" si="88"/>
        <v>208.5</v>
      </c>
      <c r="R481" s="867">
        <f>NC_DKDD!G330</f>
        <v>0.26</v>
      </c>
    </row>
    <row r="482" spans="1:20" s="837" customFormat="1" ht="27" customHeight="1">
      <c r="A482" s="798" t="s">
        <v>192</v>
      </c>
      <c r="B482" s="799" t="s">
        <v>849</v>
      </c>
      <c r="C482" s="798" t="s">
        <v>532</v>
      </c>
      <c r="D482" s="967" t="s">
        <v>723</v>
      </c>
      <c r="E482" s="857" t="e">
        <f>NC_DKDD!H331</f>
        <v>#VALUE!</v>
      </c>
      <c r="F482" s="857"/>
      <c r="G482" s="796"/>
      <c r="H482" s="796"/>
      <c r="I482" s="796"/>
      <c r="J482" s="796"/>
      <c r="K482" s="796"/>
      <c r="L482" s="854"/>
      <c r="M482" s="854"/>
      <c r="N482" s="854"/>
      <c r="O482" s="857">
        <f t="shared" si="86"/>
        <v>1198.875</v>
      </c>
      <c r="P482" s="858">
        <f t="shared" si="87"/>
        <v>1042.5</v>
      </c>
      <c r="Q482" s="858">
        <f t="shared" si="88"/>
        <v>156.375</v>
      </c>
      <c r="R482" s="867">
        <f>NC_DKDD!G331</f>
        <v>0.19500000000000001</v>
      </c>
    </row>
    <row r="483" spans="1:20" s="837" customFormat="1" ht="27" customHeight="1">
      <c r="A483" s="798">
        <v>9</v>
      </c>
      <c r="B483" s="799" t="s">
        <v>149</v>
      </c>
      <c r="C483" s="798" t="s">
        <v>532</v>
      </c>
      <c r="D483" s="967" t="s">
        <v>723</v>
      </c>
      <c r="E483" s="857" t="e">
        <f>NC_DKDD!H332</f>
        <v>#VALUE!</v>
      </c>
      <c r="F483" s="857"/>
      <c r="G483" s="796"/>
      <c r="H483" s="796"/>
      <c r="I483" s="796"/>
      <c r="J483" s="796"/>
      <c r="K483" s="796"/>
      <c r="L483" s="854"/>
      <c r="M483" s="854"/>
      <c r="N483" s="854"/>
      <c r="O483" s="857">
        <f t="shared" si="86"/>
        <v>3996.25</v>
      </c>
      <c r="P483" s="858">
        <f t="shared" si="87"/>
        <v>3475</v>
      </c>
      <c r="Q483" s="858">
        <f t="shared" si="88"/>
        <v>521.25</v>
      </c>
      <c r="R483" s="867">
        <f>NC_DKDD!G332</f>
        <v>0.65</v>
      </c>
    </row>
    <row r="484" spans="1:20" s="837" customFormat="1" ht="57">
      <c r="A484" s="798">
        <v>10</v>
      </c>
      <c r="B484" s="799" t="s">
        <v>794</v>
      </c>
      <c r="C484" s="798" t="s">
        <v>532</v>
      </c>
      <c r="D484" s="967" t="s">
        <v>723</v>
      </c>
      <c r="E484" s="857" t="e">
        <f>NC_DKDD!H333</f>
        <v>#VALUE!</v>
      </c>
      <c r="F484" s="857"/>
      <c r="G484" s="796"/>
      <c r="H484" s="796"/>
      <c r="I484" s="796"/>
      <c r="J484" s="796"/>
      <c r="K484" s="796"/>
      <c r="L484" s="854"/>
      <c r="M484" s="854"/>
      <c r="N484" s="854"/>
      <c r="O484" s="857">
        <f t="shared" si="86"/>
        <v>1229.6153846153848</v>
      </c>
      <c r="P484" s="858">
        <f t="shared" si="87"/>
        <v>1069.2307692307693</v>
      </c>
      <c r="Q484" s="858">
        <f t="shared" si="88"/>
        <v>160.38461538461539</v>
      </c>
      <c r="R484" s="867">
        <f>NC_DKDD!G333</f>
        <v>0.2</v>
      </c>
    </row>
    <row r="485" spans="1:20" s="837" customFormat="1" ht="46.5" customHeight="1">
      <c r="A485" s="798">
        <v>11</v>
      </c>
      <c r="B485" s="799" t="s">
        <v>795</v>
      </c>
      <c r="C485" s="798" t="s">
        <v>532</v>
      </c>
      <c r="D485" s="967" t="s">
        <v>723</v>
      </c>
      <c r="E485" s="857" t="e">
        <f>NC_DKDD!H334</f>
        <v>#VALUE!</v>
      </c>
      <c r="F485" s="857"/>
      <c r="G485" s="796"/>
      <c r="H485" s="796"/>
      <c r="I485" s="796"/>
      <c r="J485" s="796"/>
      <c r="K485" s="796"/>
      <c r="L485" s="854"/>
      <c r="M485" s="854"/>
      <c r="N485" s="854"/>
      <c r="O485" s="857">
        <f t="shared" si="86"/>
        <v>1229.6153846153848</v>
      </c>
      <c r="P485" s="858">
        <f t="shared" si="87"/>
        <v>1069.2307692307693</v>
      </c>
      <c r="Q485" s="858">
        <f t="shared" si="88"/>
        <v>160.38461538461539</v>
      </c>
      <c r="R485" s="867">
        <f>NC_DKDD!G334</f>
        <v>0.2</v>
      </c>
    </row>
    <row r="486" spans="1:20" s="837" customFormat="1" ht="30.75" customHeight="1">
      <c r="A486" s="972" t="s">
        <v>755</v>
      </c>
      <c r="B486" s="973" t="s">
        <v>339</v>
      </c>
      <c r="C486" s="974"/>
      <c r="D486" s="975"/>
      <c r="E486" s="796" t="e">
        <f>E487</f>
        <v>#VALUE!</v>
      </c>
      <c r="F486" s="976"/>
      <c r="G486" s="976"/>
      <c r="H486" s="796"/>
      <c r="I486" s="796"/>
      <c r="J486" s="796"/>
      <c r="K486" s="796"/>
      <c r="L486" s="796" t="e">
        <f>SUM(E486:K486)</f>
        <v>#VALUE!</v>
      </c>
      <c r="M486" s="796" t="e">
        <f>L486*'He so chung'!$D$17/100</f>
        <v>#VALUE!</v>
      </c>
      <c r="N486" s="796" t="e">
        <f>L486+M486</f>
        <v>#VALUE!</v>
      </c>
      <c r="O486" s="796">
        <f>O487</f>
        <v>1598.5</v>
      </c>
      <c r="P486" s="858">
        <f>R486*$P$452</f>
        <v>1390</v>
      </c>
      <c r="Q486" s="858">
        <f>R486*$Q$452</f>
        <v>208.5</v>
      </c>
      <c r="R486" s="852">
        <f>R487</f>
        <v>0.26</v>
      </c>
      <c r="T486" s="837">
        <v>61145.5</v>
      </c>
    </row>
    <row r="487" spans="1:20" s="837" customFormat="1" ht="40.5" customHeight="1">
      <c r="A487" s="798">
        <v>1</v>
      </c>
      <c r="B487" s="799" t="s">
        <v>879</v>
      </c>
      <c r="C487" s="798" t="s">
        <v>532</v>
      </c>
      <c r="D487" s="978" t="s">
        <v>723</v>
      </c>
      <c r="E487" s="857" t="e">
        <f>NC_DKDD!H379</f>
        <v>#VALUE!</v>
      </c>
      <c r="F487" s="796"/>
      <c r="G487" s="796"/>
      <c r="H487" s="796"/>
      <c r="I487" s="796"/>
      <c r="J487" s="796"/>
      <c r="K487" s="796"/>
      <c r="L487" s="854"/>
      <c r="M487" s="854"/>
      <c r="N487" s="854"/>
      <c r="O487" s="857">
        <f t="shared" si="86"/>
        <v>1598.5</v>
      </c>
      <c r="P487" s="858">
        <f>R487*$P$452</f>
        <v>1390</v>
      </c>
      <c r="Q487" s="858">
        <f>R487*$Q$452</f>
        <v>208.5</v>
      </c>
      <c r="R487" s="852">
        <f>NC_DKDD!G379</f>
        <v>0.26</v>
      </c>
    </row>
    <row r="488" spans="1:20" ht="21" customHeight="1">
      <c r="A488" s="437"/>
      <c r="B488" s="948" t="s">
        <v>533</v>
      </c>
      <c r="C488" s="439"/>
      <c r="D488" s="437"/>
      <c r="E488" s="803"/>
      <c r="F488" s="803"/>
      <c r="G488" s="804"/>
      <c r="H488" s="803"/>
      <c r="I488" s="803"/>
      <c r="J488" s="805"/>
      <c r="K488" s="805"/>
      <c r="L488" s="805"/>
      <c r="M488" s="419"/>
      <c r="N488" s="419"/>
      <c r="O488" s="901"/>
      <c r="P488" s="420"/>
      <c r="Q488" s="420"/>
      <c r="R488" s="987"/>
    </row>
    <row r="489" spans="1:20" ht="35.450000000000003" customHeight="1">
      <c r="A489" s="455"/>
      <c r="B489" s="1073" t="s">
        <v>833</v>
      </c>
      <c r="C489" s="1073"/>
      <c r="D489" s="1073"/>
      <c r="E489" s="1073"/>
      <c r="F489" s="1073"/>
      <c r="G489" s="1073"/>
      <c r="H489" s="1073"/>
      <c r="I489" s="1073"/>
      <c r="J489" s="1073"/>
      <c r="K489" s="1073"/>
      <c r="L489" s="1073"/>
      <c r="M489" s="1073"/>
      <c r="N489" s="1073"/>
      <c r="O489" s="1073"/>
      <c r="P489" s="420"/>
      <c r="Q489" s="420"/>
      <c r="R489" s="987"/>
    </row>
    <row r="490" spans="1:20" ht="35.450000000000003" customHeight="1">
      <c r="A490" s="455"/>
      <c r="B490" s="1069" t="s">
        <v>744</v>
      </c>
      <c r="C490" s="1069"/>
      <c r="D490" s="1069"/>
      <c r="E490" s="1069"/>
      <c r="F490" s="1069"/>
      <c r="G490" s="1069"/>
      <c r="H490" s="1069"/>
      <c r="I490" s="1069"/>
      <c r="J490" s="1069"/>
      <c r="K490" s="1069"/>
      <c r="L490" s="1069"/>
      <c r="M490" s="1069"/>
      <c r="N490" s="1069"/>
      <c r="O490" s="1069"/>
      <c r="P490" s="420"/>
      <c r="Q490" s="420"/>
      <c r="R490" s="987"/>
    </row>
    <row r="491" spans="1:20" ht="40.9" customHeight="1">
      <c r="A491" s="455"/>
      <c r="B491" s="1072" t="s">
        <v>865</v>
      </c>
      <c r="C491" s="1072"/>
      <c r="D491" s="1072"/>
      <c r="E491" s="1072"/>
      <c r="F491" s="1072"/>
      <c r="G491" s="1072"/>
      <c r="H491" s="1072"/>
      <c r="I491" s="1072"/>
      <c r="J491" s="1072"/>
      <c r="K491" s="1072"/>
      <c r="L491" s="1072"/>
      <c r="M491" s="1072"/>
      <c r="N491" s="1072"/>
      <c r="O491" s="1072"/>
      <c r="P491" s="420"/>
      <c r="Q491" s="420"/>
      <c r="R491" s="987"/>
    </row>
    <row r="492" spans="1:20" ht="40.9" customHeight="1">
      <c r="A492" s="455"/>
      <c r="B492" s="1072" t="s">
        <v>866</v>
      </c>
      <c r="C492" s="1072"/>
      <c r="D492" s="1072"/>
      <c r="E492" s="1072"/>
      <c r="F492" s="1072"/>
      <c r="G492" s="1072"/>
      <c r="H492" s="1072"/>
      <c r="I492" s="1072"/>
      <c r="J492" s="1072"/>
      <c r="K492" s="1072"/>
      <c r="L492" s="1072"/>
      <c r="M492" s="1072"/>
      <c r="N492" s="1072"/>
      <c r="O492" s="1072"/>
      <c r="P492" s="420"/>
      <c r="Q492" s="420"/>
      <c r="R492" s="987"/>
    </row>
    <row r="493" spans="1:20" ht="42" customHeight="1">
      <c r="A493" s="1070" t="s">
        <v>784</v>
      </c>
      <c r="B493" s="1070"/>
      <c r="C493" s="1070"/>
      <c r="D493" s="1070"/>
      <c r="E493" s="1070"/>
      <c r="F493" s="1070"/>
      <c r="G493" s="1070"/>
      <c r="H493" s="1070"/>
      <c r="I493" s="1070"/>
      <c r="J493" s="1070"/>
      <c r="K493" s="1070"/>
      <c r="L493" s="1070"/>
      <c r="M493" s="1070"/>
      <c r="N493" s="1070"/>
      <c r="O493" s="1070"/>
      <c r="R493" s="987"/>
    </row>
    <row r="494" spans="1:20" s="421" customFormat="1" ht="19.5" customHeight="1">
      <c r="A494" s="414"/>
      <c r="B494" s="926"/>
      <c r="C494" s="776"/>
      <c r="D494" s="777" t="s">
        <v>430</v>
      </c>
      <c r="E494" s="419"/>
      <c r="F494" s="778"/>
      <c r="G494" s="779"/>
      <c r="H494" s="778"/>
      <c r="I494" s="780"/>
      <c r="J494" s="778"/>
      <c r="K494" s="778"/>
      <c r="L494" s="781" t="s">
        <v>262</v>
      </c>
      <c r="M494" s="778"/>
      <c r="N494" s="780"/>
      <c r="O494" s="419"/>
      <c r="P494" s="420"/>
      <c r="Q494" s="420"/>
      <c r="R494" s="988"/>
    </row>
    <row r="495" spans="1:20" s="833" customFormat="1" ht="19.5" customHeight="1">
      <c r="A495" s="1068" t="s">
        <v>718</v>
      </c>
      <c r="B495" s="1068" t="s">
        <v>198</v>
      </c>
      <c r="C495" s="1071" t="s">
        <v>263</v>
      </c>
      <c r="D495" s="1071" t="s">
        <v>264</v>
      </c>
      <c r="E495" s="1071" t="s">
        <v>683</v>
      </c>
      <c r="F495" s="1071"/>
      <c r="G495" s="1071"/>
      <c r="H495" s="1071"/>
      <c r="I495" s="1071"/>
      <c r="J495" s="1071"/>
      <c r="K495" s="1071"/>
      <c r="L495" s="1071"/>
      <c r="M495" s="1071" t="s">
        <v>435</v>
      </c>
      <c r="N495" s="1071" t="s">
        <v>684</v>
      </c>
      <c r="O495" s="1071" t="s">
        <v>685</v>
      </c>
      <c r="P495" s="830"/>
      <c r="Q495" s="830"/>
      <c r="R495" s="832"/>
    </row>
    <row r="496" spans="1:20" s="833" customFormat="1" ht="19.5" customHeight="1">
      <c r="A496" s="1068"/>
      <c r="B496" s="1068"/>
      <c r="C496" s="1071"/>
      <c r="D496" s="1071"/>
      <c r="E496" s="783" t="s">
        <v>686</v>
      </c>
      <c r="F496" s="783" t="s">
        <v>687</v>
      </c>
      <c r="G496" s="784" t="s">
        <v>285</v>
      </c>
      <c r="H496" s="783" t="s">
        <v>499</v>
      </c>
      <c r="I496" s="783" t="s">
        <v>688</v>
      </c>
      <c r="J496" s="783" t="s">
        <v>531</v>
      </c>
      <c r="K496" s="783" t="s">
        <v>689</v>
      </c>
      <c r="L496" s="783" t="s">
        <v>690</v>
      </c>
      <c r="M496" s="1071"/>
      <c r="N496" s="1071"/>
      <c r="O496" s="1071"/>
      <c r="P496" s="830"/>
      <c r="Q496" s="830"/>
      <c r="R496" s="832"/>
    </row>
    <row r="497" spans="1:18" s="833" customFormat="1" ht="73.5" customHeight="1">
      <c r="A497" s="785"/>
      <c r="B497" s="839" t="s">
        <v>698</v>
      </c>
      <c r="C497" s="783"/>
      <c r="D497" s="783"/>
      <c r="E497" s="783"/>
      <c r="F497" s="783"/>
      <c r="G497" s="784"/>
      <c r="H497" s="783"/>
      <c r="I497" s="783"/>
      <c r="J497" s="783"/>
      <c r="K497" s="783"/>
      <c r="L497" s="783"/>
      <c r="M497" s="783"/>
      <c r="N497" s="783"/>
      <c r="O497" s="783"/>
      <c r="P497" s="830"/>
      <c r="Q497" s="830"/>
      <c r="R497" s="832"/>
    </row>
    <row r="498" spans="1:18" s="833" customFormat="1" ht="19.5" customHeight="1">
      <c r="A498" s="785"/>
      <c r="B498" s="786" t="s">
        <v>668</v>
      </c>
      <c r="C498" s="783" t="s">
        <v>532</v>
      </c>
      <c r="D498" s="980" t="s">
        <v>723</v>
      </c>
      <c r="E498" s="788" t="e">
        <f>E502+E546</f>
        <v>#VALUE!</v>
      </c>
      <c r="F498" s="788">
        <f t="shared" ref="F498:O498" si="89">F502+F546</f>
        <v>0</v>
      </c>
      <c r="G498" s="788">
        <f t="shared" si="89"/>
        <v>0</v>
      </c>
      <c r="H498" s="788">
        <f t="shared" si="89"/>
        <v>10769.039283333334</v>
      </c>
      <c r="I498" s="788">
        <f t="shared" si="89"/>
        <v>32414.58</v>
      </c>
      <c r="J498" s="788">
        <f t="shared" si="89"/>
        <v>5937.3859999999995</v>
      </c>
      <c r="K498" s="788">
        <f t="shared" si="89"/>
        <v>11644.432800000002</v>
      </c>
      <c r="L498" s="788" t="e">
        <f t="shared" si="89"/>
        <v>#VALUE!</v>
      </c>
      <c r="M498" s="788" t="e">
        <f t="shared" si="89"/>
        <v>#VALUE!</v>
      </c>
      <c r="N498" s="788" t="e">
        <f t="shared" si="89"/>
        <v>#VALUE!</v>
      </c>
      <c r="O498" s="788">
        <f t="shared" si="89"/>
        <v>26455.174999999996</v>
      </c>
      <c r="P498" s="830"/>
      <c r="Q498" s="830"/>
      <c r="R498" s="989"/>
    </row>
    <row r="499" spans="1:18" s="833" customFormat="1" ht="19.5" customHeight="1">
      <c r="A499" s="785"/>
      <c r="B499" s="786" t="s">
        <v>669</v>
      </c>
      <c r="C499" s="783" t="s">
        <v>532</v>
      </c>
      <c r="D499" s="980" t="s">
        <v>723</v>
      </c>
      <c r="E499" s="788" t="e">
        <f>E503+E546</f>
        <v>#VALUE!</v>
      </c>
      <c r="F499" s="788">
        <f t="shared" ref="F499:O499" si="90">F503+F546</f>
        <v>0</v>
      </c>
      <c r="G499" s="788">
        <f t="shared" si="90"/>
        <v>0</v>
      </c>
      <c r="H499" s="788">
        <f t="shared" si="90"/>
        <v>10769.039283333334</v>
      </c>
      <c r="I499" s="788">
        <f t="shared" si="90"/>
        <v>32414.58</v>
      </c>
      <c r="J499" s="788">
        <f t="shared" si="90"/>
        <v>5937.3859999999995</v>
      </c>
      <c r="K499" s="788">
        <f t="shared" si="90"/>
        <v>11644.432800000002</v>
      </c>
      <c r="L499" s="788" t="e">
        <f t="shared" si="90"/>
        <v>#VALUE!</v>
      </c>
      <c r="M499" s="788" t="e">
        <f t="shared" si="90"/>
        <v>#VALUE!</v>
      </c>
      <c r="N499" s="788" t="e">
        <f t="shared" si="90"/>
        <v>#VALUE!</v>
      </c>
      <c r="O499" s="788">
        <f t="shared" si="90"/>
        <v>22520.405769230765</v>
      </c>
      <c r="P499" s="830"/>
      <c r="Q499" s="830"/>
      <c r="R499" s="832"/>
    </row>
    <row r="500" spans="1:18" s="833" customFormat="1" ht="19.5" customHeight="1">
      <c r="A500" s="785"/>
      <c r="B500" s="789"/>
      <c r="C500" s="783"/>
      <c r="D500" s="783"/>
      <c r="E500" s="783"/>
      <c r="F500" s="783"/>
      <c r="G500" s="784"/>
      <c r="H500" s="783"/>
      <c r="I500" s="783"/>
      <c r="J500" s="783"/>
      <c r="K500" s="783"/>
      <c r="L500" s="783"/>
      <c r="M500" s="783"/>
      <c r="N500" s="783"/>
      <c r="O500" s="783"/>
      <c r="P500" s="846">
        <f>'He so chung'!D$22</f>
        <v>5346.1538461538457</v>
      </c>
      <c r="Q500" s="846">
        <f>'He so chung'!D$23</f>
        <v>801.92307692307691</v>
      </c>
      <c r="R500" s="836"/>
    </row>
    <row r="501" spans="1:18" s="833" customFormat="1" ht="25.5" customHeight="1">
      <c r="A501" s="798" t="s">
        <v>1005</v>
      </c>
      <c r="B501" s="787" t="s">
        <v>582</v>
      </c>
      <c r="C501" s="798"/>
      <c r="D501" s="967"/>
      <c r="E501" s="857"/>
      <c r="F501" s="857"/>
      <c r="G501" s="796"/>
      <c r="H501" s="796"/>
      <c r="I501" s="796"/>
      <c r="J501" s="796"/>
      <c r="K501" s="796"/>
      <c r="L501" s="854"/>
      <c r="M501" s="854"/>
      <c r="N501" s="854"/>
      <c r="O501" s="796"/>
      <c r="P501" s="858">
        <f t="shared" ref="P501:P545" si="91">R501*$P$334</f>
        <v>0</v>
      </c>
      <c r="Q501" s="858">
        <f t="shared" ref="Q501:Q545" si="92">R501*$Q$334</f>
        <v>0</v>
      </c>
      <c r="R501" s="796">
        <f>NC_DKDD!G335</f>
        <v>0</v>
      </c>
    </row>
    <row r="502" spans="1:18" s="833" customFormat="1" ht="25.5" customHeight="1">
      <c r="A502" s="791" t="s">
        <v>703</v>
      </c>
      <c r="B502" s="787" t="s">
        <v>668</v>
      </c>
      <c r="C502" s="798"/>
      <c r="D502" s="952"/>
      <c r="E502" s="796" t="e">
        <f>E505+E507+E510+E512+E513+E514+E516+E520+E523+E526+E528+E531+E533+E534+E535+E538+E539+E540+E541+E542+E544+E545</f>
        <v>#VALUE!</v>
      </c>
      <c r="F502" s="796">
        <f>F505+F507+F510+F512+F513+F514+F516+F520+F523+F526+F528+F531+F533+F534+F535+F538+F539+F540+F541+F542+F544+F545</f>
        <v>0</v>
      </c>
      <c r="G502" s="796"/>
      <c r="H502" s="796">
        <f>'Dcu-DKDD'!$J$122*1.3</f>
        <v>10769.039283333334</v>
      </c>
      <c r="I502" s="796">
        <f>'VL-DKDD'!$H$125</f>
        <v>32414.58</v>
      </c>
      <c r="J502" s="796">
        <f>'TB-DKDD'!$K$67*1.3</f>
        <v>5937.3859999999995</v>
      </c>
      <c r="K502" s="796">
        <f>'NL-DKDD'!$H$47*1.3</f>
        <v>11644.432800000002</v>
      </c>
      <c r="L502" s="796" t="e">
        <f>SUM(E502:K502)</f>
        <v>#VALUE!</v>
      </c>
      <c r="M502" s="796" t="e">
        <f>L502*'He so chung'!$D$17/100</f>
        <v>#VALUE!</v>
      </c>
      <c r="N502" s="796" t="e">
        <f>L502+M502</f>
        <v>#VALUE!</v>
      </c>
      <c r="O502" s="796">
        <f>O505+O507+O510+O512+O513+O514+O516+O520+O523+O526+O528+O531+O533+O534+O535+O538+O539+O540+O541+O542+O544+O545</f>
        <v>24856.674999999996</v>
      </c>
      <c r="P502" s="858">
        <f t="shared" si="91"/>
        <v>21614.499999999993</v>
      </c>
      <c r="Q502" s="858">
        <f t="shared" si="92"/>
        <v>3242.1749999999993</v>
      </c>
      <c r="R502" s="876">
        <f>R505+R507+R510+R512+R513+R514+R516+R520+R523+R526+R528+R531+R533+R534+R535+R538+R539+R540+R541+R542+R544+R545</f>
        <v>4.0429999999999993</v>
      </c>
    </row>
    <row r="503" spans="1:18" s="833" customFormat="1" ht="25.5" customHeight="1">
      <c r="A503" s="791" t="s">
        <v>1011</v>
      </c>
      <c r="B503" s="787" t="s">
        <v>669</v>
      </c>
      <c r="C503" s="798"/>
      <c r="D503" s="952"/>
      <c r="E503" s="796" t="e">
        <f>E505+E508+E511+E512+E513+E514+E516+E519+E524+E527+E528+E531+E533+E534+E535+E538+E539+E540+E541+E542+E544+E545</f>
        <v>#VALUE!</v>
      </c>
      <c r="F503" s="796">
        <f>F506+F508+F511+F513+F514+F515+F517+F521+F524+F527+F529+F532+F534+F535+F536+F539+F540+F541+F542+F543+F545+F546</f>
        <v>0</v>
      </c>
      <c r="G503" s="796"/>
      <c r="H503" s="796">
        <f>'Dcu-DKDD'!$J$122*1.3</f>
        <v>10769.039283333334</v>
      </c>
      <c r="I503" s="796">
        <f>'VL-DKDD'!$H$125</f>
        <v>32414.58</v>
      </c>
      <c r="J503" s="796">
        <f>'TB-DKDD'!$K$67*1.3</f>
        <v>5937.3859999999995</v>
      </c>
      <c r="K503" s="796">
        <f>'NL-DKDD'!$H$47*1.3</f>
        <v>11644.432800000002</v>
      </c>
      <c r="L503" s="796" t="e">
        <f>SUM(E503:K503)</f>
        <v>#VALUE!</v>
      </c>
      <c r="M503" s="796" t="e">
        <f>L503*'He so chung'!$D$17/100</f>
        <v>#VALUE!</v>
      </c>
      <c r="N503" s="796" t="e">
        <f>L503+M503</f>
        <v>#VALUE!</v>
      </c>
      <c r="O503" s="796">
        <f>O505+O508+O511+O512+O513+O514+O516+O519+O524+O527+O528+O531+O533+O534+O535+O538+O539+O540+O541+O542+O544+O545</f>
        <v>20921.905769230765</v>
      </c>
      <c r="P503" s="858">
        <f t="shared" si="91"/>
        <v>18192.961538461535</v>
      </c>
      <c r="Q503" s="858">
        <f t="shared" si="92"/>
        <v>2728.9442307692302</v>
      </c>
      <c r="R503" s="876">
        <f>R505+R508+R511+R512+R513+R514+R516+R519+R524+R527+R528+R531+R533+R534+R535+R538+R539+R540+R541+R542+R544+R545</f>
        <v>3.4029999999999996</v>
      </c>
    </row>
    <row r="504" spans="1:18" s="833" customFormat="1" ht="33" customHeight="1">
      <c r="A504" s="798">
        <v>1</v>
      </c>
      <c r="B504" s="799" t="s">
        <v>796</v>
      </c>
      <c r="C504" s="798"/>
      <c r="D504" s="952"/>
      <c r="E504" s="857"/>
      <c r="F504" s="857"/>
      <c r="G504" s="796"/>
      <c r="H504" s="796"/>
      <c r="I504" s="796"/>
      <c r="J504" s="796"/>
      <c r="K504" s="796"/>
      <c r="L504" s="854"/>
      <c r="M504" s="854"/>
      <c r="N504" s="854"/>
      <c r="O504" s="857">
        <f t="shared" ref="O504:O545" si="93">P504+Q504</f>
        <v>0</v>
      </c>
      <c r="P504" s="858">
        <f t="shared" si="91"/>
        <v>0</v>
      </c>
      <c r="Q504" s="858">
        <f t="shared" si="92"/>
        <v>0</v>
      </c>
      <c r="R504" s="796"/>
    </row>
    <row r="505" spans="1:18" s="833" customFormat="1" ht="45" customHeight="1">
      <c r="A505" s="798" t="s">
        <v>733</v>
      </c>
      <c r="B505" s="799" t="s">
        <v>797</v>
      </c>
      <c r="C505" s="798" t="s">
        <v>532</v>
      </c>
      <c r="D505" s="967" t="s">
        <v>723</v>
      </c>
      <c r="E505" s="857" t="e">
        <f>NC_DKDD!H337</f>
        <v>#VALUE!</v>
      </c>
      <c r="F505" s="857"/>
      <c r="G505" s="796"/>
      <c r="H505" s="796"/>
      <c r="I505" s="796"/>
      <c r="J505" s="796"/>
      <c r="K505" s="796"/>
      <c r="L505" s="854"/>
      <c r="M505" s="854"/>
      <c r="N505" s="854"/>
      <c r="O505" s="857">
        <f t="shared" si="93"/>
        <v>799.25</v>
      </c>
      <c r="P505" s="858">
        <f t="shared" si="91"/>
        <v>695</v>
      </c>
      <c r="Q505" s="858">
        <f t="shared" si="92"/>
        <v>104.25</v>
      </c>
      <c r="R505" s="796">
        <f>NC_DKDD!G337</f>
        <v>0.13</v>
      </c>
    </row>
    <row r="506" spans="1:18" s="833" customFormat="1" ht="33" customHeight="1">
      <c r="A506" s="798" t="s">
        <v>741</v>
      </c>
      <c r="B506" s="799" t="s">
        <v>798</v>
      </c>
      <c r="C506" s="798"/>
      <c r="D506" s="952"/>
      <c r="E506" s="857">
        <f>NC_DKDD!H338</f>
        <v>0</v>
      </c>
      <c r="F506" s="857"/>
      <c r="G506" s="796"/>
      <c r="H506" s="796"/>
      <c r="I506" s="796"/>
      <c r="J506" s="796"/>
      <c r="K506" s="796"/>
      <c r="L506" s="854"/>
      <c r="M506" s="854"/>
      <c r="N506" s="854"/>
      <c r="O506" s="857">
        <f t="shared" si="93"/>
        <v>0</v>
      </c>
      <c r="P506" s="858">
        <f t="shared" si="91"/>
        <v>0</v>
      </c>
      <c r="Q506" s="858">
        <f t="shared" si="92"/>
        <v>0</v>
      </c>
      <c r="R506" s="796">
        <f>NC_DKDD!G338</f>
        <v>0</v>
      </c>
    </row>
    <row r="507" spans="1:18" s="833" customFormat="1" ht="27.75" customHeight="1">
      <c r="A507" s="798" t="s">
        <v>799</v>
      </c>
      <c r="B507" s="799" t="s">
        <v>846</v>
      </c>
      <c r="C507" s="798" t="s">
        <v>532</v>
      </c>
      <c r="D507" s="967" t="s">
        <v>723</v>
      </c>
      <c r="E507" s="857" t="e">
        <f>NC_DKDD!H339</f>
        <v>#VALUE!</v>
      </c>
      <c r="F507" s="857"/>
      <c r="G507" s="796"/>
      <c r="H507" s="796"/>
      <c r="I507" s="796"/>
      <c r="J507" s="796"/>
      <c r="K507" s="796"/>
      <c r="L507" s="854"/>
      <c r="M507" s="854"/>
      <c r="N507" s="854"/>
      <c r="O507" s="857">
        <f t="shared" si="93"/>
        <v>3074.0384615384614</v>
      </c>
      <c r="P507" s="858">
        <f t="shared" si="91"/>
        <v>2673.0769230769229</v>
      </c>
      <c r="Q507" s="858">
        <f t="shared" si="92"/>
        <v>400.96153846153845</v>
      </c>
      <c r="R507" s="796">
        <f>NC_DKDD!G339</f>
        <v>0.5</v>
      </c>
    </row>
    <row r="508" spans="1:18" s="833" customFormat="1" ht="27.75" customHeight="1">
      <c r="A508" s="798" t="s">
        <v>800</v>
      </c>
      <c r="B508" s="799" t="s">
        <v>849</v>
      </c>
      <c r="C508" s="798" t="s">
        <v>532</v>
      </c>
      <c r="D508" s="967" t="s">
        <v>723</v>
      </c>
      <c r="E508" s="857" t="e">
        <f>NC_DKDD!H340</f>
        <v>#VALUE!</v>
      </c>
      <c r="F508" s="857"/>
      <c r="G508" s="796"/>
      <c r="H508" s="796"/>
      <c r="I508" s="796"/>
      <c r="J508" s="796"/>
      <c r="K508" s="796"/>
      <c r="L508" s="854"/>
      <c r="M508" s="854"/>
      <c r="N508" s="854"/>
      <c r="O508" s="857">
        <f t="shared" si="93"/>
        <v>1537.0192307692307</v>
      </c>
      <c r="P508" s="858">
        <f t="shared" si="91"/>
        <v>1336.5384615384614</v>
      </c>
      <c r="Q508" s="858">
        <f t="shared" si="92"/>
        <v>200.48076923076923</v>
      </c>
      <c r="R508" s="796">
        <f>NC_DKDD!G340</f>
        <v>0.25</v>
      </c>
    </row>
    <row r="509" spans="1:18" s="833" customFormat="1" ht="34.5" customHeight="1">
      <c r="A509" s="798">
        <v>2</v>
      </c>
      <c r="B509" s="799" t="s">
        <v>801</v>
      </c>
      <c r="C509" s="798"/>
      <c r="D509" s="952"/>
      <c r="E509" s="857">
        <f>NC_DKDD!H341</f>
        <v>0</v>
      </c>
      <c r="F509" s="857"/>
      <c r="G509" s="796"/>
      <c r="H509" s="796"/>
      <c r="I509" s="796"/>
      <c r="J509" s="796"/>
      <c r="K509" s="796"/>
      <c r="L509" s="854"/>
      <c r="M509" s="854"/>
      <c r="N509" s="854"/>
      <c r="O509" s="857">
        <f t="shared" si="93"/>
        <v>0</v>
      </c>
      <c r="P509" s="858">
        <f t="shared" si="91"/>
        <v>0</v>
      </c>
      <c r="Q509" s="858">
        <f t="shared" si="92"/>
        <v>0</v>
      </c>
      <c r="R509" s="796">
        <f>NC_DKDD!G341</f>
        <v>0</v>
      </c>
    </row>
    <row r="510" spans="1:18" s="833" customFormat="1" ht="27.75" customHeight="1">
      <c r="A510" s="798" t="s">
        <v>742</v>
      </c>
      <c r="B510" s="799" t="s">
        <v>846</v>
      </c>
      <c r="C510" s="798" t="s">
        <v>532</v>
      </c>
      <c r="D510" s="967" t="s">
        <v>723</v>
      </c>
      <c r="E510" s="857" t="e">
        <f>NC_DKDD!H342</f>
        <v>#VALUE!</v>
      </c>
      <c r="F510" s="857"/>
      <c r="G510" s="796"/>
      <c r="H510" s="796"/>
      <c r="I510" s="796"/>
      <c r="J510" s="796"/>
      <c r="K510" s="796"/>
      <c r="L510" s="854"/>
      <c r="M510" s="854"/>
      <c r="N510" s="854"/>
      <c r="O510" s="857">
        <f t="shared" si="93"/>
        <v>399.625</v>
      </c>
      <c r="P510" s="858">
        <f t="shared" si="91"/>
        <v>347.5</v>
      </c>
      <c r="Q510" s="858">
        <f t="shared" si="92"/>
        <v>52.125</v>
      </c>
      <c r="R510" s="796">
        <f>NC_DKDD!G342</f>
        <v>6.5000000000000002E-2</v>
      </c>
    </row>
    <row r="511" spans="1:18" s="833" customFormat="1" ht="27.75" customHeight="1">
      <c r="A511" s="798" t="s">
        <v>743</v>
      </c>
      <c r="B511" s="799" t="s">
        <v>849</v>
      </c>
      <c r="C511" s="798" t="s">
        <v>532</v>
      </c>
      <c r="D511" s="967" t="s">
        <v>723</v>
      </c>
      <c r="E511" s="857" t="e">
        <f>NC_DKDD!H343</f>
        <v>#VALUE!</v>
      </c>
      <c r="F511" s="857"/>
      <c r="G511" s="796"/>
      <c r="H511" s="796"/>
      <c r="I511" s="796"/>
      <c r="J511" s="796"/>
      <c r="K511" s="796"/>
      <c r="L511" s="854"/>
      <c r="M511" s="854"/>
      <c r="N511" s="854"/>
      <c r="O511" s="857">
        <f t="shared" si="93"/>
        <v>399.625</v>
      </c>
      <c r="P511" s="858">
        <f t="shared" si="91"/>
        <v>347.5</v>
      </c>
      <c r="Q511" s="858">
        <f t="shared" si="92"/>
        <v>52.125</v>
      </c>
      <c r="R511" s="796">
        <f>NC_DKDD!G343</f>
        <v>6.5000000000000002E-2</v>
      </c>
    </row>
    <row r="512" spans="1:18" s="833" customFormat="1" ht="36" customHeight="1">
      <c r="A512" s="798">
        <v>3</v>
      </c>
      <c r="B512" s="799" t="s">
        <v>584</v>
      </c>
      <c r="C512" s="798" t="s">
        <v>532</v>
      </c>
      <c r="D512" s="967" t="s">
        <v>723</v>
      </c>
      <c r="E512" s="857" t="e">
        <f>NC_DKDD!H344</f>
        <v>#VALUE!</v>
      </c>
      <c r="F512" s="857"/>
      <c r="G512" s="796"/>
      <c r="H512" s="796"/>
      <c r="I512" s="796"/>
      <c r="J512" s="796"/>
      <c r="K512" s="796"/>
      <c r="L512" s="854"/>
      <c r="M512" s="854"/>
      <c r="N512" s="854"/>
      <c r="O512" s="857">
        <f t="shared" si="93"/>
        <v>3197</v>
      </c>
      <c r="P512" s="858">
        <f t="shared" si="91"/>
        <v>2780</v>
      </c>
      <c r="Q512" s="858">
        <f t="shared" si="92"/>
        <v>417</v>
      </c>
      <c r="R512" s="796">
        <f>NC_DKDD!G344</f>
        <v>0.52</v>
      </c>
    </row>
    <row r="513" spans="1:18" s="833" customFormat="1" ht="33.75" customHeight="1">
      <c r="A513" s="798">
        <v>4</v>
      </c>
      <c r="B513" s="799" t="s">
        <v>585</v>
      </c>
      <c r="C513" s="798" t="s">
        <v>532</v>
      </c>
      <c r="D513" s="967" t="s">
        <v>723</v>
      </c>
      <c r="E513" s="857" t="e">
        <f>NC_DKDD!H345</f>
        <v>#VALUE!</v>
      </c>
      <c r="F513" s="857"/>
      <c r="G513" s="796"/>
      <c r="H513" s="796"/>
      <c r="I513" s="796"/>
      <c r="J513" s="796"/>
      <c r="K513" s="796"/>
      <c r="L513" s="854"/>
      <c r="M513" s="854"/>
      <c r="N513" s="854"/>
      <c r="O513" s="857">
        <f t="shared" si="93"/>
        <v>3996.25</v>
      </c>
      <c r="P513" s="858">
        <f t="shared" si="91"/>
        <v>3475</v>
      </c>
      <c r="Q513" s="858">
        <f t="shared" si="92"/>
        <v>521.25</v>
      </c>
      <c r="R513" s="796">
        <f>NC_DKDD!G345</f>
        <v>0.65</v>
      </c>
    </row>
    <row r="514" spans="1:18" s="833" customFormat="1" ht="33.75" customHeight="1">
      <c r="A514" s="798">
        <v>5</v>
      </c>
      <c r="B514" s="799" t="s">
        <v>2</v>
      </c>
      <c r="C514" s="798" t="s">
        <v>375</v>
      </c>
      <c r="D514" s="967" t="s">
        <v>723</v>
      </c>
      <c r="E514" s="857" t="e">
        <f>NC_DKDD!H346</f>
        <v>#VALUE!</v>
      </c>
      <c r="F514" s="857"/>
      <c r="G514" s="796"/>
      <c r="H514" s="796"/>
      <c r="I514" s="796"/>
      <c r="J514" s="796"/>
      <c r="K514" s="796"/>
      <c r="L514" s="854"/>
      <c r="M514" s="854"/>
      <c r="N514" s="854"/>
      <c r="O514" s="857">
        <f t="shared" si="93"/>
        <v>36.888461538461534</v>
      </c>
      <c r="P514" s="858">
        <f t="shared" si="91"/>
        <v>32.076923076923073</v>
      </c>
      <c r="Q514" s="858">
        <f t="shared" si="92"/>
        <v>4.8115384615384613</v>
      </c>
      <c r="R514" s="796">
        <f>NC_DKDD!G346</f>
        <v>6.0000000000000001E-3</v>
      </c>
    </row>
    <row r="515" spans="1:18" s="833" customFormat="1" ht="57">
      <c r="A515" s="798">
        <v>6</v>
      </c>
      <c r="B515" s="799" t="s">
        <v>802</v>
      </c>
      <c r="C515" s="798"/>
      <c r="D515" s="952"/>
      <c r="E515" s="857">
        <f>NC_DKDD!H347</f>
        <v>0</v>
      </c>
      <c r="F515" s="857"/>
      <c r="G515" s="796"/>
      <c r="H515" s="796"/>
      <c r="I515" s="796"/>
      <c r="J515" s="796"/>
      <c r="K515" s="796"/>
      <c r="L515" s="854"/>
      <c r="M515" s="854"/>
      <c r="N515" s="854"/>
      <c r="O515" s="857">
        <f t="shared" si="93"/>
        <v>0</v>
      </c>
      <c r="P515" s="858">
        <f t="shared" si="91"/>
        <v>0</v>
      </c>
      <c r="Q515" s="858">
        <f t="shared" si="92"/>
        <v>0</v>
      </c>
      <c r="R515" s="796">
        <f>NC_DKDD!G347</f>
        <v>0</v>
      </c>
    </row>
    <row r="516" spans="1:18" s="833" customFormat="1" ht="27.75" customHeight="1">
      <c r="A516" s="798" t="s">
        <v>661</v>
      </c>
      <c r="B516" s="799" t="s">
        <v>587</v>
      </c>
      <c r="C516" s="798" t="s">
        <v>375</v>
      </c>
      <c r="D516" s="967" t="s">
        <v>723</v>
      </c>
      <c r="E516" s="857" t="e">
        <f>NC_DKDD!H348</f>
        <v>#VALUE!</v>
      </c>
      <c r="F516" s="857"/>
      <c r="G516" s="796"/>
      <c r="H516" s="796"/>
      <c r="I516" s="796"/>
      <c r="J516" s="796"/>
      <c r="K516" s="796"/>
      <c r="L516" s="854"/>
      <c r="M516" s="854"/>
      <c r="N516" s="854"/>
      <c r="O516" s="857">
        <f t="shared" si="93"/>
        <v>307.40384615384619</v>
      </c>
      <c r="P516" s="858">
        <f t="shared" si="91"/>
        <v>267.30769230769232</v>
      </c>
      <c r="Q516" s="858">
        <f t="shared" si="92"/>
        <v>40.096153846153847</v>
      </c>
      <c r="R516" s="796">
        <f>NC_DKDD!G348</f>
        <v>0.05</v>
      </c>
    </row>
    <row r="517" spans="1:18" s="833" customFormat="1" ht="27.75" customHeight="1">
      <c r="A517" s="798" t="s">
        <v>662</v>
      </c>
      <c r="B517" s="799" t="s">
        <v>588</v>
      </c>
      <c r="C517" s="798" t="s">
        <v>375</v>
      </c>
      <c r="D517" s="967" t="s">
        <v>723</v>
      </c>
      <c r="E517" s="857" t="e">
        <f>NC_DKDD!H349</f>
        <v>#VALUE!</v>
      </c>
      <c r="F517" s="857"/>
      <c r="G517" s="796"/>
      <c r="H517" s="796"/>
      <c r="I517" s="796"/>
      <c r="J517" s="796"/>
      <c r="K517" s="796"/>
      <c r="L517" s="854"/>
      <c r="M517" s="854"/>
      <c r="N517" s="854"/>
      <c r="O517" s="857">
        <f t="shared" si="93"/>
        <v>614.80769230769238</v>
      </c>
      <c r="P517" s="858">
        <f t="shared" si="91"/>
        <v>534.61538461538464</v>
      </c>
      <c r="Q517" s="858">
        <f t="shared" si="92"/>
        <v>80.192307692307693</v>
      </c>
      <c r="R517" s="796">
        <f>NC_DKDD!G349</f>
        <v>0.1</v>
      </c>
    </row>
    <row r="518" spans="1:18" s="833" customFormat="1" ht="48.75" customHeight="1">
      <c r="A518" s="798">
        <v>7</v>
      </c>
      <c r="B518" s="799" t="s">
        <v>589</v>
      </c>
      <c r="C518" s="798"/>
      <c r="D518" s="952"/>
      <c r="E518" s="857">
        <f>NC_DKDD!H350</f>
        <v>0</v>
      </c>
      <c r="F518" s="857"/>
      <c r="G518" s="796"/>
      <c r="H518" s="796"/>
      <c r="I518" s="796"/>
      <c r="J518" s="796"/>
      <c r="K518" s="796"/>
      <c r="L518" s="854"/>
      <c r="M518" s="854"/>
      <c r="N518" s="854"/>
      <c r="O518" s="857">
        <f t="shared" si="93"/>
        <v>0</v>
      </c>
      <c r="P518" s="858">
        <f t="shared" si="91"/>
        <v>0</v>
      </c>
      <c r="Q518" s="858">
        <f t="shared" si="92"/>
        <v>0</v>
      </c>
      <c r="R518" s="796">
        <f>NC_DKDD!G350</f>
        <v>0</v>
      </c>
    </row>
    <row r="519" spans="1:18" s="833" customFormat="1" ht="27.75" customHeight="1">
      <c r="A519" s="798" t="s">
        <v>714</v>
      </c>
      <c r="B519" s="799" t="s">
        <v>590</v>
      </c>
      <c r="C519" s="798" t="s">
        <v>532</v>
      </c>
      <c r="D519" s="967" t="s">
        <v>723</v>
      </c>
      <c r="E519" s="857" t="e">
        <f>NC_DKDD!H351</f>
        <v>#VALUE!</v>
      </c>
      <c r="F519" s="857"/>
      <c r="G519" s="796"/>
      <c r="H519" s="796"/>
      <c r="I519" s="796"/>
      <c r="J519" s="796"/>
      <c r="K519" s="796"/>
      <c r="L519" s="854"/>
      <c r="M519" s="854"/>
      <c r="N519" s="854"/>
      <c r="O519" s="857">
        <f t="shared" si="93"/>
        <v>799.25</v>
      </c>
      <c r="P519" s="858">
        <f t="shared" si="91"/>
        <v>695</v>
      </c>
      <c r="Q519" s="858">
        <f t="shared" si="92"/>
        <v>104.25</v>
      </c>
      <c r="R519" s="796">
        <f>NC_DKDD!G351</f>
        <v>0.13</v>
      </c>
    </row>
    <row r="520" spans="1:18" s="833" customFormat="1" ht="27.75" customHeight="1">
      <c r="A520" s="798" t="s">
        <v>715</v>
      </c>
      <c r="B520" s="799" t="s">
        <v>591</v>
      </c>
      <c r="C520" s="798" t="s">
        <v>532</v>
      </c>
      <c r="D520" s="967" t="s">
        <v>723</v>
      </c>
      <c r="E520" s="857" t="e">
        <f>NC_DKDD!H352</f>
        <v>#VALUE!</v>
      </c>
      <c r="F520" s="857"/>
      <c r="G520" s="796"/>
      <c r="H520" s="796"/>
      <c r="I520" s="796"/>
      <c r="J520" s="796"/>
      <c r="K520" s="796"/>
      <c r="L520" s="854"/>
      <c r="M520" s="854"/>
      <c r="N520" s="854"/>
      <c r="O520" s="857">
        <f t="shared" si="93"/>
        <v>1598.5</v>
      </c>
      <c r="P520" s="858">
        <f t="shared" si="91"/>
        <v>1390</v>
      </c>
      <c r="Q520" s="858">
        <f t="shared" si="92"/>
        <v>208.5</v>
      </c>
      <c r="R520" s="796">
        <f>NC_DKDD!G352</f>
        <v>0.26</v>
      </c>
    </row>
    <row r="521" spans="1:18" s="833" customFormat="1" ht="27.75" customHeight="1">
      <c r="A521" s="798">
        <v>8</v>
      </c>
      <c r="B521" s="799" t="s">
        <v>803</v>
      </c>
      <c r="C521" s="798"/>
      <c r="D521" s="982"/>
      <c r="E521" s="857">
        <f>NC_DKDD!H353</f>
        <v>0</v>
      </c>
      <c r="F521" s="857"/>
      <c r="G521" s="796"/>
      <c r="H521" s="796"/>
      <c r="I521" s="796"/>
      <c r="J521" s="796"/>
      <c r="K521" s="796"/>
      <c r="L521" s="854"/>
      <c r="M521" s="854"/>
      <c r="N521" s="854"/>
      <c r="O521" s="857">
        <f t="shared" si="93"/>
        <v>0</v>
      </c>
      <c r="P521" s="858">
        <f t="shared" si="91"/>
        <v>0</v>
      </c>
      <c r="Q521" s="858">
        <f t="shared" si="92"/>
        <v>0</v>
      </c>
      <c r="R521" s="796">
        <f>NC_DKDD!G353</f>
        <v>0</v>
      </c>
    </row>
    <row r="522" spans="1:18" s="833" customFormat="1" ht="57">
      <c r="A522" s="798" t="s">
        <v>191</v>
      </c>
      <c r="B522" s="799" t="s">
        <v>804</v>
      </c>
      <c r="C522" s="798"/>
      <c r="D522" s="982"/>
      <c r="E522" s="857">
        <f>NC_DKDD!H354</f>
        <v>0</v>
      </c>
      <c r="F522" s="857"/>
      <c r="G522" s="796"/>
      <c r="H522" s="796"/>
      <c r="I522" s="796"/>
      <c r="J522" s="796"/>
      <c r="K522" s="796"/>
      <c r="L522" s="854"/>
      <c r="M522" s="854"/>
      <c r="N522" s="854"/>
      <c r="O522" s="857">
        <f t="shared" si="93"/>
        <v>0</v>
      </c>
      <c r="P522" s="858">
        <f t="shared" si="91"/>
        <v>0</v>
      </c>
      <c r="Q522" s="858">
        <f t="shared" si="92"/>
        <v>0</v>
      </c>
      <c r="R522" s="796">
        <f>NC_DKDD!G354</f>
        <v>0</v>
      </c>
    </row>
    <row r="523" spans="1:18" s="833" customFormat="1" ht="27.75" customHeight="1">
      <c r="A523" s="798" t="s">
        <v>805</v>
      </c>
      <c r="B523" s="799" t="s">
        <v>846</v>
      </c>
      <c r="C523" s="798" t="s">
        <v>532</v>
      </c>
      <c r="D523" s="978" t="s">
        <v>723</v>
      </c>
      <c r="E523" s="857" t="e">
        <f>NC_DKDD!H355</f>
        <v>#VALUE!</v>
      </c>
      <c r="F523" s="857"/>
      <c r="G523" s="796"/>
      <c r="H523" s="796"/>
      <c r="I523" s="796"/>
      <c r="J523" s="796"/>
      <c r="K523" s="796"/>
      <c r="L523" s="854"/>
      <c r="M523" s="854"/>
      <c r="N523" s="854"/>
      <c r="O523" s="857">
        <f t="shared" si="93"/>
        <v>1598.5</v>
      </c>
      <c r="P523" s="858">
        <f t="shared" si="91"/>
        <v>1390</v>
      </c>
      <c r="Q523" s="858">
        <f t="shared" si="92"/>
        <v>208.5</v>
      </c>
      <c r="R523" s="796">
        <f>NC_DKDD!G355</f>
        <v>0.26</v>
      </c>
    </row>
    <row r="524" spans="1:18" s="833" customFormat="1" ht="27.75" customHeight="1">
      <c r="A524" s="798" t="s">
        <v>806</v>
      </c>
      <c r="B524" s="799" t="s">
        <v>849</v>
      </c>
      <c r="C524" s="798" t="s">
        <v>532</v>
      </c>
      <c r="D524" s="978" t="s">
        <v>723</v>
      </c>
      <c r="E524" s="857" t="e">
        <f>NC_DKDD!H356</f>
        <v>#VALUE!</v>
      </c>
      <c r="F524" s="857"/>
      <c r="G524" s="796"/>
      <c r="H524" s="796"/>
      <c r="I524" s="796"/>
      <c r="J524" s="796"/>
      <c r="K524" s="796"/>
      <c r="L524" s="854"/>
      <c r="M524" s="854"/>
      <c r="N524" s="854"/>
      <c r="O524" s="857">
        <f t="shared" si="93"/>
        <v>799.25</v>
      </c>
      <c r="P524" s="858">
        <f t="shared" si="91"/>
        <v>695</v>
      </c>
      <c r="Q524" s="858">
        <f t="shared" si="92"/>
        <v>104.25</v>
      </c>
      <c r="R524" s="796">
        <f>NC_DKDD!G356</f>
        <v>0.13</v>
      </c>
    </row>
    <row r="525" spans="1:18" s="833" customFormat="1" ht="57">
      <c r="A525" s="798" t="s">
        <v>192</v>
      </c>
      <c r="B525" s="799" t="s">
        <v>867</v>
      </c>
      <c r="C525" s="798"/>
      <c r="D525" s="798"/>
      <c r="E525" s="857">
        <f>NC_DKDD!H357</f>
        <v>0</v>
      </c>
      <c r="F525" s="857"/>
      <c r="G525" s="796"/>
      <c r="H525" s="796"/>
      <c r="I525" s="796"/>
      <c r="J525" s="796"/>
      <c r="K525" s="796"/>
      <c r="L525" s="854"/>
      <c r="M525" s="854"/>
      <c r="N525" s="854"/>
      <c r="O525" s="857">
        <f t="shared" si="93"/>
        <v>0</v>
      </c>
      <c r="P525" s="858">
        <f t="shared" si="91"/>
        <v>0</v>
      </c>
      <c r="Q525" s="858">
        <f t="shared" si="92"/>
        <v>0</v>
      </c>
      <c r="R525" s="796">
        <f>NC_DKDD!G357</f>
        <v>0</v>
      </c>
    </row>
    <row r="526" spans="1:18" s="833" customFormat="1" ht="27.75" customHeight="1">
      <c r="A526" s="798" t="s">
        <v>659</v>
      </c>
      <c r="B526" s="799" t="s">
        <v>846</v>
      </c>
      <c r="C526" s="798" t="s">
        <v>532</v>
      </c>
      <c r="D526" s="978" t="s">
        <v>723</v>
      </c>
      <c r="E526" s="857" t="e">
        <f>NC_DKDD!H358</f>
        <v>#VALUE!</v>
      </c>
      <c r="F526" s="857"/>
      <c r="G526" s="796"/>
      <c r="H526" s="796"/>
      <c r="I526" s="796"/>
      <c r="J526" s="796"/>
      <c r="K526" s="796"/>
      <c r="L526" s="854"/>
      <c r="M526" s="854"/>
      <c r="N526" s="854"/>
      <c r="O526" s="857">
        <f t="shared" si="93"/>
        <v>1598.5</v>
      </c>
      <c r="P526" s="858">
        <f t="shared" si="91"/>
        <v>1390</v>
      </c>
      <c r="Q526" s="858">
        <f t="shared" si="92"/>
        <v>208.5</v>
      </c>
      <c r="R526" s="796">
        <f>NC_DKDD!G358</f>
        <v>0.26</v>
      </c>
    </row>
    <row r="527" spans="1:18" s="833" customFormat="1" ht="27.75" customHeight="1">
      <c r="A527" s="798" t="s">
        <v>660</v>
      </c>
      <c r="B527" s="799" t="s">
        <v>849</v>
      </c>
      <c r="C527" s="798" t="s">
        <v>532</v>
      </c>
      <c r="D527" s="978" t="s">
        <v>723</v>
      </c>
      <c r="E527" s="857" t="e">
        <f>NC_DKDD!H359</f>
        <v>#VALUE!</v>
      </c>
      <c r="F527" s="857"/>
      <c r="G527" s="796"/>
      <c r="H527" s="796"/>
      <c r="I527" s="796"/>
      <c r="J527" s="796"/>
      <c r="K527" s="796"/>
      <c r="L527" s="854"/>
      <c r="M527" s="854"/>
      <c r="N527" s="854"/>
      <c r="O527" s="857">
        <f t="shared" si="93"/>
        <v>799.25</v>
      </c>
      <c r="P527" s="858">
        <f t="shared" si="91"/>
        <v>695</v>
      </c>
      <c r="Q527" s="858">
        <f t="shared" si="92"/>
        <v>104.25</v>
      </c>
      <c r="R527" s="796">
        <f>NC_DKDD!G359</f>
        <v>0.13</v>
      </c>
    </row>
    <row r="528" spans="1:18" s="833" customFormat="1" ht="36" customHeight="1">
      <c r="A528" s="798">
        <v>9</v>
      </c>
      <c r="B528" s="799" t="s">
        <v>78</v>
      </c>
      <c r="C528" s="798" t="s">
        <v>375</v>
      </c>
      <c r="D528" s="978" t="s">
        <v>723</v>
      </c>
      <c r="E528" s="857" t="e">
        <f>NC_DKDD!H360</f>
        <v>#VALUE!</v>
      </c>
      <c r="F528" s="857"/>
      <c r="G528" s="796"/>
      <c r="H528" s="796"/>
      <c r="I528" s="796"/>
      <c r="J528" s="796"/>
      <c r="K528" s="796"/>
      <c r="L528" s="854"/>
      <c r="M528" s="854"/>
      <c r="N528" s="854"/>
      <c r="O528" s="857">
        <f t="shared" si="93"/>
        <v>184.44230769230768</v>
      </c>
      <c r="P528" s="858">
        <f t="shared" si="91"/>
        <v>160.38461538461536</v>
      </c>
      <c r="Q528" s="858">
        <f t="shared" si="92"/>
        <v>24.057692307692307</v>
      </c>
      <c r="R528" s="796">
        <f>NC_DKDD!G360</f>
        <v>0.03</v>
      </c>
    </row>
    <row r="529" spans="1:18" s="833" customFormat="1" ht="33" customHeight="1">
      <c r="A529" s="798">
        <v>10</v>
      </c>
      <c r="B529" s="799" t="s">
        <v>260</v>
      </c>
      <c r="C529" s="798" t="s">
        <v>376</v>
      </c>
      <c r="D529" s="978" t="s">
        <v>723</v>
      </c>
      <c r="E529" s="857" t="e">
        <f>NC_DKDD!H361</f>
        <v>#VALUE!</v>
      </c>
      <c r="F529" s="857"/>
      <c r="G529" s="796"/>
      <c r="H529" s="796"/>
      <c r="I529" s="796"/>
      <c r="J529" s="796"/>
      <c r="K529" s="796"/>
      <c r="L529" s="854"/>
      <c r="M529" s="854"/>
      <c r="N529" s="854"/>
      <c r="O529" s="857">
        <f t="shared" si="93"/>
        <v>1229.6153846153848</v>
      </c>
      <c r="P529" s="858">
        <f t="shared" si="91"/>
        <v>1069.2307692307693</v>
      </c>
      <c r="Q529" s="858">
        <f t="shared" si="92"/>
        <v>160.38461538461539</v>
      </c>
      <c r="R529" s="796">
        <f>NC_DKDD!G361</f>
        <v>0.2</v>
      </c>
    </row>
    <row r="530" spans="1:18" s="833" customFormat="1" ht="27.75" customHeight="1">
      <c r="A530" s="798">
        <v>11</v>
      </c>
      <c r="B530" s="799" t="s">
        <v>80</v>
      </c>
      <c r="C530" s="798"/>
      <c r="D530" s="798"/>
      <c r="E530" s="857">
        <f>NC_DKDD!H362</f>
        <v>0</v>
      </c>
      <c r="F530" s="857"/>
      <c r="G530" s="796"/>
      <c r="H530" s="796"/>
      <c r="I530" s="796"/>
      <c r="J530" s="796"/>
      <c r="K530" s="796"/>
      <c r="L530" s="854"/>
      <c r="M530" s="854"/>
      <c r="N530" s="854"/>
      <c r="O530" s="857">
        <f t="shared" si="93"/>
        <v>0</v>
      </c>
      <c r="P530" s="858">
        <f t="shared" si="91"/>
        <v>0</v>
      </c>
      <c r="Q530" s="858">
        <f t="shared" si="92"/>
        <v>0</v>
      </c>
      <c r="R530" s="796">
        <f>NC_DKDD!G362</f>
        <v>0</v>
      </c>
    </row>
    <row r="531" spans="1:18" s="833" customFormat="1" ht="27.75" customHeight="1">
      <c r="A531" s="798" t="s">
        <v>719</v>
      </c>
      <c r="B531" s="799" t="s">
        <v>82</v>
      </c>
      <c r="C531" s="798" t="s">
        <v>559</v>
      </c>
      <c r="D531" s="978" t="s">
        <v>723</v>
      </c>
      <c r="E531" s="857" t="e">
        <f>NC_DKDD!H363</f>
        <v>#VALUE!</v>
      </c>
      <c r="F531" s="857"/>
      <c r="G531" s="796"/>
      <c r="H531" s="796"/>
      <c r="I531" s="796"/>
      <c r="J531" s="796"/>
      <c r="K531" s="796"/>
      <c r="L531" s="854"/>
      <c r="M531" s="854"/>
      <c r="N531" s="854"/>
      <c r="O531" s="857">
        <f t="shared" si="93"/>
        <v>614.80769230769238</v>
      </c>
      <c r="P531" s="858">
        <f t="shared" si="91"/>
        <v>534.61538461538464</v>
      </c>
      <c r="Q531" s="858">
        <f t="shared" si="92"/>
        <v>80.192307692307693</v>
      </c>
      <c r="R531" s="796">
        <f>NC_DKDD!G363</f>
        <v>0.1</v>
      </c>
    </row>
    <row r="532" spans="1:18" s="833" customFormat="1" ht="27.75" customHeight="1">
      <c r="A532" s="798" t="s">
        <v>720</v>
      </c>
      <c r="B532" s="799" t="s">
        <v>84</v>
      </c>
      <c r="C532" s="798" t="s">
        <v>559</v>
      </c>
      <c r="D532" s="978" t="s">
        <v>723</v>
      </c>
      <c r="E532" s="857" t="e">
        <f>NC_DKDD!H364</f>
        <v>#VALUE!</v>
      </c>
      <c r="F532" s="857"/>
      <c r="G532" s="796"/>
      <c r="H532" s="796"/>
      <c r="I532" s="796"/>
      <c r="J532" s="796"/>
      <c r="K532" s="796"/>
      <c r="L532" s="854"/>
      <c r="M532" s="854"/>
      <c r="N532" s="854"/>
      <c r="O532" s="857">
        <f t="shared" si="93"/>
        <v>1229.6153846153848</v>
      </c>
      <c r="P532" s="858">
        <f t="shared" si="91"/>
        <v>1069.2307692307693</v>
      </c>
      <c r="Q532" s="858">
        <f t="shared" si="92"/>
        <v>160.38461538461539</v>
      </c>
      <c r="R532" s="796">
        <f>NC_DKDD!G364</f>
        <v>0.2</v>
      </c>
    </row>
    <row r="533" spans="1:18" s="833" customFormat="1" ht="36.75" customHeight="1">
      <c r="A533" s="798">
        <v>12</v>
      </c>
      <c r="B533" s="799" t="s">
        <v>85</v>
      </c>
      <c r="C533" s="798" t="s">
        <v>532</v>
      </c>
      <c r="D533" s="978" t="s">
        <v>723</v>
      </c>
      <c r="E533" s="857" t="e">
        <f>NC_DKDD!H365</f>
        <v>#VALUE!</v>
      </c>
      <c r="F533" s="857"/>
      <c r="G533" s="796"/>
      <c r="H533" s="796"/>
      <c r="I533" s="796"/>
      <c r="J533" s="796"/>
      <c r="K533" s="796"/>
      <c r="L533" s="854"/>
      <c r="M533" s="854"/>
      <c r="N533" s="854"/>
      <c r="O533" s="857">
        <f t="shared" si="93"/>
        <v>2397.75</v>
      </c>
      <c r="P533" s="858">
        <f t="shared" si="91"/>
        <v>2085</v>
      </c>
      <c r="Q533" s="858">
        <f t="shared" si="92"/>
        <v>312.75</v>
      </c>
      <c r="R533" s="796">
        <f>NC_DKDD!G365</f>
        <v>0.39</v>
      </c>
    </row>
    <row r="534" spans="1:18" s="833" customFormat="1" ht="33.75" customHeight="1">
      <c r="A534" s="798">
        <v>13</v>
      </c>
      <c r="B534" s="799" t="s">
        <v>868</v>
      </c>
      <c r="C534" s="798" t="s">
        <v>532</v>
      </c>
      <c r="D534" s="978" t="s">
        <v>723</v>
      </c>
      <c r="E534" s="857" t="e">
        <f>NC_DKDD!H366</f>
        <v>#VALUE!</v>
      </c>
      <c r="F534" s="857"/>
      <c r="G534" s="796"/>
      <c r="H534" s="796"/>
      <c r="I534" s="796"/>
      <c r="J534" s="796"/>
      <c r="K534" s="796"/>
      <c r="L534" s="854"/>
      <c r="M534" s="854"/>
      <c r="N534" s="854"/>
      <c r="O534" s="857">
        <f t="shared" si="93"/>
        <v>1358.7249999999999</v>
      </c>
      <c r="P534" s="858">
        <f t="shared" si="91"/>
        <v>1181.5</v>
      </c>
      <c r="Q534" s="858">
        <f t="shared" si="92"/>
        <v>177.22499999999999</v>
      </c>
      <c r="R534" s="796">
        <f>NC_DKDD!G366</f>
        <v>0.221</v>
      </c>
    </row>
    <row r="535" spans="1:18" s="833" customFormat="1" ht="27.75" customHeight="1">
      <c r="A535" s="798">
        <v>14</v>
      </c>
      <c r="B535" s="799" t="s">
        <v>87</v>
      </c>
      <c r="C535" s="798" t="s">
        <v>375</v>
      </c>
      <c r="D535" s="978" t="s">
        <v>723</v>
      </c>
      <c r="E535" s="857" t="e">
        <f>NC_DKDD!H367</f>
        <v>#VALUE!</v>
      </c>
      <c r="F535" s="857"/>
      <c r="G535" s="796"/>
      <c r="H535" s="796"/>
      <c r="I535" s="796"/>
      <c r="J535" s="796"/>
      <c r="K535" s="796"/>
      <c r="L535" s="854"/>
      <c r="M535" s="854"/>
      <c r="N535" s="854"/>
      <c r="O535" s="857">
        <f t="shared" si="93"/>
        <v>202.88653846153844</v>
      </c>
      <c r="P535" s="858">
        <f t="shared" si="91"/>
        <v>176.42307692307691</v>
      </c>
      <c r="Q535" s="858">
        <f t="shared" si="92"/>
        <v>26.463461538461541</v>
      </c>
      <c r="R535" s="796">
        <f>NC_DKDD!G367</f>
        <v>3.3000000000000002E-2</v>
      </c>
    </row>
    <row r="536" spans="1:18" s="833" customFormat="1" ht="27.75" customHeight="1">
      <c r="A536" s="798">
        <v>15</v>
      </c>
      <c r="B536" s="799" t="s">
        <v>88</v>
      </c>
      <c r="C536" s="798"/>
      <c r="D536" s="798"/>
      <c r="E536" s="857">
        <f>NC_DKDD!H368</f>
        <v>0</v>
      </c>
      <c r="F536" s="857"/>
      <c r="G536" s="796"/>
      <c r="H536" s="796"/>
      <c r="I536" s="796"/>
      <c r="J536" s="796"/>
      <c r="K536" s="796"/>
      <c r="L536" s="854"/>
      <c r="M536" s="854"/>
      <c r="N536" s="854"/>
      <c r="O536" s="857">
        <f t="shared" si="93"/>
        <v>0</v>
      </c>
      <c r="P536" s="858">
        <f t="shared" si="91"/>
        <v>0</v>
      </c>
      <c r="Q536" s="858">
        <f t="shared" si="92"/>
        <v>0</v>
      </c>
      <c r="R536" s="796">
        <f>NC_DKDD!G368</f>
        <v>0</v>
      </c>
    </row>
    <row r="537" spans="1:18" s="833" customFormat="1" ht="35.25" customHeight="1">
      <c r="A537" s="798" t="s">
        <v>869</v>
      </c>
      <c r="B537" s="799" t="s">
        <v>775</v>
      </c>
      <c r="C537" s="798"/>
      <c r="D537" s="798"/>
      <c r="E537" s="857">
        <f>NC_DKDD!H369</f>
        <v>0</v>
      </c>
      <c r="F537" s="857"/>
      <c r="G537" s="796"/>
      <c r="H537" s="796"/>
      <c r="I537" s="796"/>
      <c r="J537" s="796"/>
      <c r="K537" s="796"/>
      <c r="L537" s="854"/>
      <c r="M537" s="854"/>
      <c r="N537" s="854"/>
      <c r="O537" s="857">
        <f t="shared" si="93"/>
        <v>0</v>
      </c>
      <c r="P537" s="858">
        <f t="shared" si="91"/>
        <v>0</v>
      </c>
      <c r="Q537" s="858">
        <f t="shared" si="92"/>
        <v>0</v>
      </c>
      <c r="R537" s="796">
        <f>NC_DKDD!G369</f>
        <v>0</v>
      </c>
    </row>
    <row r="538" spans="1:18" s="833" customFormat="1" ht="27.75" customHeight="1">
      <c r="A538" s="798" t="s">
        <v>870</v>
      </c>
      <c r="B538" s="799" t="s">
        <v>777</v>
      </c>
      <c r="C538" s="798" t="s">
        <v>377</v>
      </c>
      <c r="D538" s="978" t="s">
        <v>723</v>
      </c>
      <c r="E538" s="857" t="e">
        <f>NC_DKDD!H370</f>
        <v>#VALUE!</v>
      </c>
      <c r="F538" s="857"/>
      <c r="G538" s="796"/>
      <c r="H538" s="796"/>
      <c r="I538" s="796"/>
      <c r="J538" s="796"/>
      <c r="K538" s="796"/>
      <c r="L538" s="854"/>
      <c r="M538" s="854"/>
      <c r="N538" s="854"/>
      <c r="O538" s="857">
        <f t="shared" si="93"/>
        <v>122.96153846153845</v>
      </c>
      <c r="P538" s="858">
        <f t="shared" si="91"/>
        <v>106.92307692307692</v>
      </c>
      <c r="Q538" s="858">
        <f t="shared" si="92"/>
        <v>16.03846153846154</v>
      </c>
      <c r="R538" s="796">
        <f>NC_DKDD!G370</f>
        <v>0.02</v>
      </c>
    </row>
    <row r="539" spans="1:18" s="833" customFormat="1" ht="27.75" customHeight="1">
      <c r="A539" s="798" t="s">
        <v>871</v>
      </c>
      <c r="B539" s="799" t="s">
        <v>781</v>
      </c>
      <c r="C539" s="798" t="s">
        <v>377</v>
      </c>
      <c r="D539" s="978" t="s">
        <v>723</v>
      </c>
      <c r="E539" s="857" t="e">
        <f>NC_DKDD!H371</f>
        <v>#VALUE!</v>
      </c>
      <c r="F539" s="857"/>
      <c r="G539" s="796"/>
      <c r="H539" s="796"/>
      <c r="I539" s="796"/>
      <c r="J539" s="796"/>
      <c r="K539" s="796"/>
      <c r="L539" s="854"/>
      <c r="M539" s="854"/>
      <c r="N539" s="854"/>
      <c r="O539" s="857">
        <f t="shared" si="93"/>
        <v>61.480769230769226</v>
      </c>
      <c r="P539" s="858">
        <f t="shared" si="91"/>
        <v>53.46153846153846</v>
      </c>
      <c r="Q539" s="858">
        <f t="shared" si="92"/>
        <v>8.0192307692307701</v>
      </c>
      <c r="R539" s="796">
        <f>NC_DKDD!G371</f>
        <v>0.01</v>
      </c>
    </row>
    <row r="540" spans="1:18" s="833" customFormat="1" ht="36" customHeight="1">
      <c r="A540" s="798" t="s">
        <v>872</v>
      </c>
      <c r="B540" s="799" t="s">
        <v>861</v>
      </c>
      <c r="C540" s="798" t="s">
        <v>377</v>
      </c>
      <c r="D540" s="978" t="s">
        <v>723</v>
      </c>
      <c r="E540" s="857" t="e">
        <f>NC_DKDD!H372</f>
        <v>#VALUE!</v>
      </c>
      <c r="F540" s="857"/>
      <c r="G540" s="796"/>
      <c r="H540" s="796"/>
      <c r="I540" s="796"/>
      <c r="J540" s="796"/>
      <c r="K540" s="796"/>
      <c r="L540" s="854"/>
      <c r="M540" s="854"/>
      <c r="N540" s="854"/>
      <c r="O540" s="857">
        <f t="shared" si="93"/>
        <v>30.740384615384613</v>
      </c>
      <c r="P540" s="858">
        <f t="shared" si="91"/>
        <v>26.73076923076923</v>
      </c>
      <c r="Q540" s="858">
        <f t="shared" si="92"/>
        <v>4.009615384615385</v>
      </c>
      <c r="R540" s="796">
        <f>NC_DKDD!G372</f>
        <v>5.0000000000000001E-3</v>
      </c>
    </row>
    <row r="541" spans="1:18" s="833" customFormat="1" ht="39" customHeight="1">
      <c r="A541" s="798" t="s">
        <v>873</v>
      </c>
      <c r="B541" s="799" t="s">
        <v>863</v>
      </c>
      <c r="C541" s="798" t="s">
        <v>375</v>
      </c>
      <c r="D541" s="978" t="s">
        <v>723</v>
      </c>
      <c r="E541" s="857" t="e">
        <f>NC_DKDD!H373</f>
        <v>#VALUE!</v>
      </c>
      <c r="F541" s="857"/>
      <c r="G541" s="796"/>
      <c r="H541" s="796"/>
      <c r="I541" s="796"/>
      <c r="J541" s="796"/>
      <c r="K541" s="796"/>
      <c r="L541" s="854"/>
      <c r="M541" s="854"/>
      <c r="N541" s="854"/>
      <c r="O541" s="857">
        <f t="shared" si="93"/>
        <v>79.924999999999983</v>
      </c>
      <c r="P541" s="858">
        <f t="shared" si="91"/>
        <v>69.499999999999986</v>
      </c>
      <c r="Q541" s="858">
        <f t="shared" si="92"/>
        <v>10.424999999999999</v>
      </c>
      <c r="R541" s="796">
        <f>NC_DKDD!G373</f>
        <v>1.2999999999999999E-2</v>
      </c>
    </row>
    <row r="542" spans="1:18" s="833" customFormat="1" ht="42.75">
      <c r="A542" s="798">
        <v>16</v>
      </c>
      <c r="B542" s="799" t="s">
        <v>874</v>
      </c>
      <c r="C542" s="798" t="s">
        <v>532</v>
      </c>
      <c r="D542" s="978" t="s">
        <v>723</v>
      </c>
      <c r="E542" s="857" t="e">
        <f>NC_DKDD!H374</f>
        <v>#VALUE!</v>
      </c>
      <c r="F542" s="857"/>
      <c r="G542" s="796"/>
      <c r="H542" s="796"/>
      <c r="I542" s="796"/>
      <c r="J542" s="796"/>
      <c r="K542" s="796"/>
      <c r="L542" s="854"/>
      <c r="M542" s="854"/>
      <c r="N542" s="854"/>
      <c r="O542" s="857">
        <f t="shared" si="93"/>
        <v>1598.5</v>
      </c>
      <c r="P542" s="858">
        <f t="shared" si="91"/>
        <v>1390</v>
      </c>
      <c r="Q542" s="858">
        <f t="shared" si="92"/>
        <v>208.5</v>
      </c>
      <c r="R542" s="796">
        <f>NC_DKDD!G374</f>
        <v>0.26</v>
      </c>
    </row>
    <row r="543" spans="1:18" s="833" customFormat="1" ht="31.5" customHeight="1">
      <c r="A543" s="798">
        <v>17</v>
      </c>
      <c r="B543" s="799" t="s">
        <v>875</v>
      </c>
      <c r="C543" s="798"/>
      <c r="D543" s="798"/>
      <c r="E543" s="857">
        <f>NC_DKDD!H375</f>
        <v>0</v>
      </c>
      <c r="F543" s="857"/>
      <c r="G543" s="796"/>
      <c r="H543" s="796"/>
      <c r="I543" s="796"/>
      <c r="J543" s="796"/>
      <c r="K543" s="796"/>
      <c r="L543" s="854"/>
      <c r="M543" s="854"/>
      <c r="N543" s="854"/>
      <c r="O543" s="857">
        <f t="shared" si="93"/>
        <v>0</v>
      </c>
      <c r="P543" s="858">
        <f t="shared" si="91"/>
        <v>0</v>
      </c>
      <c r="Q543" s="858">
        <f t="shared" si="92"/>
        <v>0</v>
      </c>
      <c r="R543" s="796">
        <f>NC_DKDD!G375</f>
        <v>0</v>
      </c>
    </row>
    <row r="544" spans="1:18" s="833" customFormat="1" ht="36.75" customHeight="1">
      <c r="A544" s="798" t="s">
        <v>876</v>
      </c>
      <c r="B544" s="799" t="s">
        <v>875</v>
      </c>
      <c r="C544" s="798" t="s">
        <v>532</v>
      </c>
      <c r="D544" s="978" t="s">
        <v>723</v>
      </c>
      <c r="E544" s="857" t="e">
        <f>NC_DKDD!H376</f>
        <v>#VALUE!</v>
      </c>
      <c r="F544" s="857"/>
      <c r="G544" s="796"/>
      <c r="H544" s="796"/>
      <c r="I544" s="796"/>
      <c r="J544" s="796"/>
      <c r="K544" s="796"/>
      <c r="L544" s="854"/>
      <c r="M544" s="854"/>
      <c r="N544" s="854"/>
      <c r="O544" s="857">
        <f t="shared" si="93"/>
        <v>799.25</v>
      </c>
      <c r="P544" s="858">
        <f t="shared" si="91"/>
        <v>695</v>
      </c>
      <c r="Q544" s="858">
        <f t="shared" si="92"/>
        <v>104.25</v>
      </c>
      <c r="R544" s="796">
        <f>NC_DKDD!G376</f>
        <v>0.13</v>
      </c>
    </row>
    <row r="545" spans="1:18" s="833" customFormat="1" ht="48.75" customHeight="1">
      <c r="A545" s="798" t="s">
        <v>877</v>
      </c>
      <c r="B545" s="799" t="s">
        <v>878</v>
      </c>
      <c r="C545" s="798" t="s">
        <v>532</v>
      </c>
      <c r="D545" s="978" t="s">
        <v>723</v>
      </c>
      <c r="E545" s="857" t="e">
        <f>NC_DKDD!H377</f>
        <v>#VALUE!</v>
      </c>
      <c r="F545" s="857"/>
      <c r="G545" s="796"/>
      <c r="H545" s="796"/>
      <c r="I545" s="796"/>
      <c r="J545" s="796"/>
      <c r="K545" s="796"/>
      <c r="L545" s="854"/>
      <c r="M545" s="854"/>
      <c r="N545" s="854"/>
      <c r="O545" s="857">
        <f t="shared" si="93"/>
        <v>799.25</v>
      </c>
      <c r="P545" s="858">
        <f t="shared" si="91"/>
        <v>695</v>
      </c>
      <c r="Q545" s="858">
        <f t="shared" si="92"/>
        <v>104.25</v>
      </c>
      <c r="R545" s="796">
        <f>NC_DKDD!G377</f>
        <v>0.13</v>
      </c>
    </row>
    <row r="546" spans="1:18" s="833" customFormat="1" ht="34.5" customHeight="1">
      <c r="A546" s="972" t="s">
        <v>755</v>
      </c>
      <c r="B546" s="973" t="s">
        <v>339</v>
      </c>
      <c r="C546" s="974"/>
      <c r="D546" s="975"/>
      <c r="E546" s="976" t="e">
        <f>E547</f>
        <v>#VALUE!</v>
      </c>
      <c r="F546" s="976"/>
      <c r="G546" s="976"/>
      <c r="H546" s="796"/>
      <c r="I546" s="796"/>
      <c r="J546" s="796"/>
      <c r="K546" s="796"/>
      <c r="L546" s="796" t="e">
        <f>SUM(E546:K546)</f>
        <v>#VALUE!</v>
      </c>
      <c r="M546" s="796" t="e">
        <f>L546*'He so chung'!$D$17/100</f>
        <v>#VALUE!</v>
      </c>
      <c r="N546" s="796" t="e">
        <f>L546+M546</f>
        <v>#VALUE!</v>
      </c>
      <c r="O546" s="976">
        <f>O547</f>
        <v>1598.5</v>
      </c>
      <c r="P546" s="858">
        <f>R546*$P$334</f>
        <v>1390</v>
      </c>
      <c r="Q546" s="858">
        <f>R546*$Q$334</f>
        <v>208.5</v>
      </c>
      <c r="R546" s="976">
        <f>R547</f>
        <v>0.26</v>
      </c>
    </row>
    <row r="547" spans="1:18" s="833" customFormat="1" ht="36.75" customHeight="1">
      <c r="A547" s="798">
        <v>1</v>
      </c>
      <c r="B547" s="799" t="s">
        <v>879</v>
      </c>
      <c r="C547" s="798" t="s">
        <v>532</v>
      </c>
      <c r="D547" s="978" t="s">
        <v>723</v>
      </c>
      <c r="E547" s="857" t="e">
        <f>NC_DKDD!H379</f>
        <v>#VALUE!</v>
      </c>
      <c r="F547" s="796"/>
      <c r="G547" s="796"/>
      <c r="H547" s="796">
        <f>'Dcu-DKDD'!$L$122</f>
        <v>0</v>
      </c>
      <c r="I547" s="796"/>
      <c r="J547" s="796"/>
      <c r="K547" s="796"/>
      <c r="L547" s="854"/>
      <c r="M547" s="854"/>
      <c r="N547" s="854"/>
      <c r="O547" s="857">
        <f>P547+Q547</f>
        <v>1598.5</v>
      </c>
      <c r="P547" s="858">
        <f>R547*$P$334</f>
        <v>1390</v>
      </c>
      <c r="Q547" s="858">
        <f>R547*$Q$334</f>
        <v>208.5</v>
      </c>
      <c r="R547" s="796">
        <f>NC_DKDD!G379</f>
        <v>0.26</v>
      </c>
    </row>
    <row r="548" spans="1:18" ht="21" customHeight="1">
      <c r="A548" s="437"/>
      <c r="B548" s="948" t="s">
        <v>533</v>
      </c>
      <c r="C548" s="439"/>
      <c r="D548" s="437"/>
      <c r="E548" s="803"/>
      <c r="F548" s="803"/>
      <c r="G548" s="804"/>
      <c r="H548" s="803"/>
      <c r="I548" s="803"/>
      <c r="J548" s="805"/>
      <c r="K548" s="805"/>
      <c r="L548" s="805"/>
      <c r="M548" s="419"/>
      <c r="N548" s="419"/>
      <c r="O548" s="901"/>
      <c r="P548" s="420"/>
      <c r="Q548" s="420"/>
    </row>
    <row r="549" spans="1:18" ht="43.9" customHeight="1">
      <c r="A549" s="455"/>
      <c r="B549" s="1073" t="s">
        <v>833</v>
      </c>
      <c r="C549" s="1073"/>
      <c r="D549" s="1073"/>
      <c r="E549" s="1073"/>
      <c r="F549" s="1073"/>
      <c r="G549" s="1073"/>
      <c r="H549" s="1073"/>
      <c r="I549" s="1073"/>
      <c r="J549" s="1073"/>
      <c r="K549" s="1073"/>
      <c r="L549" s="1073"/>
      <c r="M549" s="1073"/>
      <c r="N549" s="1073"/>
      <c r="O549" s="1073"/>
      <c r="P549" s="420"/>
      <c r="Q549" s="420"/>
    </row>
    <row r="550" spans="1:18" ht="43.9" customHeight="1">
      <c r="A550" s="455"/>
      <c r="B550" s="1069" t="s">
        <v>744</v>
      </c>
      <c r="C550" s="1069"/>
      <c r="D550" s="1069"/>
      <c r="E550" s="1069"/>
      <c r="F550" s="1069"/>
      <c r="G550" s="1069"/>
      <c r="H550" s="1069"/>
      <c r="I550" s="1069"/>
      <c r="J550" s="1069"/>
      <c r="K550" s="1069"/>
      <c r="L550" s="1069"/>
      <c r="M550" s="1069"/>
      <c r="N550" s="1069"/>
      <c r="O550" s="1069"/>
      <c r="P550" s="420"/>
      <c r="Q550" s="420"/>
    </row>
    <row r="551" spans="1:18" ht="43.9" customHeight="1">
      <c r="A551" s="455"/>
      <c r="B551" s="1072" t="s">
        <v>865</v>
      </c>
      <c r="C551" s="1072"/>
      <c r="D551" s="1072"/>
      <c r="E551" s="1072"/>
      <c r="F551" s="1072"/>
      <c r="G551" s="1072"/>
      <c r="H551" s="1072"/>
      <c r="I551" s="1072"/>
      <c r="J551" s="1072"/>
      <c r="K551" s="1072"/>
      <c r="L551" s="1072"/>
      <c r="M551" s="1072"/>
      <c r="N551" s="1072"/>
      <c r="O551" s="1072"/>
      <c r="P551" s="420"/>
      <c r="Q551" s="420"/>
    </row>
    <row r="552" spans="1:18" ht="43.9" customHeight="1">
      <c r="A552" s="455"/>
      <c r="B552" s="1072" t="s">
        <v>866</v>
      </c>
      <c r="C552" s="1072"/>
      <c r="D552" s="1072"/>
      <c r="E552" s="1072"/>
      <c r="F552" s="1072"/>
      <c r="G552" s="1072"/>
      <c r="H552" s="1072"/>
      <c r="I552" s="1072"/>
      <c r="J552" s="1072"/>
      <c r="K552" s="1072"/>
      <c r="L552" s="1072"/>
      <c r="M552" s="1072"/>
      <c r="N552" s="1072"/>
      <c r="O552" s="1072"/>
      <c r="P552" s="420"/>
      <c r="Q552" s="420"/>
    </row>
    <row r="553" spans="1:18" ht="34.15" customHeight="1">
      <c r="A553" s="1070" t="s">
        <v>293</v>
      </c>
      <c r="B553" s="1070"/>
      <c r="C553" s="1070"/>
      <c r="D553" s="1070"/>
      <c r="E553" s="1070"/>
      <c r="F553" s="1070"/>
      <c r="G553" s="1070"/>
      <c r="H553" s="1070"/>
      <c r="I553" s="1070"/>
      <c r="J553" s="1070"/>
      <c r="K553" s="1070"/>
      <c r="L553" s="1070"/>
      <c r="M553" s="1070"/>
      <c r="N553" s="1070"/>
      <c r="O553" s="1070"/>
    </row>
    <row r="554" spans="1:18" s="421" customFormat="1" ht="19.5" customHeight="1">
      <c r="A554" s="414"/>
      <c r="B554" s="926"/>
      <c r="C554" s="776"/>
      <c r="D554" s="777" t="s">
        <v>430</v>
      </c>
      <c r="E554" s="419"/>
      <c r="F554" s="778"/>
      <c r="G554" s="779"/>
      <c r="H554" s="778"/>
      <c r="I554" s="780"/>
      <c r="J554" s="778"/>
      <c r="K554" s="778"/>
      <c r="L554" s="781" t="s">
        <v>262</v>
      </c>
      <c r="M554" s="778"/>
      <c r="N554" s="780"/>
      <c r="O554" s="419"/>
      <c r="P554" s="420"/>
      <c r="Q554" s="420"/>
      <c r="R554" s="420"/>
    </row>
    <row r="555" spans="1:18" s="421" customFormat="1" ht="7.5" customHeight="1">
      <c r="A555" s="414"/>
      <c r="B555" s="926"/>
      <c r="C555" s="776"/>
      <c r="D555" s="821"/>
      <c r="E555" s="419"/>
      <c r="F555" s="419"/>
      <c r="G555" s="822"/>
      <c r="H555" s="419"/>
      <c r="I555" s="419"/>
      <c r="J555" s="419"/>
      <c r="K555" s="419"/>
      <c r="L555" s="419"/>
      <c r="M555" s="419"/>
      <c r="N555" s="419"/>
      <c r="O555" s="419"/>
      <c r="P555" s="420"/>
      <c r="Q555" s="420"/>
      <c r="R555" s="420"/>
    </row>
    <row r="556" spans="1:18" s="833" customFormat="1" ht="23.25" customHeight="1">
      <c r="A556" s="1068" t="s">
        <v>718</v>
      </c>
      <c r="B556" s="1068" t="s">
        <v>198</v>
      </c>
      <c r="C556" s="1071" t="s">
        <v>263</v>
      </c>
      <c r="D556" s="1071" t="s">
        <v>264</v>
      </c>
      <c r="E556" s="1071" t="s">
        <v>683</v>
      </c>
      <c r="F556" s="1071"/>
      <c r="G556" s="1071"/>
      <c r="H556" s="1071"/>
      <c r="I556" s="1071"/>
      <c r="J556" s="1071"/>
      <c r="K556" s="1071"/>
      <c r="L556" s="1071"/>
      <c r="M556" s="1071" t="s">
        <v>435</v>
      </c>
      <c r="N556" s="1071" t="s">
        <v>684</v>
      </c>
      <c r="O556" s="1071" t="s">
        <v>685</v>
      </c>
      <c r="P556" s="830"/>
      <c r="Q556" s="830"/>
      <c r="R556" s="832"/>
    </row>
    <row r="557" spans="1:18" s="833" customFormat="1" ht="36" customHeight="1">
      <c r="A557" s="1068"/>
      <c r="B557" s="1068"/>
      <c r="C557" s="1071"/>
      <c r="D557" s="1071"/>
      <c r="E557" s="783" t="s">
        <v>686</v>
      </c>
      <c r="F557" s="783" t="s">
        <v>687</v>
      </c>
      <c r="G557" s="784" t="s">
        <v>285</v>
      </c>
      <c r="H557" s="783" t="s">
        <v>499</v>
      </c>
      <c r="I557" s="783" t="s">
        <v>688</v>
      </c>
      <c r="J557" s="783" t="s">
        <v>531</v>
      </c>
      <c r="K557" s="783" t="s">
        <v>689</v>
      </c>
      <c r="L557" s="783" t="s">
        <v>690</v>
      </c>
      <c r="M557" s="1071"/>
      <c r="N557" s="1071"/>
      <c r="O557" s="1071"/>
      <c r="P557" s="830"/>
      <c r="Q557" s="830"/>
      <c r="R557" s="832"/>
    </row>
    <row r="558" spans="1:18" s="833" customFormat="1" ht="51" customHeight="1">
      <c r="A558" s="785"/>
      <c r="B558" s="786" t="s">
        <v>857</v>
      </c>
      <c r="C558" s="783"/>
      <c r="D558" s="783"/>
      <c r="E558" s="783"/>
      <c r="F558" s="783"/>
      <c r="G558" s="784"/>
      <c r="H558" s="783"/>
      <c r="I558" s="783"/>
      <c r="J558" s="783"/>
      <c r="K558" s="783"/>
      <c r="L558" s="783"/>
      <c r="M558" s="783"/>
      <c r="N558" s="783"/>
      <c r="O558" s="783"/>
      <c r="P558" s="830"/>
      <c r="Q558" s="830"/>
      <c r="R558" s="832"/>
    </row>
    <row r="559" spans="1:18" s="833" customFormat="1" ht="24" customHeight="1">
      <c r="A559" s="1068"/>
      <c r="B559" s="1074" t="s">
        <v>668</v>
      </c>
      <c r="C559" s="1071" t="s">
        <v>532</v>
      </c>
      <c r="D559" s="783">
        <v>1</v>
      </c>
      <c r="E559" s="788" t="e">
        <f t="shared" ref="E559:N559" si="94">E571+E619+E621</f>
        <v>#VALUE!</v>
      </c>
      <c r="F559" s="788">
        <f t="shared" si="94"/>
        <v>0</v>
      </c>
      <c r="G559" s="788">
        <f t="shared" si="94"/>
        <v>0</v>
      </c>
      <c r="H559" s="788">
        <f t="shared" si="94"/>
        <v>12820.985501602563</v>
      </c>
      <c r="I559" s="788">
        <f t="shared" si="94"/>
        <v>30335.579999999998</v>
      </c>
      <c r="J559" s="788">
        <f t="shared" si="94"/>
        <v>10992.36</v>
      </c>
      <c r="K559" s="788">
        <f t="shared" si="94"/>
        <v>23356.62</v>
      </c>
      <c r="L559" s="788" t="e">
        <f t="shared" si="94"/>
        <v>#VALUE!</v>
      </c>
      <c r="M559" s="788" t="e">
        <f t="shared" si="94"/>
        <v>#VALUE!</v>
      </c>
      <c r="N559" s="788" t="e">
        <f t="shared" si="94"/>
        <v>#VALUE!</v>
      </c>
      <c r="O559" s="788">
        <f>O571+O619+O621</f>
        <v>41954.476923076923</v>
      </c>
      <c r="P559" s="830"/>
      <c r="Q559" s="830"/>
      <c r="R559" s="832"/>
    </row>
    <row r="560" spans="1:18" s="833" customFormat="1" ht="24" customHeight="1">
      <c r="A560" s="1068"/>
      <c r="B560" s="1074"/>
      <c r="C560" s="1071"/>
      <c r="D560" s="783">
        <v>2</v>
      </c>
      <c r="E560" s="788" t="e">
        <f>E572+E619+E621</f>
        <v>#VALUE!</v>
      </c>
      <c r="F560" s="788">
        <f t="shared" ref="F560:N560" si="95">F572+F619+F621</f>
        <v>0</v>
      </c>
      <c r="G560" s="788">
        <f t="shared" si="95"/>
        <v>0</v>
      </c>
      <c r="H560" s="788">
        <f t="shared" si="95"/>
        <v>12820.985501602563</v>
      </c>
      <c r="I560" s="788">
        <f t="shared" si="95"/>
        <v>30335.579999999998</v>
      </c>
      <c r="J560" s="788">
        <f t="shared" si="95"/>
        <v>10992.36</v>
      </c>
      <c r="K560" s="788">
        <f t="shared" si="95"/>
        <v>23356.62</v>
      </c>
      <c r="L560" s="788" t="e">
        <f t="shared" si="95"/>
        <v>#VALUE!</v>
      </c>
      <c r="M560" s="788" t="e">
        <f t="shared" si="95"/>
        <v>#VALUE!</v>
      </c>
      <c r="N560" s="788" t="e">
        <f t="shared" si="95"/>
        <v>#VALUE!</v>
      </c>
      <c r="O560" s="788">
        <f>O572+O619+O621</f>
        <v>43184.092307692314</v>
      </c>
      <c r="P560" s="830"/>
      <c r="Q560" s="830"/>
      <c r="R560" s="832"/>
    </row>
    <row r="561" spans="1:18" s="833" customFormat="1" ht="24" customHeight="1">
      <c r="A561" s="1068"/>
      <c r="B561" s="1074"/>
      <c r="C561" s="1071"/>
      <c r="D561" s="783">
        <v>3</v>
      </c>
      <c r="E561" s="788" t="e">
        <f t="shared" ref="E561:N561" si="96">E573+E619+E621</f>
        <v>#VALUE!</v>
      </c>
      <c r="F561" s="788">
        <f t="shared" si="96"/>
        <v>0</v>
      </c>
      <c r="G561" s="788">
        <f t="shared" si="96"/>
        <v>0</v>
      </c>
      <c r="H561" s="788">
        <f t="shared" si="96"/>
        <v>12820.985501602563</v>
      </c>
      <c r="I561" s="788">
        <f t="shared" si="96"/>
        <v>30335.579999999998</v>
      </c>
      <c r="J561" s="788">
        <f t="shared" si="96"/>
        <v>10992.36</v>
      </c>
      <c r="K561" s="788">
        <f t="shared" si="96"/>
        <v>23356.62</v>
      </c>
      <c r="L561" s="788" t="e">
        <f t="shared" si="96"/>
        <v>#VALUE!</v>
      </c>
      <c r="M561" s="788" t="e">
        <f t="shared" si="96"/>
        <v>#VALUE!</v>
      </c>
      <c r="N561" s="788" t="e">
        <f t="shared" si="96"/>
        <v>#VALUE!</v>
      </c>
      <c r="O561" s="788">
        <f>O573+O619+O621</f>
        <v>44536.669230769236</v>
      </c>
      <c r="P561" s="830"/>
      <c r="Q561" s="830"/>
      <c r="R561" s="832"/>
    </row>
    <row r="562" spans="1:18" s="833" customFormat="1" ht="24" customHeight="1">
      <c r="A562" s="1068"/>
      <c r="B562" s="1074"/>
      <c r="C562" s="1071"/>
      <c r="D562" s="783">
        <v>4</v>
      </c>
      <c r="E562" s="788" t="e">
        <f>E574+E619+E621</f>
        <v>#VALUE!</v>
      </c>
      <c r="F562" s="788">
        <f t="shared" ref="F562:N562" si="97">F574+F619+F621</f>
        <v>0</v>
      </c>
      <c r="G562" s="788">
        <f t="shared" si="97"/>
        <v>0</v>
      </c>
      <c r="H562" s="788">
        <f t="shared" si="97"/>
        <v>12820.985501602563</v>
      </c>
      <c r="I562" s="788">
        <f t="shared" si="97"/>
        <v>30335.579999999998</v>
      </c>
      <c r="J562" s="788">
        <f t="shared" si="97"/>
        <v>10992.36</v>
      </c>
      <c r="K562" s="788">
        <f t="shared" si="97"/>
        <v>23356.62</v>
      </c>
      <c r="L562" s="788" t="e">
        <f t="shared" si="97"/>
        <v>#VALUE!</v>
      </c>
      <c r="M562" s="788" t="e">
        <f t="shared" si="97"/>
        <v>#VALUE!</v>
      </c>
      <c r="N562" s="788" t="e">
        <f t="shared" si="97"/>
        <v>#VALUE!</v>
      </c>
      <c r="O562" s="788">
        <f>O574+O619+O621</f>
        <v>46024.50384615385</v>
      </c>
      <c r="P562" s="830"/>
      <c r="Q562" s="830"/>
      <c r="R562" s="832"/>
    </row>
    <row r="563" spans="1:18" s="833" customFormat="1" ht="24" customHeight="1">
      <c r="A563" s="1068"/>
      <c r="B563" s="1074"/>
      <c r="C563" s="1071"/>
      <c r="D563" s="783">
        <v>5</v>
      </c>
      <c r="E563" s="788" t="e">
        <f t="shared" ref="E563:N563" si="98">E575+E619+E621</f>
        <v>#VALUE!</v>
      </c>
      <c r="F563" s="788">
        <f t="shared" si="98"/>
        <v>0</v>
      </c>
      <c r="G563" s="788">
        <f t="shared" si="98"/>
        <v>0</v>
      </c>
      <c r="H563" s="788">
        <f t="shared" si="98"/>
        <v>12820.985501602563</v>
      </c>
      <c r="I563" s="788">
        <f t="shared" si="98"/>
        <v>30335.579999999998</v>
      </c>
      <c r="J563" s="788">
        <f t="shared" si="98"/>
        <v>10992.36</v>
      </c>
      <c r="K563" s="788">
        <f t="shared" si="98"/>
        <v>23356.62</v>
      </c>
      <c r="L563" s="788" t="e">
        <f t="shared" si="98"/>
        <v>#VALUE!</v>
      </c>
      <c r="M563" s="788" t="e">
        <f t="shared" si="98"/>
        <v>#VALUE!</v>
      </c>
      <c r="N563" s="788" t="e">
        <f t="shared" si="98"/>
        <v>#VALUE!</v>
      </c>
      <c r="O563" s="788">
        <f>O575+O619+O621</f>
        <v>47610.707692307697</v>
      </c>
      <c r="P563" s="830"/>
      <c r="Q563" s="830"/>
      <c r="R563" s="832"/>
    </row>
    <row r="564" spans="1:18" s="833" customFormat="1" ht="38.25" customHeight="1">
      <c r="A564" s="1068"/>
      <c r="B564" s="1074" t="s">
        <v>669</v>
      </c>
      <c r="C564" s="1071" t="s">
        <v>532</v>
      </c>
      <c r="D564" s="783">
        <v>1</v>
      </c>
      <c r="E564" s="788" t="e">
        <f>E576+E619+E621</f>
        <v>#VALUE!</v>
      </c>
      <c r="F564" s="788">
        <f t="shared" ref="F564:N564" si="99">F576+F619+F621</f>
        <v>0</v>
      </c>
      <c r="G564" s="788">
        <f t="shared" si="99"/>
        <v>0</v>
      </c>
      <c r="H564" s="788">
        <f t="shared" si="99"/>
        <v>12820.985501602563</v>
      </c>
      <c r="I564" s="788">
        <f t="shared" si="99"/>
        <v>30335.579999999998</v>
      </c>
      <c r="J564" s="788">
        <f t="shared" si="99"/>
        <v>10992.36</v>
      </c>
      <c r="K564" s="788">
        <f t="shared" si="99"/>
        <v>23356.62</v>
      </c>
      <c r="L564" s="788" t="e">
        <f t="shared" si="99"/>
        <v>#VALUE!</v>
      </c>
      <c r="M564" s="788" t="e">
        <f t="shared" si="99"/>
        <v>#VALUE!</v>
      </c>
      <c r="N564" s="788" t="e">
        <f t="shared" si="99"/>
        <v>#VALUE!</v>
      </c>
      <c r="O564" s="788">
        <f>O576+O619+O621</f>
        <v>41954.476923076916</v>
      </c>
      <c r="P564" s="830"/>
      <c r="Q564" s="830"/>
      <c r="R564" s="832"/>
    </row>
    <row r="565" spans="1:18" s="833" customFormat="1" ht="24" customHeight="1">
      <c r="A565" s="1068"/>
      <c r="B565" s="1074"/>
      <c r="C565" s="1071"/>
      <c r="D565" s="783">
        <v>2</v>
      </c>
      <c r="E565" s="788" t="e">
        <f>E577+E619+E621</f>
        <v>#VALUE!</v>
      </c>
      <c r="F565" s="788">
        <f t="shared" ref="F565:N565" si="100">F577+F619+F621</f>
        <v>0</v>
      </c>
      <c r="G565" s="788">
        <f t="shared" si="100"/>
        <v>0</v>
      </c>
      <c r="H565" s="788">
        <f t="shared" si="100"/>
        <v>12820.985501602563</v>
      </c>
      <c r="I565" s="788">
        <f t="shared" si="100"/>
        <v>30335.579999999998</v>
      </c>
      <c r="J565" s="788">
        <f t="shared" si="100"/>
        <v>10992.36</v>
      </c>
      <c r="K565" s="788">
        <f t="shared" si="100"/>
        <v>23356.62</v>
      </c>
      <c r="L565" s="788" t="e">
        <f t="shared" si="100"/>
        <v>#VALUE!</v>
      </c>
      <c r="M565" s="788" t="e">
        <f t="shared" si="100"/>
        <v>#VALUE!</v>
      </c>
      <c r="N565" s="788" t="e">
        <f t="shared" si="100"/>
        <v>#VALUE!</v>
      </c>
      <c r="O565" s="788">
        <f>O577+O619+O621</f>
        <v>43184.092307692306</v>
      </c>
      <c r="P565" s="830"/>
      <c r="Q565" s="830"/>
      <c r="R565" s="832"/>
    </row>
    <row r="566" spans="1:18" s="833" customFormat="1" ht="24" customHeight="1">
      <c r="A566" s="1068"/>
      <c r="B566" s="1074"/>
      <c r="C566" s="1071"/>
      <c r="D566" s="783">
        <v>3</v>
      </c>
      <c r="E566" s="788" t="e">
        <f>E578+E619+E621</f>
        <v>#VALUE!</v>
      </c>
      <c r="F566" s="788">
        <f t="shared" ref="F566:N566" si="101">F578+F619+F621</f>
        <v>0</v>
      </c>
      <c r="G566" s="788">
        <f t="shared" si="101"/>
        <v>0</v>
      </c>
      <c r="H566" s="788">
        <f t="shared" si="101"/>
        <v>12820.985501602563</v>
      </c>
      <c r="I566" s="788">
        <f t="shared" si="101"/>
        <v>30335.579999999998</v>
      </c>
      <c r="J566" s="788">
        <f t="shared" si="101"/>
        <v>10992.36</v>
      </c>
      <c r="K566" s="788">
        <f t="shared" si="101"/>
        <v>23356.62</v>
      </c>
      <c r="L566" s="788" t="e">
        <f t="shared" si="101"/>
        <v>#VALUE!</v>
      </c>
      <c r="M566" s="788" t="e">
        <f t="shared" si="101"/>
        <v>#VALUE!</v>
      </c>
      <c r="N566" s="788" t="e">
        <f t="shared" si="101"/>
        <v>#VALUE!</v>
      </c>
      <c r="O566" s="788">
        <f>O578+O619+O621</f>
        <v>44536.669230769236</v>
      </c>
      <c r="P566" s="830"/>
      <c r="Q566" s="830"/>
      <c r="R566" s="832"/>
    </row>
    <row r="567" spans="1:18" s="833" customFormat="1" ht="24" customHeight="1">
      <c r="A567" s="1068"/>
      <c r="B567" s="1074"/>
      <c r="C567" s="1071"/>
      <c r="D567" s="783">
        <v>4</v>
      </c>
      <c r="E567" s="788" t="e">
        <f>E579+E619+E621</f>
        <v>#VALUE!</v>
      </c>
      <c r="F567" s="788">
        <f t="shared" ref="F567:N567" si="102">F579+F619+F621</f>
        <v>0</v>
      </c>
      <c r="G567" s="788">
        <f t="shared" si="102"/>
        <v>0</v>
      </c>
      <c r="H567" s="788">
        <f t="shared" si="102"/>
        <v>12820.985501602563</v>
      </c>
      <c r="I567" s="788">
        <f t="shared" si="102"/>
        <v>30335.579999999998</v>
      </c>
      <c r="J567" s="788">
        <f t="shared" si="102"/>
        <v>10992.36</v>
      </c>
      <c r="K567" s="788">
        <f t="shared" si="102"/>
        <v>23356.62</v>
      </c>
      <c r="L567" s="788" t="e">
        <f t="shared" si="102"/>
        <v>#VALUE!</v>
      </c>
      <c r="M567" s="788" t="e">
        <f t="shared" si="102"/>
        <v>#VALUE!</v>
      </c>
      <c r="N567" s="788" t="e">
        <f t="shared" si="102"/>
        <v>#VALUE!</v>
      </c>
      <c r="O567" s="788">
        <f>O579+O619+O621</f>
        <v>46024.503846153857</v>
      </c>
      <c r="P567" s="830"/>
      <c r="Q567" s="830"/>
      <c r="R567" s="832"/>
    </row>
    <row r="568" spans="1:18" s="833" customFormat="1" ht="24" customHeight="1">
      <c r="A568" s="1068"/>
      <c r="B568" s="1074"/>
      <c r="C568" s="1071"/>
      <c r="D568" s="783">
        <v>5</v>
      </c>
      <c r="E568" s="788" t="e">
        <f>E580+E619+E621</f>
        <v>#VALUE!</v>
      </c>
      <c r="F568" s="788">
        <f t="shared" ref="F568:N568" si="103">F580+F619+F621</f>
        <v>0</v>
      </c>
      <c r="G568" s="788">
        <f t="shared" si="103"/>
        <v>0</v>
      </c>
      <c r="H568" s="788">
        <f t="shared" si="103"/>
        <v>12820.985501602563</v>
      </c>
      <c r="I568" s="788">
        <f t="shared" si="103"/>
        <v>30335.579999999998</v>
      </c>
      <c r="J568" s="788">
        <f t="shared" si="103"/>
        <v>10992.36</v>
      </c>
      <c r="K568" s="788">
        <f t="shared" si="103"/>
        <v>23356.62</v>
      </c>
      <c r="L568" s="788" t="e">
        <f t="shared" si="103"/>
        <v>#VALUE!</v>
      </c>
      <c r="M568" s="788" t="e">
        <f t="shared" si="103"/>
        <v>#VALUE!</v>
      </c>
      <c r="N568" s="788" t="e">
        <f t="shared" si="103"/>
        <v>#VALUE!</v>
      </c>
      <c r="O568" s="788">
        <f>O580+O619+O621</f>
        <v>47610.707692307697</v>
      </c>
      <c r="P568" s="830"/>
      <c r="Q568" s="830"/>
      <c r="R568" s="832"/>
    </row>
    <row r="569" spans="1:18" s="833" customFormat="1" ht="24" customHeight="1">
      <c r="A569" s="785"/>
      <c r="B569" s="786"/>
      <c r="C569" s="783"/>
      <c r="D569" s="783"/>
      <c r="E569" s="788"/>
      <c r="F569" s="788"/>
      <c r="G569" s="788"/>
      <c r="H569" s="788"/>
      <c r="I569" s="788"/>
      <c r="J569" s="788"/>
      <c r="K569" s="788"/>
      <c r="L569" s="788"/>
      <c r="M569" s="788"/>
      <c r="N569" s="788"/>
      <c r="O569" s="788"/>
      <c r="P569" s="830"/>
      <c r="Q569" s="830"/>
      <c r="R569" s="832"/>
    </row>
    <row r="570" spans="1:18" s="833" customFormat="1" ht="33" customHeight="1">
      <c r="A570" s="785" t="s">
        <v>1000</v>
      </c>
      <c r="B570" s="789" t="s">
        <v>902</v>
      </c>
      <c r="C570" s="783"/>
      <c r="D570" s="783"/>
      <c r="E570" s="783"/>
      <c r="F570" s="783"/>
      <c r="G570" s="784"/>
      <c r="H570" s="783"/>
      <c r="I570" s="783"/>
      <c r="J570" s="783"/>
      <c r="K570" s="783"/>
      <c r="L570" s="783"/>
      <c r="M570" s="783"/>
      <c r="N570" s="783"/>
      <c r="O570" s="783"/>
      <c r="P570" s="846">
        <f>'He so chung'!D$22</f>
        <v>5346.1538461538457</v>
      </c>
      <c r="Q570" s="846">
        <f>'He so chung'!D$23</f>
        <v>801.92307692307691</v>
      </c>
      <c r="R570" s="836"/>
    </row>
    <row r="571" spans="1:18" s="922" customFormat="1" ht="26.45" customHeight="1">
      <c r="A571" s="1075" t="s">
        <v>1008</v>
      </c>
      <c r="B571" s="1074" t="s">
        <v>668</v>
      </c>
      <c r="C571" s="1071" t="s">
        <v>532</v>
      </c>
      <c r="D571" s="783">
        <v>1</v>
      </c>
      <c r="E571" s="990" t="e">
        <f>E582+E584+E585+E587+E588+E593+E595+E598+E602+E603+E606+E608+E609+E610+E613+E614+E615+E616+E617+E618</f>
        <v>#VALUE!</v>
      </c>
      <c r="F571" s="990">
        <f>F582+F584+F585+F587+F588+F593+F595+F598+F602+F603+F606+F608+F609+F610+F613+F614+F615+F616+F617+F618</f>
        <v>0</v>
      </c>
      <c r="G571" s="990">
        <f>G582+G583+G584+G585+G587+G588+G593+G595+G596+G598+G599+G601+G602+G603+G604+G606+G607+G608+G609+G610+G613+G614+G615+G616+G617+G618</f>
        <v>0</v>
      </c>
      <c r="H571" s="990">
        <f>'Dcu-DKDD'!$L$149</f>
        <v>12753.708641826923</v>
      </c>
      <c r="I571" s="990">
        <f>'VL-DKDD'!$J$154</f>
        <v>29692.98</v>
      </c>
      <c r="J571" s="990">
        <f>'TB-DKDD'!$M$84</f>
        <v>10992.36</v>
      </c>
      <c r="K571" s="990">
        <f>'NL-DKDD'!$J$60</f>
        <v>23356.62</v>
      </c>
      <c r="L571" s="796" t="e">
        <f t="shared" ref="L571:L580" si="104">SUM(E571:K571)</f>
        <v>#VALUE!</v>
      </c>
      <c r="M571" s="796" t="e">
        <f>L571*'He so chung'!$D$17/100</f>
        <v>#VALUE!</v>
      </c>
      <c r="N571" s="796" t="e">
        <f t="shared" ref="N571:N580" si="105">L571+M571</f>
        <v>#VALUE!</v>
      </c>
      <c r="O571" s="990">
        <f>O582+O584+O585+O587+O588+O593+O595+O598+O602+O603+O606+O608+O609+O610+O613+O614+O615+O616+O617+O618</f>
        <v>41093.74615384615</v>
      </c>
      <c r="P571" s="991"/>
      <c r="Q571" s="991"/>
      <c r="R571" s="869"/>
    </row>
    <row r="572" spans="1:18" s="922" customFormat="1" ht="26.45" customHeight="1">
      <c r="A572" s="1076"/>
      <c r="B572" s="1074"/>
      <c r="C572" s="1071"/>
      <c r="D572" s="783">
        <v>2</v>
      </c>
      <c r="E572" s="990" t="e">
        <f>E582+E584+E585+E587+E589+E593+E595+E598+E602+E603+E606+E608+E609+E610+E613+E614+E615+E616+E617+E618</f>
        <v>#VALUE!</v>
      </c>
      <c r="F572" s="990">
        <f>F582+F584+F585+F587+F589+F593+F595+F598+F602+F603+F606+F608+F609+F610+F613+F614+F615+F616+F617+F618</f>
        <v>0</v>
      </c>
      <c r="G572" s="990">
        <f>G582+G583+G584+G585+G587+G589+G593+G595+G596+G598+G599+G601+G602+G603+G604+G606+G607+G608+G609+G610+G613+G614+G615+G616+G617+G618</f>
        <v>0</v>
      </c>
      <c r="H572" s="990">
        <f>'Dcu-DKDD'!$L$149</f>
        <v>12753.708641826923</v>
      </c>
      <c r="I572" s="990">
        <f>'VL-DKDD'!$J$154</f>
        <v>29692.98</v>
      </c>
      <c r="J572" s="990">
        <f>'TB-DKDD'!$M$84</f>
        <v>10992.36</v>
      </c>
      <c r="K572" s="990">
        <f>'NL-DKDD'!$J$60</f>
        <v>23356.62</v>
      </c>
      <c r="L572" s="796" t="e">
        <f t="shared" si="104"/>
        <v>#VALUE!</v>
      </c>
      <c r="M572" s="796" t="e">
        <f>L572*'He so chung'!$D$17/100</f>
        <v>#VALUE!</v>
      </c>
      <c r="N572" s="796" t="e">
        <f t="shared" si="105"/>
        <v>#VALUE!</v>
      </c>
      <c r="O572" s="990">
        <f>O582+O584+O585+O587+O589+O593+O595+O598+O602+O603+O606+O608+O609+O610+O613+O614+O615+O616+O617+O618</f>
        <v>42323.36153846154</v>
      </c>
      <c r="P572" s="991"/>
      <c r="Q572" s="991"/>
      <c r="R572" s="869"/>
    </row>
    <row r="573" spans="1:18" s="922" customFormat="1" ht="26.45" customHeight="1">
      <c r="A573" s="1076"/>
      <c r="B573" s="1074"/>
      <c r="C573" s="1071"/>
      <c r="D573" s="783">
        <v>3</v>
      </c>
      <c r="E573" s="990" t="e">
        <f>E582+E584+E585+E587+E590+E593+E595+E598+E602+E603+E606+E608+E609+E610+E613+E614+E615+E616+E617+E618</f>
        <v>#VALUE!</v>
      </c>
      <c r="F573" s="990">
        <f>F582+F584+F585+F587+F590+F593+F595+F598+F602+F603+F606+F608+F609+F610+F613+F614+F615+F616+F617+F618</f>
        <v>0</v>
      </c>
      <c r="G573" s="990">
        <f>G582+G583+G584+G585+G587+G590+G593+G595+G596+G598+G599+G601+G602+G603+G604+G606+G607+G608+G609+G610</f>
        <v>0</v>
      </c>
      <c r="H573" s="990">
        <f>'Dcu-DKDD'!$L$149</f>
        <v>12753.708641826923</v>
      </c>
      <c r="I573" s="990">
        <f>'VL-DKDD'!$J$154</f>
        <v>29692.98</v>
      </c>
      <c r="J573" s="990">
        <f>'TB-DKDD'!$M$84</f>
        <v>10992.36</v>
      </c>
      <c r="K573" s="990">
        <f>'NL-DKDD'!$J$60</f>
        <v>23356.62</v>
      </c>
      <c r="L573" s="796" t="e">
        <f t="shared" si="104"/>
        <v>#VALUE!</v>
      </c>
      <c r="M573" s="796" t="e">
        <f>L573*'He so chung'!$D$17/100</f>
        <v>#VALUE!</v>
      </c>
      <c r="N573" s="796" t="e">
        <f t="shared" si="105"/>
        <v>#VALUE!</v>
      </c>
      <c r="O573" s="990">
        <f>O582+O584+O585+O587+O590+O593+O595+O598+O602+O603+O606+O608+O609+O610+O613+O614+O615+O616+O617+O618</f>
        <v>43675.938461538462</v>
      </c>
      <c r="P573" s="991"/>
      <c r="Q573" s="991"/>
      <c r="R573" s="869"/>
    </row>
    <row r="574" spans="1:18" s="922" customFormat="1" ht="26.45" customHeight="1">
      <c r="A574" s="1076"/>
      <c r="B574" s="1074"/>
      <c r="C574" s="1071"/>
      <c r="D574" s="783">
        <v>4</v>
      </c>
      <c r="E574" s="990" t="e">
        <f>E582+E584+E585+E587+E591+E593+E595+E598+E602+E603+E606+E608+E609+E610+E613+E614+E615+E616+E617+E618</f>
        <v>#VALUE!</v>
      </c>
      <c r="F574" s="990">
        <f>F582+F584+F585+F587+F591+F593+F595+F598+F602+F603+F606+F608+F609+F610+F613+F614+F615+F616+F617+F618</f>
        <v>0</v>
      </c>
      <c r="G574" s="990">
        <f>G582+G583+G584+G585+G591+G593+G595+G596+G598+G599+G601+G602+G603+G606+G607+G608+G609+G613+G614+G615+G616+G617+G618</f>
        <v>0</v>
      </c>
      <c r="H574" s="990">
        <f>'Dcu-DKDD'!$L$149</f>
        <v>12753.708641826923</v>
      </c>
      <c r="I574" s="990">
        <f>'VL-DKDD'!$J$154</f>
        <v>29692.98</v>
      </c>
      <c r="J574" s="990">
        <f>'TB-DKDD'!$M$84</f>
        <v>10992.36</v>
      </c>
      <c r="K574" s="990">
        <f>'NL-DKDD'!$J$60</f>
        <v>23356.62</v>
      </c>
      <c r="L574" s="796" t="e">
        <f t="shared" si="104"/>
        <v>#VALUE!</v>
      </c>
      <c r="M574" s="796" t="e">
        <f>L574*'He so chung'!$D$17/100</f>
        <v>#VALUE!</v>
      </c>
      <c r="N574" s="796" t="e">
        <f t="shared" si="105"/>
        <v>#VALUE!</v>
      </c>
      <c r="O574" s="990">
        <f>O582+O584+O585+O587+O591+O593+O595+O598+O602+O603+O606+O608+O609+O610+O613+O614+O615+O616+O617+O618</f>
        <v>45163.773076923077</v>
      </c>
      <c r="P574" s="991"/>
      <c r="Q574" s="991"/>
      <c r="R574" s="869"/>
    </row>
    <row r="575" spans="1:18" s="922" customFormat="1" ht="26.45" customHeight="1">
      <c r="A575" s="1077"/>
      <c r="B575" s="1074"/>
      <c r="C575" s="1071"/>
      <c r="D575" s="783">
        <v>5</v>
      </c>
      <c r="E575" s="990" t="e">
        <f>E582+E584+E585+E587+E592+E593+E595+E598+E602+E603+E606+E608+E609+E610+E613+E614+E615+E616+E617+E618</f>
        <v>#VALUE!</v>
      </c>
      <c r="F575" s="990">
        <f>F582+F584+F585+F587+F592+F593+F595+F598+F602+F603+F606+F608+F609+F610+F613+F614+F615+F616+F617+F618</f>
        <v>0</v>
      </c>
      <c r="G575" s="990">
        <f>G582+G583+G584+G585+G587+G592+G593+G595+G596+G598+G599+G601+G602+G603+G604+G606+G607+G608+G609+G613+G614+G615+G616+G617+G618</f>
        <v>0</v>
      </c>
      <c r="H575" s="990">
        <f>'Dcu-DKDD'!$L$149</f>
        <v>12753.708641826923</v>
      </c>
      <c r="I575" s="990">
        <f>'VL-DKDD'!$J$154</f>
        <v>29692.98</v>
      </c>
      <c r="J575" s="990">
        <f>'TB-DKDD'!$M$84</f>
        <v>10992.36</v>
      </c>
      <c r="K575" s="990">
        <f>'NL-DKDD'!$J$60</f>
        <v>23356.62</v>
      </c>
      <c r="L575" s="796" t="e">
        <f t="shared" si="104"/>
        <v>#VALUE!</v>
      </c>
      <c r="M575" s="796" t="e">
        <f>L575*'He so chung'!$D$17/100</f>
        <v>#VALUE!</v>
      </c>
      <c r="N575" s="796" t="e">
        <f t="shared" si="105"/>
        <v>#VALUE!</v>
      </c>
      <c r="O575" s="990">
        <f>O582+O584+O585+O587+O592+O593+O595+O598+O602+O603+O606+O608+O609+O610+O613+O614+O615+O616+O617+O618</f>
        <v>46749.976923076923</v>
      </c>
      <c r="P575" s="991"/>
      <c r="Q575" s="991"/>
      <c r="R575" s="869"/>
    </row>
    <row r="576" spans="1:18" s="922" customFormat="1" ht="26.45" customHeight="1">
      <c r="A576" s="1075" t="s">
        <v>1009</v>
      </c>
      <c r="B576" s="1074" t="s">
        <v>669</v>
      </c>
      <c r="C576" s="1071" t="s">
        <v>532</v>
      </c>
      <c r="D576" s="783">
        <v>1</v>
      </c>
      <c r="E576" s="990" t="e">
        <f>E583+E584+E585+E587+E588+E593+E594+E596+E598+E601+E603+E606+E608+E609+E610+E613+E614+E615+E616+E617+E618</f>
        <v>#VALUE!</v>
      </c>
      <c r="F576" s="990">
        <f>F583+F584+F585+F587+F588+F593+F594+F596+F598+F601+F603+F604+F606+F608+F609+F610+F613+F614+F615+F616+F617+F618</f>
        <v>0</v>
      </c>
      <c r="G576" s="990">
        <f>G587+G588+G589+G590+G592+G593+G598+G600+G601+G603+G604+G606+G607+G608+G609+G611+G612+G613+G614+G615+G618+G619+G620+G621+G622+G623</f>
        <v>0</v>
      </c>
      <c r="H576" s="990">
        <f>'Dcu-DKDD'!$L$149</f>
        <v>12753.708641826923</v>
      </c>
      <c r="I576" s="990">
        <f>'VL-DKDD'!$J$154</f>
        <v>29692.98</v>
      </c>
      <c r="J576" s="990">
        <f>'TB-DKDD'!$M$84</f>
        <v>10992.36</v>
      </c>
      <c r="K576" s="990">
        <f>'NL-DKDD'!$J$60</f>
        <v>23356.62</v>
      </c>
      <c r="L576" s="796" t="e">
        <f t="shared" si="104"/>
        <v>#VALUE!</v>
      </c>
      <c r="M576" s="796" t="e">
        <f>L576*'He so chung'!$D$17/100</f>
        <v>#VALUE!</v>
      </c>
      <c r="N576" s="796" t="e">
        <f t="shared" si="105"/>
        <v>#VALUE!</v>
      </c>
      <c r="O576" s="990">
        <f>O583+O584+O585+O587+O588+O593+O594+O596+O598+O601+O603+O606+O608+O609+O610+O613+O614+O615+O616+O617+O618</f>
        <v>41093.746153846143</v>
      </c>
      <c r="P576" s="991"/>
      <c r="Q576" s="991"/>
      <c r="R576" s="869"/>
    </row>
    <row r="577" spans="1:18" s="922" customFormat="1" ht="26.45" customHeight="1">
      <c r="A577" s="1076"/>
      <c r="B577" s="1074"/>
      <c r="C577" s="1071"/>
      <c r="D577" s="783">
        <v>2</v>
      </c>
      <c r="E577" s="990" t="e">
        <f>E583+E584+E585+E587+E589+E593+E594+E596+E598+E601+E603+E606+E608+E609+E610+E613+E614+E615+E616+E617+E618</f>
        <v>#VALUE!</v>
      </c>
      <c r="F577" s="990">
        <f>F583+F584+F585+F587+F589+F593+F594+F596+F598+F601+F603+F604+F606+F608+F609+F610+F613+F614+F615+F616+F617+F618</f>
        <v>0</v>
      </c>
      <c r="G577" s="990">
        <f>G587+G588+G589+G590+G592+G594+G598+G600+G601+G603+G604+G606+G607+G608+G609+G611+G612+G613+G614+G615+G618+G619+G620+G621+G622+G623</f>
        <v>0</v>
      </c>
      <c r="H577" s="990">
        <f>'Dcu-DKDD'!$L$149</f>
        <v>12753.708641826923</v>
      </c>
      <c r="I577" s="990">
        <f>'VL-DKDD'!$J$154</f>
        <v>29692.98</v>
      </c>
      <c r="J577" s="990">
        <f>'TB-DKDD'!$M$84</f>
        <v>10992.36</v>
      </c>
      <c r="K577" s="990">
        <f>'NL-DKDD'!$J$60</f>
        <v>23356.62</v>
      </c>
      <c r="L577" s="796" t="e">
        <f t="shared" si="104"/>
        <v>#VALUE!</v>
      </c>
      <c r="M577" s="796" t="e">
        <f>L577*'He so chung'!$D$17/100</f>
        <v>#VALUE!</v>
      </c>
      <c r="N577" s="796" t="e">
        <f t="shared" si="105"/>
        <v>#VALUE!</v>
      </c>
      <c r="O577" s="990">
        <f>O583+O584+O585+O587+O589+O593+O594+O596+O598+O601+O603+O606+O608+O609+O610+O613+O614+O615+O616+O617+O618</f>
        <v>42323.361538461533</v>
      </c>
      <c r="P577" s="991"/>
      <c r="Q577" s="991"/>
      <c r="R577" s="869"/>
    </row>
    <row r="578" spans="1:18" s="922" customFormat="1" ht="26.45" customHeight="1">
      <c r="A578" s="1076"/>
      <c r="B578" s="1074"/>
      <c r="C578" s="1071"/>
      <c r="D578" s="783">
        <v>3</v>
      </c>
      <c r="E578" s="990" t="e">
        <f>E583+E584+E585+E587+E590+E593+E594+E596+E598+E601+E603+E606+E608+E609+E610+E613+E614+E615+E616+E617+E618</f>
        <v>#VALUE!</v>
      </c>
      <c r="F578" s="990">
        <f>F583+F584+F585+F587+F590+F593+F594+F596+F598+F601+F603+F604+F606+F608+F609+F610+F613+F614+F615+F616+F617+F618</f>
        <v>0</v>
      </c>
      <c r="G578" s="990">
        <f>G583+G584+G585+G587+G590+G593+G594+G596+G598+G601+G603+G604+G606+G608+G609+G610+G613+G614+G615+G616+G617+G618</f>
        <v>0</v>
      </c>
      <c r="H578" s="990">
        <f>'Dcu-DKDD'!$L$149</f>
        <v>12753.708641826923</v>
      </c>
      <c r="I578" s="990">
        <f>'VL-DKDD'!$J$154</f>
        <v>29692.98</v>
      </c>
      <c r="J578" s="990">
        <f>'TB-DKDD'!$M$84</f>
        <v>10992.36</v>
      </c>
      <c r="K578" s="990">
        <f>'NL-DKDD'!$J$60</f>
        <v>23356.62</v>
      </c>
      <c r="L578" s="796" t="e">
        <f t="shared" si="104"/>
        <v>#VALUE!</v>
      </c>
      <c r="M578" s="796" t="e">
        <f>L578*'He so chung'!$D$17/100</f>
        <v>#VALUE!</v>
      </c>
      <c r="N578" s="796" t="e">
        <f t="shared" si="105"/>
        <v>#VALUE!</v>
      </c>
      <c r="O578" s="990">
        <f>O583+O584+O585+O587+O590+O593+O594+O596+O598+O601+O603+O606+O608+O609+O610+O613+O614+O615+O616+O617+O618</f>
        <v>43675.938461538462</v>
      </c>
      <c r="P578" s="991"/>
      <c r="Q578" s="991"/>
      <c r="R578" s="869"/>
    </row>
    <row r="579" spans="1:18" s="922" customFormat="1" ht="26.45" customHeight="1">
      <c r="A579" s="1076"/>
      <c r="B579" s="1074"/>
      <c r="C579" s="1071"/>
      <c r="D579" s="783">
        <v>4</v>
      </c>
      <c r="E579" s="990" t="e">
        <f>E583+E584+E585+E587+E591+E593+E594+E596+E598+E601+E603+E606+E608+E609+E610+E613+E614+E615+E616+E617+E618</f>
        <v>#VALUE!</v>
      </c>
      <c r="F579" s="990">
        <f>F583+F584+F585+F587+F591+F593+F594+F596+F598+F601+F603+F604+F606+F608+F609+F610+F613+F614+F615+F616+F617+F618</f>
        <v>0</v>
      </c>
      <c r="G579" s="990">
        <f>G587+G588+G589+G590+G596+G598+G600+G601+G603+G604+G606+G607+G608+G611+G612+G613+G614+G618+G619+G620+G621+G622+G623</f>
        <v>0</v>
      </c>
      <c r="H579" s="990">
        <f>'Dcu-DKDD'!$L$149</f>
        <v>12753.708641826923</v>
      </c>
      <c r="I579" s="990">
        <f>'VL-DKDD'!$J$154</f>
        <v>29692.98</v>
      </c>
      <c r="J579" s="990">
        <f>'TB-DKDD'!$M$84</f>
        <v>10992.36</v>
      </c>
      <c r="K579" s="990">
        <f>'NL-DKDD'!$J$60</f>
        <v>23356.62</v>
      </c>
      <c r="L579" s="796" t="e">
        <f t="shared" si="104"/>
        <v>#VALUE!</v>
      </c>
      <c r="M579" s="796" t="e">
        <f>L579*'He so chung'!$D$17/100</f>
        <v>#VALUE!</v>
      </c>
      <c r="N579" s="796" t="e">
        <f t="shared" si="105"/>
        <v>#VALUE!</v>
      </c>
      <c r="O579" s="990">
        <f>O583+O584+O585+O587+O591+O593+O594+O596+O598+O601+O603+O606+O608+O609+O610+O613+O614+O615+O616+O617+O618</f>
        <v>45163.773076923084</v>
      </c>
      <c r="P579" s="991"/>
      <c r="Q579" s="991"/>
      <c r="R579" s="869"/>
    </row>
    <row r="580" spans="1:18" s="922" customFormat="1" ht="26.45" customHeight="1">
      <c r="A580" s="1077"/>
      <c r="B580" s="1074"/>
      <c r="C580" s="1071"/>
      <c r="D580" s="783">
        <v>5</v>
      </c>
      <c r="E580" s="990" t="e">
        <f>E583+E584+E585+E587+E592+E593+E594+E596+E598+E601+E603+E606+E608+E609+E610+E613+E614+E615+E616+E617+E618</f>
        <v>#VALUE!</v>
      </c>
      <c r="F580" s="990">
        <f>F583+F584+F585+F587+F592+F593+F594+F596+F598+F601+F603+F604+F606+F608+F609+F610+F613+F614+F615+F616+F617+F618</f>
        <v>0</v>
      </c>
      <c r="G580" s="990">
        <f>G587+G588+G589+G590+G592+G597+G598+G600+G601+G603+G604+G606+G607+G608+G609+G611+G612+G613+G614+G618+G619+G620+G621+G622+G623</f>
        <v>0</v>
      </c>
      <c r="H580" s="990">
        <f>'Dcu-DKDD'!$L$149</f>
        <v>12753.708641826923</v>
      </c>
      <c r="I580" s="990">
        <f>'VL-DKDD'!$J$154</f>
        <v>29692.98</v>
      </c>
      <c r="J580" s="990">
        <f>'TB-DKDD'!$M$84</f>
        <v>10992.36</v>
      </c>
      <c r="K580" s="990">
        <f>'NL-DKDD'!$J$60</f>
        <v>23356.62</v>
      </c>
      <c r="L580" s="796" t="e">
        <f t="shared" si="104"/>
        <v>#VALUE!</v>
      </c>
      <c r="M580" s="796" t="e">
        <f>L580*'He so chung'!$D$17/100</f>
        <v>#VALUE!</v>
      </c>
      <c r="N580" s="796" t="e">
        <f t="shared" si="105"/>
        <v>#VALUE!</v>
      </c>
      <c r="O580" s="990">
        <f>O583+O584+O585+O587+O592+O593+O594+O596+O598+O601+O603+O606+O608+O609+O610+O613+O614+O615+O616+O617+O618</f>
        <v>46749.976923076923</v>
      </c>
      <c r="P580" s="991"/>
      <c r="Q580" s="991"/>
      <c r="R580" s="869"/>
    </row>
    <row r="581" spans="1:18" s="922" customFormat="1" ht="26.45" customHeight="1">
      <c r="A581" s="798">
        <v>1</v>
      </c>
      <c r="B581" s="799" t="s">
        <v>844</v>
      </c>
      <c r="C581" s="798"/>
      <c r="D581" s="855"/>
      <c r="E581" s="992"/>
      <c r="F581" s="990"/>
      <c r="G581" s="990"/>
      <c r="H581" s="990"/>
      <c r="I581" s="990"/>
      <c r="J581" s="990"/>
      <c r="K581" s="990"/>
      <c r="L581" s="990"/>
      <c r="M581" s="796"/>
      <c r="N581" s="990"/>
      <c r="O581" s="990"/>
      <c r="P581" s="991"/>
      <c r="Q581" s="991"/>
      <c r="R581" s="869"/>
    </row>
    <row r="582" spans="1:18" s="922" customFormat="1" ht="30" customHeight="1">
      <c r="A582" s="798" t="s">
        <v>733</v>
      </c>
      <c r="B582" s="799" t="s">
        <v>846</v>
      </c>
      <c r="C582" s="798" t="s">
        <v>532</v>
      </c>
      <c r="D582" s="792" t="s">
        <v>723</v>
      </c>
      <c r="E582" s="992" t="e">
        <f>NC_DKDD!H387</f>
        <v>#VALUE!</v>
      </c>
      <c r="F582" s="990"/>
      <c r="G582" s="990"/>
      <c r="H582" s="990"/>
      <c r="I582" s="990"/>
      <c r="J582" s="990"/>
      <c r="K582" s="990"/>
      <c r="L582" s="990"/>
      <c r="M582" s="796"/>
      <c r="N582" s="990"/>
      <c r="O582" s="992">
        <f>P582+Q582</f>
        <v>1229.6153846153848</v>
      </c>
      <c r="P582" s="993">
        <f t="shared" ref="P582:P593" si="106">R582*$P$570</f>
        <v>1069.2307692307693</v>
      </c>
      <c r="Q582" s="858">
        <f>R582*$Q$570</f>
        <v>160.38461538461539</v>
      </c>
      <c r="R582" s="994">
        <f>NC_DKDD!G387</f>
        <v>0.2</v>
      </c>
    </row>
    <row r="583" spans="1:18" s="922" customFormat="1" ht="30" customHeight="1">
      <c r="A583" s="798" t="s">
        <v>741</v>
      </c>
      <c r="B583" s="799" t="s">
        <v>849</v>
      </c>
      <c r="C583" s="798" t="s">
        <v>532</v>
      </c>
      <c r="D583" s="792" t="s">
        <v>723</v>
      </c>
      <c r="E583" s="992" t="e">
        <f>NC_DKDD!H388</f>
        <v>#VALUE!</v>
      </c>
      <c r="F583" s="990"/>
      <c r="G583" s="990"/>
      <c r="H583" s="990"/>
      <c r="I583" s="990"/>
      <c r="J583" s="990"/>
      <c r="K583" s="990"/>
      <c r="L583" s="990"/>
      <c r="M583" s="796"/>
      <c r="N583" s="990"/>
      <c r="O583" s="992">
        <f t="shared" ref="O583:O622" si="107">P583+Q583</f>
        <v>922.21153846153834</v>
      </c>
      <c r="P583" s="858">
        <f t="shared" si="106"/>
        <v>801.92307692307679</v>
      </c>
      <c r="Q583" s="858">
        <f t="shared" ref="Q583:Q622" si="108">R583*$Q$570</f>
        <v>120.28846153846153</v>
      </c>
      <c r="R583" s="994">
        <f>NC_DKDD!G388</f>
        <v>0.15</v>
      </c>
    </row>
    <row r="584" spans="1:18" s="922" customFormat="1" ht="42.75">
      <c r="A584" s="798">
        <v>2</v>
      </c>
      <c r="B584" s="799" t="s">
        <v>850</v>
      </c>
      <c r="C584" s="798" t="s">
        <v>532</v>
      </c>
      <c r="D584" s="792" t="s">
        <v>723</v>
      </c>
      <c r="E584" s="992" t="e">
        <f>NC_DKDD!H389</f>
        <v>#VALUE!</v>
      </c>
      <c r="F584" s="990"/>
      <c r="G584" s="990"/>
      <c r="H584" s="990"/>
      <c r="I584" s="990"/>
      <c r="J584" s="990"/>
      <c r="K584" s="990"/>
      <c r="L584" s="990"/>
      <c r="M584" s="796"/>
      <c r="N584" s="990"/>
      <c r="O584" s="992">
        <f t="shared" si="107"/>
        <v>3074.0384615384614</v>
      </c>
      <c r="P584" s="858">
        <f t="shared" si="106"/>
        <v>2673.0769230769229</v>
      </c>
      <c r="Q584" s="858">
        <f t="shared" si="108"/>
        <v>400.96153846153845</v>
      </c>
      <c r="R584" s="994">
        <f>NC_DKDD!G389</f>
        <v>0.5</v>
      </c>
    </row>
    <row r="585" spans="1:18" s="922" customFormat="1" ht="31.5" customHeight="1">
      <c r="A585" s="798">
        <v>3</v>
      </c>
      <c r="B585" s="799" t="s">
        <v>881</v>
      </c>
      <c r="C585" s="798" t="s">
        <v>375</v>
      </c>
      <c r="D585" s="792" t="s">
        <v>723</v>
      </c>
      <c r="E585" s="992" t="e">
        <f>NC_DKDD!H390</f>
        <v>#VALUE!</v>
      </c>
      <c r="F585" s="990"/>
      <c r="G585" s="990"/>
      <c r="H585" s="990"/>
      <c r="I585" s="990"/>
      <c r="J585" s="990"/>
      <c r="K585" s="990"/>
      <c r="L585" s="990"/>
      <c r="M585" s="796"/>
      <c r="N585" s="990"/>
      <c r="O585" s="992">
        <f t="shared" si="107"/>
        <v>657.84423076923065</v>
      </c>
      <c r="P585" s="858">
        <f t="shared" si="106"/>
        <v>572.03846153846143</v>
      </c>
      <c r="Q585" s="858">
        <f t="shared" si="108"/>
        <v>85.805769230769229</v>
      </c>
      <c r="R585" s="994">
        <f>NC_DKDD!G390</f>
        <v>0.107</v>
      </c>
    </row>
    <row r="586" spans="1:18" s="922" customFormat="1" ht="45.75" customHeight="1">
      <c r="A586" s="798">
        <v>4</v>
      </c>
      <c r="B586" s="799" t="s">
        <v>882</v>
      </c>
      <c r="C586" s="798"/>
      <c r="D586" s="798"/>
      <c r="E586" s="992"/>
      <c r="F586" s="990"/>
      <c r="G586" s="990"/>
      <c r="H586" s="990"/>
      <c r="I586" s="990"/>
      <c r="J586" s="990"/>
      <c r="K586" s="990"/>
      <c r="L586" s="990"/>
      <c r="M586" s="796"/>
      <c r="N586" s="990"/>
      <c r="O586" s="992">
        <f t="shared" si="107"/>
        <v>0</v>
      </c>
      <c r="P586" s="858">
        <f t="shared" si="106"/>
        <v>0</v>
      </c>
      <c r="Q586" s="858">
        <f t="shared" si="108"/>
        <v>0</v>
      </c>
      <c r="R586" s="994">
        <f>NC_DKDD!G391</f>
        <v>0</v>
      </c>
    </row>
    <row r="587" spans="1:18" s="922" customFormat="1" ht="31.5" customHeight="1">
      <c r="A587" s="798" t="s">
        <v>124</v>
      </c>
      <c r="B587" s="799" t="s">
        <v>883</v>
      </c>
      <c r="C587" s="798" t="s">
        <v>532</v>
      </c>
      <c r="D587" s="792" t="s">
        <v>723</v>
      </c>
      <c r="E587" s="992" t="e">
        <f>NC_DKDD!H392</f>
        <v>#VALUE!</v>
      </c>
      <c r="F587" s="990"/>
      <c r="G587" s="990"/>
      <c r="H587" s="990"/>
      <c r="I587" s="990"/>
      <c r="J587" s="990"/>
      <c r="K587" s="990"/>
      <c r="L587" s="990"/>
      <c r="M587" s="796"/>
      <c r="N587" s="990"/>
      <c r="O587" s="992">
        <f t="shared" si="107"/>
        <v>12296.153846153846</v>
      </c>
      <c r="P587" s="858">
        <f t="shared" si="106"/>
        <v>10692.307692307691</v>
      </c>
      <c r="Q587" s="858">
        <f t="shared" si="108"/>
        <v>1603.8461538461538</v>
      </c>
      <c r="R587" s="994">
        <f>NC_DKDD!G392</f>
        <v>2</v>
      </c>
    </row>
    <row r="588" spans="1:18" s="922" customFormat="1" ht="26.45" customHeight="1">
      <c r="A588" s="1081" t="s">
        <v>125</v>
      </c>
      <c r="B588" s="1096" t="s">
        <v>884</v>
      </c>
      <c r="C588" s="1084" t="s">
        <v>532</v>
      </c>
      <c r="D588" s="798">
        <v>1</v>
      </c>
      <c r="E588" s="992" t="e">
        <f>NC_DKDD!H393</f>
        <v>#VALUE!</v>
      </c>
      <c r="F588" s="990"/>
      <c r="G588" s="990"/>
      <c r="H588" s="990"/>
      <c r="I588" s="990"/>
      <c r="J588" s="990"/>
      <c r="K588" s="990"/>
      <c r="L588" s="990"/>
      <c r="M588" s="796"/>
      <c r="N588" s="990"/>
      <c r="O588" s="992">
        <f t="shared" si="107"/>
        <v>12296.153846153846</v>
      </c>
      <c r="P588" s="858">
        <f t="shared" si="106"/>
        <v>10692.307692307691</v>
      </c>
      <c r="Q588" s="858">
        <f>R588*$Q$570</f>
        <v>1603.8461538461538</v>
      </c>
      <c r="R588" s="994">
        <f>NC_DKDD!G393</f>
        <v>2</v>
      </c>
    </row>
    <row r="589" spans="1:18" s="922" customFormat="1" ht="26.45" customHeight="1">
      <c r="A589" s="1082"/>
      <c r="B589" s="1096"/>
      <c r="C589" s="1084"/>
      <c r="D589" s="798">
        <v>2</v>
      </c>
      <c r="E589" s="992" t="e">
        <f>NC_DKDD!H394</f>
        <v>#VALUE!</v>
      </c>
      <c r="F589" s="990"/>
      <c r="G589" s="990"/>
      <c r="H589" s="990"/>
      <c r="I589" s="990"/>
      <c r="J589" s="990"/>
      <c r="K589" s="990"/>
      <c r="L589" s="990"/>
      <c r="M589" s="796"/>
      <c r="N589" s="990"/>
      <c r="O589" s="992">
        <f t="shared" si="107"/>
        <v>13525.76923076923</v>
      </c>
      <c r="P589" s="858">
        <f t="shared" si="106"/>
        <v>11761.538461538461</v>
      </c>
      <c r="Q589" s="858">
        <f t="shared" si="108"/>
        <v>1764.2307692307693</v>
      </c>
      <c r="R589" s="994">
        <f>NC_DKDD!G394</f>
        <v>2.2000000000000002</v>
      </c>
    </row>
    <row r="590" spans="1:18" s="922" customFormat="1" ht="26.45" customHeight="1">
      <c r="A590" s="1082"/>
      <c r="B590" s="1096"/>
      <c r="C590" s="1084"/>
      <c r="D590" s="798">
        <v>3</v>
      </c>
      <c r="E590" s="992" t="e">
        <f>NC_DKDD!H395</f>
        <v>#VALUE!</v>
      </c>
      <c r="F590" s="990"/>
      <c r="G590" s="990"/>
      <c r="H590" s="990"/>
      <c r="I590" s="990"/>
      <c r="J590" s="990"/>
      <c r="K590" s="990"/>
      <c r="L590" s="990"/>
      <c r="M590" s="796"/>
      <c r="N590" s="990"/>
      <c r="O590" s="992">
        <f t="shared" si="107"/>
        <v>14878.346153846152</v>
      </c>
      <c r="P590" s="858">
        <f t="shared" si="106"/>
        <v>12937.692307692307</v>
      </c>
      <c r="Q590" s="858">
        <f t="shared" si="108"/>
        <v>1940.653846153846</v>
      </c>
      <c r="R590" s="994">
        <f>NC_DKDD!G395</f>
        <v>2.42</v>
      </c>
    </row>
    <row r="591" spans="1:18" s="922" customFormat="1" ht="26.45" customHeight="1">
      <c r="A591" s="1082"/>
      <c r="B591" s="1096"/>
      <c r="C591" s="1084"/>
      <c r="D591" s="798">
        <v>4</v>
      </c>
      <c r="E591" s="992" t="e">
        <f>NC_DKDD!H396</f>
        <v>#VALUE!</v>
      </c>
      <c r="F591" s="990"/>
      <c r="G591" s="990"/>
      <c r="H591" s="990"/>
      <c r="I591" s="990"/>
      <c r="J591" s="990"/>
      <c r="K591" s="990"/>
      <c r="L591" s="990"/>
      <c r="M591" s="796"/>
      <c r="N591" s="990"/>
      <c r="O591" s="992">
        <f t="shared" si="107"/>
        <v>16366.180769230768</v>
      </c>
      <c r="P591" s="858">
        <f t="shared" si="106"/>
        <v>14231.461538461537</v>
      </c>
      <c r="Q591" s="858">
        <f t="shared" si="108"/>
        <v>2134.7192307692308</v>
      </c>
      <c r="R591" s="994">
        <f>NC_DKDD!G396</f>
        <v>2.6619999999999999</v>
      </c>
    </row>
    <row r="592" spans="1:18" s="922" customFormat="1" ht="26.45" customHeight="1">
      <c r="A592" s="1083"/>
      <c r="B592" s="1096"/>
      <c r="C592" s="1084"/>
      <c r="D592" s="798">
        <v>5</v>
      </c>
      <c r="E592" s="992" t="e">
        <f>NC_DKDD!H397</f>
        <v>#VALUE!</v>
      </c>
      <c r="F592" s="990"/>
      <c r="G592" s="990"/>
      <c r="H592" s="990"/>
      <c r="I592" s="990"/>
      <c r="J592" s="990"/>
      <c r="K592" s="990"/>
      <c r="L592" s="990"/>
      <c r="M592" s="796"/>
      <c r="N592" s="990"/>
      <c r="O592" s="992">
        <f t="shared" si="107"/>
        <v>17952.384615384613</v>
      </c>
      <c r="P592" s="858">
        <f t="shared" si="106"/>
        <v>15610.769230769229</v>
      </c>
      <c r="Q592" s="858">
        <f t="shared" si="108"/>
        <v>2341.6153846153843</v>
      </c>
      <c r="R592" s="994">
        <f>NC_DKDD!G397</f>
        <v>2.92</v>
      </c>
    </row>
    <row r="593" spans="1:18" s="922" customFormat="1" ht="30.75" customHeight="1">
      <c r="A593" s="798" t="s">
        <v>885</v>
      </c>
      <c r="B593" s="799" t="s">
        <v>886</v>
      </c>
      <c r="C593" s="798" t="s">
        <v>375</v>
      </c>
      <c r="D593" s="792" t="s">
        <v>723</v>
      </c>
      <c r="E593" s="992" t="e">
        <f>NC_DKDD!H398</f>
        <v>#VALUE!</v>
      </c>
      <c r="F593" s="990"/>
      <c r="G593" s="990"/>
      <c r="H593" s="990"/>
      <c r="I593" s="990"/>
      <c r="J593" s="990"/>
      <c r="K593" s="990"/>
      <c r="L593" s="990"/>
      <c r="M593" s="796"/>
      <c r="N593" s="990"/>
      <c r="O593" s="992">
        <f t="shared" si="107"/>
        <v>18.444230769230767</v>
      </c>
      <c r="P593" s="858">
        <f t="shared" si="106"/>
        <v>16.038461538461537</v>
      </c>
      <c r="Q593" s="858">
        <f t="shared" si="108"/>
        <v>2.4057692307692307</v>
      </c>
      <c r="R593" s="994">
        <f>NC_DKDD!G398</f>
        <v>3.0000000000000001E-3</v>
      </c>
    </row>
    <row r="594" spans="1:18" s="922" customFormat="1" ht="30.75" customHeight="1">
      <c r="A594" s="798" t="s">
        <v>887</v>
      </c>
      <c r="B594" s="799" t="s">
        <v>888</v>
      </c>
      <c r="C594" s="798"/>
      <c r="D594" s="798"/>
      <c r="E594" s="992">
        <f>NC_DKDD!H399</f>
        <v>0</v>
      </c>
      <c r="F594" s="990"/>
      <c r="G594" s="990"/>
      <c r="H594" s="990"/>
      <c r="I594" s="990"/>
      <c r="J594" s="990"/>
      <c r="K594" s="990"/>
      <c r="L594" s="990"/>
      <c r="M594" s="796"/>
      <c r="N594" s="990"/>
      <c r="O594" s="992">
        <f t="shared" si="107"/>
        <v>0</v>
      </c>
      <c r="P594" s="858">
        <f t="shared" ref="P594:P622" si="109">R594*$P$570</f>
        <v>0</v>
      </c>
      <c r="Q594" s="858">
        <f t="shared" si="108"/>
        <v>0</v>
      </c>
      <c r="R594" s="994">
        <f>NC_DKDD!G399</f>
        <v>0</v>
      </c>
    </row>
    <row r="595" spans="1:18" s="922" customFormat="1" ht="26.45" customHeight="1">
      <c r="A595" s="798" t="s">
        <v>889</v>
      </c>
      <c r="B595" s="799" t="s">
        <v>846</v>
      </c>
      <c r="C595" s="798" t="s">
        <v>532</v>
      </c>
      <c r="D595" s="792" t="s">
        <v>723</v>
      </c>
      <c r="E595" s="992" t="e">
        <f>NC_DKDD!H400</f>
        <v>#VALUE!</v>
      </c>
      <c r="F595" s="990"/>
      <c r="G595" s="990"/>
      <c r="H595" s="990"/>
      <c r="I595" s="990"/>
      <c r="J595" s="990"/>
      <c r="K595" s="990"/>
      <c r="L595" s="990"/>
      <c r="M595" s="796"/>
      <c r="N595" s="990"/>
      <c r="O595" s="992">
        <f t="shared" si="107"/>
        <v>0</v>
      </c>
      <c r="P595" s="858">
        <f t="shared" si="109"/>
        <v>0</v>
      </c>
      <c r="Q595" s="858">
        <f t="shared" si="108"/>
        <v>0</v>
      </c>
      <c r="R595" s="994">
        <f>NC_DKDD!G400</f>
        <v>0</v>
      </c>
    </row>
    <row r="596" spans="1:18" s="922" customFormat="1" ht="26.45" customHeight="1">
      <c r="A596" s="798" t="s">
        <v>890</v>
      </c>
      <c r="B596" s="799" t="s">
        <v>891</v>
      </c>
      <c r="C596" s="798" t="s">
        <v>532</v>
      </c>
      <c r="D596" s="792" t="s">
        <v>723</v>
      </c>
      <c r="E596" s="992" t="e">
        <f>NC_DKDD!H401</f>
        <v>#VALUE!</v>
      </c>
      <c r="F596" s="990"/>
      <c r="G596" s="990"/>
      <c r="H596" s="990"/>
      <c r="I596" s="990"/>
      <c r="J596" s="990"/>
      <c r="K596" s="990"/>
      <c r="L596" s="990"/>
      <c r="M596" s="796"/>
      <c r="N596" s="990"/>
      <c r="O596" s="992">
        <f t="shared" si="107"/>
        <v>0</v>
      </c>
      <c r="P596" s="858">
        <f t="shared" si="109"/>
        <v>0</v>
      </c>
      <c r="Q596" s="858">
        <f t="shared" si="108"/>
        <v>0</v>
      </c>
      <c r="R596" s="994">
        <f>NC_DKDD!G401</f>
        <v>0</v>
      </c>
    </row>
    <row r="597" spans="1:18" s="922" customFormat="1" ht="57">
      <c r="A597" s="798" t="s">
        <v>892</v>
      </c>
      <c r="B597" s="799" t="s">
        <v>893</v>
      </c>
      <c r="C597" s="798"/>
      <c r="D597" s="798"/>
      <c r="E597" s="992">
        <f>NC_DKDD!H402</f>
        <v>0</v>
      </c>
      <c r="F597" s="990"/>
      <c r="G597" s="990"/>
      <c r="H597" s="990"/>
      <c r="I597" s="990"/>
      <c r="J597" s="990"/>
      <c r="K597" s="990"/>
      <c r="L597" s="990"/>
      <c r="M597" s="796"/>
      <c r="N597" s="990"/>
      <c r="O597" s="992">
        <f t="shared" si="107"/>
        <v>0</v>
      </c>
      <c r="P597" s="858">
        <f t="shared" si="109"/>
        <v>0</v>
      </c>
      <c r="Q597" s="858">
        <f t="shared" si="108"/>
        <v>0</v>
      </c>
      <c r="R597" s="994">
        <f>NC_DKDD!G402</f>
        <v>0</v>
      </c>
    </row>
    <row r="598" spans="1:18" s="922" customFormat="1" ht="26.45" customHeight="1">
      <c r="A598" s="798" t="s">
        <v>894</v>
      </c>
      <c r="B598" s="799" t="s">
        <v>587</v>
      </c>
      <c r="C598" s="798" t="s">
        <v>375</v>
      </c>
      <c r="D598" s="792" t="s">
        <v>723</v>
      </c>
      <c r="E598" s="992" t="e">
        <f>NC_DKDD!H403</f>
        <v>#VALUE!</v>
      </c>
      <c r="F598" s="990"/>
      <c r="G598" s="990"/>
      <c r="H598" s="990"/>
      <c r="I598" s="990"/>
      <c r="J598" s="990"/>
      <c r="K598" s="990"/>
      <c r="L598" s="990"/>
      <c r="M598" s="796"/>
      <c r="N598" s="990"/>
      <c r="O598" s="992">
        <f t="shared" si="107"/>
        <v>614.80769230769238</v>
      </c>
      <c r="P598" s="858">
        <f t="shared" si="109"/>
        <v>534.61538461538464</v>
      </c>
      <c r="Q598" s="858">
        <f t="shared" si="108"/>
        <v>80.192307692307693</v>
      </c>
      <c r="R598" s="994">
        <f>NC_DKDD!G403</f>
        <v>0.1</v>
      </c>
    </row>
    <row r="599" spans="1:18" s="922" customFormat="1" ht="26.45" customHeight="1">
      <c r="A599" s="798" t="s">
        <v>895</v>
      </c>
      <c r="B599" s="799" t="s">
        <v>588</v>
      </c>
      <c r="C599" s="798" t="s">
        <v>375</v>
      </c>
      <c r="D599" s="792" t="s">
        <v>723</v>
      </c>
      <c r="E599" s="992" t="e">
        <f>NC_DKDD!H404</f>
        <v>#VALUE!</v>
      </c>
      <c r="F599" s="990"/>
      <c r="G599" s="990"/>
      <c r="H599" s="990"/>
      <c r="I599" s="990"/>
      <c r="J599" s="990"/>
      <c r="K599" s="990"/>
      <c r="L599" s="990"/>
      <c r="M599" s="796"/>
      <c r="N599" s="990"/>
      <c r="O599" s="992">
        <f t="shared" si="107"/>
        <v>1229.6153846153848</v>
      </c>
      <c r="P599" s="858">
        <f t="shared" si="109"/>
        <v>1069.2307692307693</v>
      </c>
      <c r="Q599" s="858">
        <f t="shared" si="108"/>
        <v>160.38461538461539</v>
      </c>
      <c r="R599" s="994">
        <f>NC_DKDD!G404</f>
        <v>0.2</v>
      </c>
    </row>
    <row r="600" spans="1:18" s="922" customFormat="1" ht="42.75">
      <c r="A600" s="798">
        <v>5</v>
      </c>
      <c r="B600" s="799" t="s">
        <v>589</v>
      </c>
      <c r="C600" s="798"/>
      <c r="D600" s="798"/>
      <c r="E600" s="992">
        <f>NC_DKDD!H405</f>
        <v>0</v>
      </c>
      <c r="F600" s="990"/>
      <c r="G600" s="990"/>
      <c r="H600" s="990"/>
      <c r="I600" s="990"/>
      <c r="J600" s="990"/>
      <c r="K600" s="990"/>
      <c r="L600" s="990"/>
      <c r="M600" s="796"/>
      <c r="N600" s="990"/>
      <c r="O600" s="992">
        <f t="shared" si="107"/>
        <v>0</v>
      </c>
      <c r="P600" s="858">
        <f t="shared" si="109"/>
        <v>0</v>
      </c>
      <c r="Q600" s="858">
        <f t="shared" si="108"/>
        <v>0</v>
      </c>
      <c r="R600" s="994">
        <f>NC_DKDD!G405</f>
        <v>0</v>
      </c>
    </row>
    <row r="601" spans="1:18" s="922" customFormat="1" ht="26.45" customHeight="1">
      <c r="A601" s="798" t="s">
        <v>461</v>
      </c>
      <c r="B601" s="799" t="s">
        <v>590</v>
      </c>
      <c r="C601" s="798" t="s">
        <v>532</v>
      </c>
      <c r="D601" s="792" t="s">
        <v>723</v>
      </c>
      <c r="E601" s="992" t="e">
        <f>NC_DKDD!H406</f>
        <v>#VALUE!</v>
      </c>
      <c r="F601" s="990"/>
      <c r="G601" s="990"/>
      <c r="H601" s="990"/>
      <c r="I601" s="990"/>
      <c r="J601" s="990"/>
      <c r="K601" s="990"/>
      <c r="L601" s="990"/>
      <c r="M601" s="796"/>
      <c r="N601" s="990"/>
      <c r="O601" s="992">
        <f t="shared" si="107"/>
        <v>1537.0192307692307</v>
      </c>
      <c r="P601" s="858">
        <f t="shared" si="109"/>
        <v>1336.5384615384614</v>
      </c>
      <c r="Q601" s="858">
        <f t="shared" si="108"/>
        <v>200.48076923076923</v>
      </c>
      <c r="R601" s="994">
        <f>NC_DKDD!G406</f>
        <v>0.25</v>
      </c>
    </row>
    <row r="602" spans="1:18" s="922" customFormat="1" ht="26.45" customHeight="1">
      <c r="A602" s="798" t="s">
        <v>462</v>
      </c>
      <c r="B602" s="799" t="s">
        <v>591</v>
      </c>
      <c r="C602" s="798" t="s">
        <v>532</v>
      </c>
      <c r="D602" s="792" t="s">
        <v>723</v>
      </c>
      <c r="E602" s="992" t="e">
        <f>NC_DKDD!H407</f>
        <v>#VALUE!</v>
      </c>
      <c r="F602" s="990"/>
      <c r="G602" s="990"/>
      <c r="H602" s="990"/>
      <c r="I602" s="990"/>
      <c r="J602" s="990"/>
      <c r="K602" s="990"/>
      <c r="L602" s="990"/>
      <c r="M602" s="796"/>
      <c r="N602" s="990"/>
      <c r="O602" s="992">
        <f t="shared" si="107"/>
        <v>1229.6153846153848</v>
      </c>
      <c r="P602" s="858">
        <f t="shared" si="109"/>
        <v>1069.2307692307693</v>
      </c>
      <c r="Q602" s="858">
        <f t="shared" si="108"/>
        <v>160.38461538461539</v>
      </c>
      <c r="R602" s="994">
        <f>NC_DKDD!G407</f>
        <v>0.2</v>
      </c>
    </row>
    <row r="603" spans="1:18" s="922" customFormat="1" ht="31.5" customHeight="1">
      <c r="A603" s="798">
        <v>6</v>
      </c>
      <c r="B603" s="799" t="s">
        <v>78</v>
      </c>
      <c r="C603" s="798" t="s">
        <v>375</v>
      </c>
      <c r="D603" s="792" t="s">
        <v>723</v>
      </c>
      <c r="E603" s="992" t="e">
        <f>NC_DKDD!H408</f>
        <v>#VALUE!</v>
      </c>
      <c r="F603" s="990"/>
      <c r="G603" s="990"/>
      <c r="H603" s="990"/>
      <c r="I603" s="990"/>
      <c r="J603" s="990"/>
      <c r="K603" s="990"/>
      <c r="L603" s="990"/>
      <c r="M603" s="796"/>
      <c r="N603" s="990"/>
      <c r="O603" s="992">
        <f t="shared" si="107"/>
        <v>202.88653846153844</v>
      </c>
      <c r="P603" s="858">
        <f t="shared" si="109"/>
        <v>176.42307692307691</v>
      </c>
      <c r="Q603" s="858">
        <f t="shared" si="108"/>
        <v>26.463461538461541</v>
      </c>
      <c r="R603" s="994">
        <f>NC_DKDD!G408</f>
        <v>3.3000000000000002E-2</v>
      </c>
    </row>
    <row r="604" spans="1:18" s="922" customFormat="1" ht="26.45" customHeight="1">
      <c r="A604" s="798">
        <v>7</v>
      </c>
      <c r="B604" s="799" t="s">
        <v>260</v>
      </c>
      <c r="C604" s="798" t="s">
        <v>532</v>
      </c>
      <c r="D604" s="792" t="s">
        <v>723</v>
      </c>
      <c r="E604" s="992" t="e">
        <f>NC_DKDD!H409</f>
        <v>#VALUE!</v>
      </c>
      <c r="F604" s="990"/>
      <c r="G604" s="990"/>
      <c r="H604" s="990"/>
      <c r="I604" s="990"/>
      <c r="J604" s="990"/>
      <c r="K604" s="990"/>
      <c r="L604" s="990"/>
      <c r="M604" s="796"/>
      <c r="N604" s="990"/>
      <c r="O604" s="992">
        <f t="shared" si="107"/>
        <v>1229.6153846153848</v>
      </c>
      <c r="P604" s="858">
        <f t="shared" si="109"/>
        <v>1069.2307692307693</v>
      </c>
      <c r="Q604" s="858">
        <f t="shared" si="108"/>
        <v>160.38461538461539</v>
      </c>
      <c r="R604" s="994">
        <f>NC_DKDD!G409</f>
        <v>0.2</v>
      </c>
    </row>
    <row r="605" spans="1:18" s="922" customFormat="1" ht="26.45" customHeight="1">
      <c r="A605" s="798">
        <v>8</v>
      </c>
      <c r="B605" s="799" t="s">
        <v>80</v>
      </c>
      <c r="C605" s="798"/>
      <c r="D605" s="798"/>
      <c r="E605" s="992">
        <f>NC_DKDD!H410</f>
        <v>0</v>
      </c>
      <c r="F605" s="990"/>
      <c r="G605" s="990"/>
      <c r="H605" s="990"/>
      <c r="I605" s="990"/>
      <c r="J605" s="990"/>
      <c r="K605" s="990"/>
      <c r="L605" s="990"/>
      <c r="M605" s="796"/>
      <c r="N605" s="990"/>
      <c r="O605" s="992">
        <f t="shared" si="107"/>
        <v>0</v>
      </c>
      <c r="P605" s="858">
        <f t="shared" si="109"/>
        <v>0</v>
      </c>
      <c r="Q605" s="858">
        <f t="shared" si="108"/>
        <v>0</v>
      </c>
      <c r="R605" s="994">
        <f>NC_DKDD!G410</f>
        <v>0</v>
      </c>
    </row>
    <row r="606" spans="1:18" s="922" customFormat="1" ht="26.45" customHeight="1">
      <c r="A606" s="798" t="s">
        <v>191</v>
      </c>
      <c r="B606" s="799" t="s">
        <v>82</v>
      </c>
      <c r="C606" s="798" t="s">
        <v>559</v>
      </c>
      <c r="D606" s="792" t="s">
        <v>723</v>
      </c>
      <c r="E606" s="992" t="e">
        <f>NC_DKDD!H411</f>
        <v>#VALUE!</v>
      </c>
      <c r="F606" s="990"/>
      <c r="G606" s="990"/>
      <c r="H606" s="990"/>
      <c r="I606" s="990"/>
      <c r="J606" s="990"/>
      <c r="K606" s="990"/>
      <c r="L606" s="990"/>
      <c r="M606" s="796"/>
      <c r="N606" s="990"/>
      <c r="O606" s="992">
        <f t="shared" si="107"/>
        <v>614.80769230769238</v>
      </c>
      <c r="P606" s="858">
        <f t="shared" si="109"/>
        <v>534.61538461538464</v>
      </c>
      <c r="Q606" s="858">
        <f t="shared" si="108"/>
        <v>80.192307692307693</v>
      </c>
      <c r="R606" s="994">
        <f>NC_DKDD!G411</f>
        <v>0.1</v>
      </c>
    </row>
    <row r="607" spans="1:18" s="922" customFormat="1" ht="26.45" customHeight="1">
      <c r="A607" s="798" t="s">
        <v>192</v>
      </c>
      <c r="B607" s="799" t="s">
        <v>84</v>
      </c>
      <c r="C607" s="798" t="s">
        <v>559</v>
      </c>
      <c r="D607" s="792" t="s">
        <v>723</v>
      </c>
      <c r="E607" s="992" t="e">
        <f>NC_DKDD!H412</f>
        <v>#VALUE!</v>
      </c>
      <c r="F607" s="990"/>
      <c r="G607" s="990"/>
      <c r="H607" s="990"/>
      <c r="I607" s="990"/>
      <c r="J607" s="990"/>
      <c r="K607" s="990"/>
      <c r="L607" s="990"/>
      <c r="M607" s="796"/>
      <c r="N607" s="990"/>
      <c r="O607" s="992">
        <f t="shared" si="107"/>
        <v>922.21153846153834</v>
      </c>
      <c r="P607" s="858">
        <f t="shared" si="109"/>
        <v>801.92307692307679</v>
      </c>
      <c r="Q607" s="858">
        <f t="shared" si="108"/>
        <v>120.28846153846153</v>
      </c>
      <c r="R607" s="994">
        <f>NC_DKDD!G412</f>
        <v>0.15</v>
      </c>
    </row>
    <row r="608" spans="1:18" s="922" customFormat="1" ht="28.5">
      <c r="A608" s="798">
        <v>9</v>
      </c>
      <c r="B608" s="799" t="s">
        <v>85</v>
      </c>
      <c r="C608" s="798" t="s">
        <v>532</v>
      </c>
      <c r="D608" s="792" t="s">
        <v>723</v>
      </c>
      <c r="E608" s="992" t="e">
        <f>NC_DKDD!H413</f>
        <v>#VALUE!</v>
      </c>
      <c r="F608" s="990"/>
      <c r="G608" s="990"/>
      <c r="H608" s="990"/>
      <c r="I608" s="990"/>
      <c r="J608" s="990"/>
      <c r="K608" s="990"/>
      <c r="L608" s="990"/>
      <c r="M608" s="796"/>
      <c r="N608" s="990"/>
      <c r="O608" s="992">
        <f t="shared" si="107"/>
        <v>3074.0384615384614</v>
      </c>
      <c r="P608" s="858">
        <f t="shared" si="109"/>
        <v>2673.0769230769229</v>
      </c>
      <c r="Q608" s="858">
        <f t="shared" si="108"/>
        <v>400.96153846153845</v>
      </c>
      <c r="R608" s="994">
        <f>NC_DKDD!G413</f>
        <v>0.5</v>
      </c>
    </row>
    <row r="609" spans="1:18" s="922" customFormat="1" ht="28.5">
      <c r="A609" s="798">
        <v>10</v>
      </c>
      <c r="B609" s="799" t="s">
        <v>896</v>
      </c>
      <c r="C609" s="798" t="s">
        <v>532</v>
      </c>
      <c r="D609" s="792" t="s">
        <v>723</v>
      </c>
      <c r="E609" s="992" t="e">
        <f>NC_DKDD!H414</f>
        <v>#VALUE!</v>
      </c>
      <c r="F609" s="990"/>
      <c r="G609" s="990"/>
      <c r="H609" s="990"/>
      <c r="I609" s="990"/>
      <c r="J609" s="990"/>
      <c r="K609" s="990"/>
      <c r="L609" s="990"/>
      <c r="M609" s="796"/>
      <c r="N609" s="990"/>
      <c r="O609" s="992">
        <f t="shared" si="107"/>
        <v>2889.5961538461534</v>
      </c>
      <c r="P609" s="858">
        <f t="shared" si="109"/>
        <v>2512.6923076923072</v>
      </c>
      <c r="Q609" s="858">
        <f t="shared" si="108"/>
        <v>376.90384615384613</v>
      </c>
      <c r="R609" s="994">
        <f>NC_DKDD!G414</f>
        <v>0.47</v>
      </c>
    </row>
    <row r="610" spans="1:18" s="922" customFormat="1" ht="30" customHeight="1">
      <c r="A610" s="798">
        <v>11</v>
      </c>
      <c r="B610" s="799" t="s">
        <v>87</v>
      </c>
      <c r="C610" s="798" t="s">
        <v>375</v>
      </c>
      <c r="D610" s="792" t="s">
        <v>723</v>
      </c>
      <c r="E610" s="992" t="e">
        <f>NC_DKDD!H415</f>
        <v>#VALUE!</v>
      </c>
      <c r="F610" s="990"/>
      <c r="G610" s="990"/>
      <c r="H610" s="990"/>
      <c r="I610" s="990"/>
      <c r="J610" s="990"/>
      <c r="K610" s="990"/>
      <c r="L610" s="990"/>
      <c r="M610" s="796"/>
      <c r="N610" s="990"/>
      <c r="O610" s="992">
        <f t="shared" si="107"/>
        <v>202.88653846153844</v>
      </c>
      <c r="P610" s="858">
        <f t="shared" si="109"/>
        <v>176.42307692307691</v>
      </c>
      <c r="Q610" s="858">
        <f t="shared" si="108"/>
        <v>26.463461538461541</v>
      </c>
      <c r="R610" s="994">
        <f>NC_DKDD!G415</f>
        <v>3.3000000000000002E-2</v>
      </c>
    </row>
    <row r="611" spans="1:18" s="922" customFormat="1" ht="30" customHeight="1">
      <c r="A611" s="798">
        <v>12</v>
      </c>
      <c r="B611" s="799" t="s">
        <v>88</v>
      </c>
      <c r="C611" s="798"/>
      <c r="D611" s="798"/>
      <c r="E611" s="992">
        <f>NC_DKDD!H416</f>
        <v>0</v>
      </c>
      <c r="F611" s="990"/>
      <c r="G611" s="990"/>
      <c r="H611" s="990"/>
      <c r="I611" s="990"/>
      <c r="J611" s="990"/>
      <c r="K611" s="990"/>
      <c r="L611" s="990"/>
      <c r="M611" s="796"/>
      <c r="N611" s="990"/>
      <c r="O611" s="992">
        <f t="shared" si="107"/>
        <v>0</v>
      </c>
      <c r="P611" s="858">
        <f t="shared" si="109"/>
        <v>0</v>
      </c>
      <c r="Q611" s="858">
        <f t="shared" si="108"/>
        <v>0</v>
      </c>
      <c r="R611" s="994">
        <f>NC_DKDD!G416</f>
        <v>0</v>
      </c>
    </row>
    <row r="612" spans="1:18" s="922" customFormat="1" ht="40.5" customHeight="1">
      <c r="A612" s="798" t="s">
        <v>897</v>
      </c>
      <c r="B612" s="799" t="s">
        <v>775</v>
      </c>
      <c r="C612" s="798"/>
      <c r="D612" s="798"/>
      <c r="E612" s="992">
        <f>NC_DKDD!H417</f>
        <v>0</v>
      </c>
      <c r="F612" s="990"/>
      <c r="G612" s="990"/>
      <c r="H612" s="990"/>
      <c r="I612" s="990"/>
      <c r="J612" s="990"/>
      <c r="K612" s="990"/>
      <c r="L612" s="990"/>
      <c r="M612" s="796"/>
      <c r="N612" s="990"/>
      <c r="O612" s="992">
        <f t="shared" si="107"/>
        <v>0</v>
      </c>
      <c r="P612" s="858">
        <f t="shared" si="109"/>
        <v>0</v>
      </c>
      <c r="Q612" s="858">
        <f t="shared" si="108"/>
        <v>0</v>
      </c>
      <c r="R612" s="994">
        <f>NC_DKDD!G417</f>
        <v>0</v>
      </c>
    </row>
    <row r="613" spans="1:18" s="922" customFormat="1" ht="26.45" customHeight="1">
      <c r="A613" s="798" t="s">
        <v>898</v>
      </c>
      <c r="B613" s="799" t="s">
        <v>777</v>
      </c>
      <c r="C613" s="798" t="s">
        <v>377</v>
      </c>
      <c r="D613" s="792" t="s">
        <v>723</v>
      </c>
      <c r="E613" s="992" t="e">
        <f>NC_DKDD!H418</f>
        <v>#VALUE!</v>
      </c>
      <c r="F613" s="990"/>
      <c r="G613" s="990"/>
      <c r="H613" s="990"/>
      <c r="I613" s="990"/>
      <c r="J613" s="990"/>
      <c r="K613" s="990"/>
      <c r="L613" s="990"/>
      <c r="M613" s="796"/>
      <c r="N613" s="990"/>
      <c r="O613" s="992">
        <f t="shared" si="107"/>
        <v>98.369230769230768</v>
      </c>
      <c r="P613" s="858">
        <f t="shared" si="109"/>
        <v>85.538461538461533</v>
      </c>
      <c r="Q613" s="858">
        <f t="shared" si="108"/>
        <v>12.830769230769231</v>
      </c>
      <c r="R613" s="994">
        <f>NC_DKDD!G418</f>
        <v>1.6E-2</v>
      </c>
    </row>
    <row r="614" spans="1:18" s="922" customFormat="1" ht="26.45" customHeight="1">
      <c r="A614" s="798" t="s">
        <v>899</v>
      </c>
      <c r="B614" s="799" t="s">
        <v>781</v>
      </c>
      <c r="C614" s="798" t="s">
        <v>377</v>
      </c>
      <c r="D614" s="792" t="s">
        <v>723</v>
      </c>
      <c r="E614" s="992" t="e">
        <f>NC_DKDD!H419</f>
        <v>#VALUE!</v>
      </c>
      <c r="F614" s="990"/>
      <c r="G614" s="990"/>
      <c r="H614" s="990"/>
      <c r="I614" s="990"/>
      <c r="J614" s="990"/>
      <c r="K614" s="990"/>
      <c r="L614" s="990"/>
      <c r="M614" s="796"/>
      <c r="N614" s="990"/>
      <c r="O614" s="992">
        <f t="shared" si="107"/>
        <v>49.184615384615384</v>
      </c>
      <c r="P614" s="858">
        <f t="shared" si="109"/>
        <v>42.769230769230766</v>
      </c>
      <c r="Q614" s="858">
        <f t="shared" si="108"/>
        <v>6.4153846153846157</v>
      </c>
      <c r="R614" s="994">
        <f>NC_DKDD!G419</f>
        <v>8.0000000000000002E-3</v>
      </c>
    </row>
    <row r="615" spans="1:18" s="922" customFormat="1" ht="35.25" customHeight="1">
      <c r="A615" s="798" t="s">
        <v>900</v>
      </c>
      <c r="B615" s="799" t="s">
        <v>861</v>
      </c>
      <c r="C615" s="798" t="s">
        <v>377</v>
      </c>
      <c r="D615" s="792" t="s">
        <v>723</v>
      </c>
      <c r="E615" s="992" t="e">
        <f>NC_DKDD!H420</f>
        <v>#VALUE!</v>
      </c>
      <c r="F615" s="990"/>
      <c r="G615" s="990"/>
      <c r="H615" s="990"/>
      <c r="I615" s="990"/>
      <c r="J615" s="990"/>
      <c r="K615" s="990"/>
      <c r="L615" s="990"/>
      <c r="M615" s="796"/>
      <c r="N615" s="990"/>
      <c r="O615" s="992">
        <f t="shared" si="107"/>
        <v>24.592307692307692</v>
      </c>
      <c r="P615" s="858">
        <f t="shared" si="109"/>
        <v>21.384615384615383</v>
      </c>
      <c r="Q615" s="858">
        <f t="shared" si="108"/>
        <v>3.2076923076923078</v>
      </c>
      <c r="R615" s="994">
        <f>NC_DKDD!G420</f>
        <v>4.0000000000000001E-3</v>
      </c>
    </row>
    <row r="616" spans="1:18" s="922" customFormat="1" ht="35.25" customHeight="1">
      <c r="A616" s="798" t="s">
        <v>901</v>
      </c>
      <c r="B616" s="799" t="s">
        <v>863</v>
      </c>
      <c r="C616" s="798" t="s">
        <v>375</v>
      </c>
      <c r="D616" s="792" t="s">
        <v>723</v>
      </c>
      <c r="E616" s="992" t="e">
        <f>NC_DKDD!H421</f>
        <v>#VALUE!</v>
      </c>
      <c r="F616" s="990"/>
      <c r="G616" s="990"/>
      <c r="H616" s="990"/>
      <c r="I616" s="990"/>
      <c r="J616" s="990"/>
      <c r="K616" s="990"/>
      <c r="L616" s="990"/>
      <c r="M616" s="796"/>
      <c r="N616" s="990"/>
      <c r="O616" s="992">
        <f t="shared" si="107"/>
        <v>61.480769230769226</v>
      </c>
      <c r="P616" s="858">
        <f t="shared" si="109"/>
        <v>53.46153846153846</v>
      </c>
      <c r="Q616" s="858">
        <f t="shared" si="108"/>
        <v>8.0192307692307701</v>
      </c>
      <c r="R616" s="994">
        <f>NC_DKDD!G421</f>
        <v>0.01</v>
      </c>
    </row>
    <row r="617" spans="1:18" s="922" customFormat="1" ht="48" customHeight="1">
      <c r="A617" s="798">
        <v>13</v>
      </c>
      <c r="B617" s="799" t="s">
        <v>625</v>
      </c>
      <c r="C617" s="798" t="s">
        <v>532</v>
      </c>
      <c r="D617" s="792" t="s">
        <v>723</v>
      </c>
      <c r="E617" s="992" t="e">
        <f>NC_DKDD!H422</f>
        <v>#VALUE!</v>
      </c>
      <c r="F617" s="990"/>
      <c r="G617" s="990"/>
      <c r="H617" s="990"/>
      <c r="I617" s="990"/>
      <c r="J617" s="990"/>
      <c r="K617" s="990"/>
      <c r="L617" s="990"/>
      <c r="M617" s="796"/>
      <c r="N617" s="990"/>
      <c r="O617" s="992">
        <f t="shared" si="107"/>
        <v>1229.6153846153848</v>
      </c>
      <c r="P617" s="858">
        <f t="shared" si="109"/>
        <v>1069.2307692307693</v>
      </c>
      <c r="Q617" s="858">
        <f t="shared" si="108"/>
        <v>160.38461538461539</v>
      </c>
      <c r="R617" s="994">
        <f>NC_DKDD!G422</f>
        <v>0.2</v>
      </c>
    </row>
    <row r="618" spans="1:18" s="922" customFormat="1" ht="33.75" customHeight="1">
      <c r="A618" s="798">
        <v>14</v>
      </c>
      <c r="B618" s="799" t="s">
        <v>875</v>
      </c>
      <c r="C618" s="798" t="s">
        <v>532</v>
      </c>
      <c r="D618" s="792" t="s">
        <v>723</v>
      </c>
      <c r="E618" s="992" t="e">
        <f>NC_DKDD!H423</f>
        <v>#VALUE!</v>
      </c>
      <c r="F618" s="990"/>
      <c r="G618" s="990"/>
      <c r="H618" s="990"/>
      <c r="I618" s="990"/>
      <c r="J618" s="990"/>
      <c r="K618" s="990"/>
      <c r="L618" s="990"/>
      <c r="M618" s="796"/>
      <c r="N618" s="990"/>
      <c r="O618" s="992">
        <f t="shared" si="107"/>
        <v>1229.6153846153848</v>
      </c>
      <c r="P618" s="858">
        <f t="shared" si="109"/>
        <v>1069.2307692307693</v>
      </c>
      <c r="Q618" s="858">
        <f t="shared" si="108"/>
        <v>160.38461538461539</v>
      </c>
      <c r="R618" s="994">
        <f>NC_DKDD!G423</f>
        <v>0.2</v>
      </c>
    </row>
    <row r="619" spans="1:18" s="922" customFormat="1" ht="32.25" customHeight="1">
      <c r="A619" s="791" t="s">
        <v>1005</v>
      </c>
      <c r="B619" s="787" t="s">
        <v>908</v>
      </c>
      <c r="C619" s="798"/>
      <c r="D619" s="798"/>
      <c r="E619" s="990" t="e">
        <f>E620</f>
        <v>#VALUE!</v>
      </c>
      <c r="F619" s="990"/>
      <c r="G619" s="990"/>
      <c r="H619" s="990"/>
      <c r="I619" s="990"/>
      <c r="J619" s="990"/>
      <c r="K619" s="990"/>
      <c r="L619" s="796" t="e">
        <f>SUM(E619:K619)</f>
        <v>#VALUE!</v>
      </c>
      <c r="M619" s="796" t="e">
        <f>L619*'He so chung'!$D$17/100</f>
        <v>#VALUE!</v>
      </c>
      <c r="N619" s="796" t="e">
        <f>L619+M619</f>
        <v>#VALUE!</v>
      </c>
      <c r="O619" s="990">
        <f>O620</f>
        <v>614.80769230769238</v>
      </c>
      <c r="P619" s="858">
        <f t="shared" si="109"/>
        <v>534.61538461538464</v>
      </c>
      <c r="Q619" s="858">
        <f t="shared" si="108"/>
        <v>80.192307692307693</v>
      </c>
      <c r="R619" s="995">
        <f>R620</f>
        <v>0.1</v>
      </c>
    </row>
    <row r="620" spans="1:18" s="922" customFormat="1" ht="32.25" customHeight="1">
      <c r="A620" s="798">
        <v>1</v>
      </c>
      <c r="B620" s="799" t="s">
        <v>626</v>
      </c>
      <c r="C620" s="798" t="s">
        <v>532</v>
      </c>
      <c r="D620" s="792" t="s">
        <v>723</v>
      </c>
      <c r="E620" s="992" t="e">
        <f>NC_DKDD!H425</f>
        <v>#VALUE!</v>
      </c>
      <c r="F620" s="990"/>
      <c r="G620" s="990"/>
      <c r="H620" s="990"/>
      <c r="I620" s="990"/>
      <c r="J620" s="990"/>
      <c r="K620" s="990"/>
      <c r="L620" s="990"/>
      <c r="M620" s="796"/>
      <c r="N620" s="990"/>
      <c r="O620" s="992">
        <f t="shared" si="107"/>
        <v>614.80769230769238</v>
      </c>
      <c r="P620" s="858">
        <f t="shared" si="109"/>
        <v>534.61538461538464</v>
      </c>
      <c r="Q620" s="858">
        <f t="shared" si="108"/>
        <v>80.192307692307693</v>
      </c>
      <c r="R620" s="994">
        <f>NC_DKDD!G425</f>
        <v>0.1</v>
      </c>
    </row>
    <row r="621" spans="1:18" s="922" customFormat="1" ht="36" customHeight="1">
      <c r="A621" s="791" t="s">
        <v>755</v>
      </c>
      <c r="B621" s="787" t="s">
        <v>909</v>
      </c>
      <c r="C621" s="798"/>
      <c r="D621" s="798"/>
      <c r="E621" s="990" t="e">
        <f>E622</f>
        <v>#VALUE!</v>
      </c>
      <c r="F621" s="990"/>
      <c r="G621" s="990"/>
      <c r="H621" s="990">
        <f>'Dcu-DKDD'!$H$149</f>
        <v>67.276859775641014</v>
      </c>
      <c r="I621" s="990">
        <f>'VL-DKDD'!$F$154</f>
        <v>642.6</v>
      </c>
      <c r="J621" s="990"/>
      <c r="K621" s="990"/>
      <c r="L621" s="796" t="e">
        <f>SUM(E621:K621)</f>
        <v>#VALUE!</v>
      </c>
      <c r="M621" s="796" t="e">
        <f>L621*'He so chung'!$D$17/100</f>
        <v>#VALUE!</v>
      </c>
      <c r="N621" s="796" t="e">
        <f>L621+M621</f>
        <v>#VALUE!</v>
      </c>
      <c r="O621" s="990">
        <f>O622</f>
        <v>245.92307692307691</v>
      </c>
      <c r="P621" s="858">
        <f t="shared" si="109"/>
        <v>213.84615384615384</v>
      </c>
      <c r="Q621" s="858">
        <f t="shared" si="108"/>
        <v>32.07692307692308</v>
      </c>
      <c r="R621" s="995">
        <f>R622</f>
        <v>0.04</v>
      </c>
    </row>
    <row r="622" spans="1:18" s="922" customFormat="1" ht="37.5" customHeight="1">
      <c r="A622" s="798">
        <v>1</v>
      </c>
      <c r="B622" s="799" t="s">
        <v>627</v>
      </c>
      <c r="C622" s="798" t="s">
        <v>532</v>
      </c>
      <c r="D622" s="792" t="s">
        <v>723</v>
      </c>
      <c r="E622" s="992" t="e">
        <f>NC_DKDD!H427</f>
        <v>#VALUE!</v>
      </c>
      <c r="F622" s="990"/>
      <c r="G622" s="990"/>
      <c r="H622" s="990"/>
      <c r="I622" s="990"/>
      <c r="J622" s="990"/>
      <c r="K622" s="990"/>
      <c r="L622" s="990"/>
      <c r="M622" s="796"/>
      <c r="N622" s="990"/>
      <c r="O622" s="992">
        <f t="shared" si="107"/>
        <v>245.92307692307691</v>
      </c>
      <c r="P622" s="858">
        <f t="shared" si="109"/>
        <v>213.84615384615384</v>
      </c>
      <c r="Q622" s="858">
        <f t="shared" si="108"/>
        <v>32.07692307692308</v>
      </c>
      <c r="R622" s="994">
        <f>NC_DKDD!G427</f>
        <v>0.04</v>
      </c>
    </row>
    <row r="623" spans="1:18" s="907" customFormat="1" ht="25.15" customHeight="1">
      <c r="A623" s="462"/>
      <c r="B623" s="948" t="s">
        <v>533</v>
      </c>
      <c r="C623" s="439"/>
      <c r="D623" s="462"/>
      <c r="E623" s="996"/>
      <c r="F623" s="996"/>
      <c r="G623" s="997"/>
      <c r="H623" s="996"/>
      <c r="I623" s="996"/>
      <c r="J623" s="998"/>
      <c r="K623" s="998"/>
      <c r="L623" s="998"/>
      <c r="M623" s="832"/>
      <c r="N623" s="832"/>
      <c r="O623" s="996"/>
      <c r="P623" s="832"/>
      <c r="Q623" s="832"/>
      <c r="R623" s="832"/>
    </row>
    <row r="624" spans="1:18" ht="43.15" customHeight="1">
      <c r="A624" s="455"/>
      <c r="B624" s="1072" t="s">
        <v>864</v>
      </c>
      <c r="C624" s="1072"/>
      <c r="D624" s="1072"/>
      <c r="E624" s="1072"/>
      <c r="F624" s="1072"/>
      <c r="G624" s="1072"/>
      <c r="H624" s="1072"/>
      <c r="I624" s="1072"/>
      <c r="J624" s="1072"/>
      <c r="K624" s="1072"/>
      <c r="L624" s="1072"/>
      <c r="M624" s="1072"/>
      <c r="N624" s="1072"/>
      <c r="O624" s="1072"/>
      <c r="P624" s="420"/>
      <c r="Q624" s="420"/>
    </row>
    <row r="625" spans="1:18" ht="43.15" customHeight="1">
      <c r="A625" s="455"/>
      <c r="B625" s="1069" t="s">
        <v>744</v>
      </c>
      <c r="C625" s="1069"/>
      <c r="D625" s="1069"/>
      <c r="E625" s="1069"/>
      <c r="F625" s="1069"/>
      <c r="G625" s="1069"/>
      <c r="H625" s="1069"/>
      <c r="I625" s="1069"/>
      <c r="J625" s="1069"/>
      <c r="K625" s="1069"/>
      <c r="L625" s="1069"/>
      <c r="M625" s="1069"/>
      <c r="N625" s="1069"/>
      <c r="O625" s="1069"/>
      <c r="P625" s="420"/>
      <c r="Q625" s="420"/>
    </row>
    <row r="626" spans="1:18" ht="49.9" customHeight="1">
      <c r="A626" s="455"/>
      <c r="B626" s="1072" t="s">
        <v>807</v>
      </c>
      <c r="C626" s="1072"/>
      <c r="D626" s="1072"/>
      <c r="E626" s="1072"/>
      <c r="F626" s="1072"/>
      <c r="G626" s="1072"/>
      <c r="H626" s="1072"/>
      <c r="I626" s="1072"/>
      <c r="J626" s="1072"/>
      <c r="K626" s="1072"/>
      <c r="L626" s="1072"/>
      <c r="M626" s="1072"/>
      <c r="N626" s="1072"/>
      <c r="O626" s="1072"/>
      <c r="P626" s="420"/>
      <c r="Q626" s="420"/>
    </row>
    <row r="627" spans="1:18" ht="19.149999999999999" customHeight="1">
      <c r="A627" s="455"/>
      <c r="B627" s="864"/>
      <c r="C627" s="864"/>
      <c r="D627" s="999"/>
      <c r="E627" s="864"/>
      <c r="F627" s="864"/>
      <c r="G627" s="864"/>
      <c r="H627" s="864"/>
      <c r="I627" s="864"/>
      <c r="J627" s="864"/>
      <c r="K627" s="864"/>
      <c r="L627" s="864"/>
      <c r="M627" s="864"/>
      <c r="N627" s="864"/>
      <c r="O627" s="864"/>
      <c r="P627" s="420"/>
      <c r="Q627" s="420"/>
    </row>
    <row r="628" spans="1:18" ht="38.450000000000003" customHeight="1">
      <c r="A628" s="1070" t="s">
        <v>292</v>
      </c>
      <c r="B628" s="1070"/>
      <c r="C628" s="1070"/>
      <c r="D628" s="1070"/>
      <c r="E628" s="1070"/>
      <c r="F628" s="1070"/>
      <c r="G628" s="1070"/>
      <c r="H628" s="1070"/>
      <c r="I628" s="1070"/>
      <c r="J628" s="1070"/>
      <c r="K628" s="1070"/>
      <c r="L628" s="1070"/>
      <c r="M628" s="1070"/>
      <c r="N628" s="1070"/>
      <c r="O628" s="1070"/>
    </row>
    <row r="629" spans="1:18" s="421" customFormat="1" ht="19.5" customHeight="1">
      <c r="A629" s="414"/>
      <c r="B629" s="926"/>
      <c r="C629" s="776"/>
      <c r="D629" s="777" t="s">
        <v>430</v>
      </c>
      <c r="E629" s="419"/>
      <c r="F629" s="778"/>
      <c r="G629" s="779"/>
      <c r="H629" s="778"/>
      <c r="I629" s="780"/>
      <c r="J629" s="778"/>
      <c r="K629" s="778"/>
      <c r="L629" s="781" t="s">
        <v>262</v>
      </c>
      <c r="M629" s="778"/>
      <c r="N629" s="780"/>
      <c r="O629" s="419"/>
      <c r="P629" s="420"/>
      <c r="Q629" s="420"/>
      <c r="R629" s="420"/>
    </row>
    <row r="630" spans="1:18" s="421" customFormat="1" ht="7.5" customHeight="1">
      <c r="A630" s="414"/>
      <c r="B630" s="926"/>
      <c r="C630" s="776"/>
      <c r="D630" s="821"/>
      <c r="E630" s="419"/>
      <c r="F630" s="419"/>
      <c r="G630" s="822"/>
      <c r="H630" s="419"/>
      <c r="I630" s="419"/>
      <c r="J630" s="419"/>
      <c r="K630" s="419"/>
      <c r="L630" s="419"/>
      <c r="M630" s="419"/>
      <c r="N630" s="419"/>
      <c r="O630" s="419"/>
      <c r="P630" s="420"/>
      <c r="Q630" s="420"/>
      <c r="R630" s="420"/>
    </row>
    <row r="631" spans="1:18" s="833" customFormat="1" ht="23.25" customHeight="1">
      <c r="A631" s="1068" t="s">
        <v>718</v>
      </c>
      <c r="B631" s="1068" t="s">
        <v>198</v>
      </c>
      <c r="C631" s="1071" t="s">
        <v>263</v>
      </c>
      <c r="D631" s="1071" t="s">
        <v>264</v>
      </c>
      <c r="E631" s="1071" t="s">
        <v>683</v>
      </c>
      <c r="F631" s="1071"/>
      <c r="G631" s="1071"/>
      <c r="H631" s="1071"/>
      <c r="I631" s="1071"/>
      <c r="J631" s="1071"/>
      <c r="K631" s="1071"/>
      <c r="L631" s="1071"/>
      <c r="M631" s="1071" t="s">
        <v>435</v>
      </c>
      <c r="N631" s="1071" t="s">
        <v>684</v>
      </c>
      <c r="O631" s="1071" t="s">
        <v>685</v>
      </c>
      <c r="P631" s="830"/>
      <c r="Q631" s="830"/>
      <c r="R631" s="832"/>
    </row>
    <row r="632" spans="1:18" s="833" customFormat="1" ht="36" customHeight="1">
      <c r="A632" s="1068"/>
      <c r="B632" s="1068"/>
      <c r="C632" s="1071"/>
      <c r="D632" s="1071"/>
      <c r="E632" s="783" t="s">
        <v>686</v>
      </c>
      <c r="F632" s="783" t="s">
        <v>687</v>
      </c>
      <c r="G632" s="784" t="s">
        <v>285</v>
      </c>
      <c r="H632" s="783" t="s">
        <v>499</v>
      </c>
      <c r="I632" s="783" t="s">
        <v>688</v>
      </c>
      <c r="J632" s="783" t="s">
        <v>531</v>
      </c>
      <c r="K632" s="783" t="s">
        <v>689</v>
      </c>
      <c r="L632" s="783" t="s">
        <v>690</v>
      </c>
      <c r="M632" s="1071"/>
      <c r="N632" s="1071"/>
      <c r="O632" s="1071"/>
      <c r="P632" s="830"/>
      <c r="Q632" s="830"/>
      <c r="R632" s="832"/>
    </row>
    <row r="633" spans="1:18" s="833" customFormat="1" ht="50.25" customHeight="1">
      <c r="A633" s="785"/>
      <c r="B633" s="839" t="s">
        <v>858</v>
      </c>
      <c r="C633" s="783"/>
      <c r="D633" s="783"/>
      <c r="E633" s="783"/>
      <c r="F633" s="783"/>
      <c r="G633" s="784"/>
      <c r="H633" s="783"/>
      <c r="I633" s="783"/>
      <c r="J633" s="783"/>
      <c r="K633" s="783"/>
      <c r="L633" s="783"/>
      <c r="M633" s="783"/>
      <c r="N633" s="783"/>
      <c r="O633" s="783"/>
      <c r="P633" s="830"/>
      <c r="Q633" s="830"/>
      <c r="R633" s="832"/>
    </row>
    <row r="634" spans="1:18" s="833" customFormat="1" ht="24" customHeight="1">
      <c r="A634" s="1068"/>
      <c r="B634" s="1074" t="s">
        <v>668</v>
      </c>
      <c r="C634" s="1071" t="s">
        <v>532</v>
      </c>
      <c r="D634" s="783">
        <v>1</v>
      </c>
      <c r="E634" s="788" t="e">
        <f t="shared" ref="E634:N634" si="110">E645+E693+E695</f>
        <v>#VALUE!</v>
      </c>
      <c r="F634" s="788">
        <f t="shared" si="110"/>
        <v>0</v>
      </c>
      <c r="G634" s="788">
        <f t="shared" si="110"/>
        <v>0</v>
      </c>
      <c r="H634" s="788">
        <f t="shared" si="110"/>
        <v>12820.985501602563</v>
      </c>
      <c r="I634" s="788">
        <f t="shared" si="110"/>
        <v>30335.579999999998</v>
      </c>
      <c r="J634" s="788">
        <f t="shared" si="110"/>
        <v>10992.36</v>
      </c>
      <c r="K634" s="788">
        <f t="shared" si="110"/>
        <v>23356.62</v>
      </c>
      <c r="L634" s="788" t="e">
        <f t="shared" si="110"/>
        <v>#VALUE!</v>
      </c>
      <c r="M634" s="788" t="e">
        <f t="shared" si="110"/>
        <v>#VALUE!</v>
      </c>
      <c r="N634" s="788" t="e">
        <f t="shared" si="110"/>
        <v>#VALUE!</v>
      </c>
      <c r="O634" s="788">
        <f>O645+O693+O695</f>
        <v>47032.788461538461</v>
      </c>
      <c r="P634" s="830"/>
      <c r="Q634" s="830"/>
      <c r="R634" s="832"/>
    </row>
    <row r="635" spans="1:18" s="833" customFormat="1" ht="24" customHeight="1">
      <c r="A635" s="1068"/>
      <c r="B635" s="1074"/>
      <c r="C635" s="1071"/>
      <c r="D635" s="783">
        <v>2</v>
      </c>
      <c r="E635" s="788" t="e">
        <f t="shared" ref="E635:N635" si="111">E646+E693+E695</f>
        <v>#VALUE!</v>
      </c>
      <c r="F635" s="788">
        <f t="shared" si="111"/>
        <v>0</v>
      </c>
      <c r="G635" s="788">
        <f t="shared" si="111"/>
        <v>0</v>
      </c>
      <c r="H635" s="788">
        <f t="shared" si="111"/>
        <v>12820.985501602563</v>
      </c>
      <c r="I635" s="788">
        <f t="shared" si="111"/>
        <v>30335.579999999998</v>
      </c>
      <c r="J635" s="788">
        <f t="shared" si="111"/>
        <v>10992.36</v>
      </c>
      <c r="K635" s="788">
        <f t="shared" si="111"/>
        <v>23356.62</v>
      </c>
      <c r="L635" s="788" t="e">
        <f t="shared" si="111"/>
        <v>#VALUE!</v>
      </c>
      <c r="M635" s="788" t="e">
        <f t="shared" si="111"/>
        <v>#VALUE!</v>
      </c>
      <c r="N635" s="788" t="e">
        <f t="shared" si="111"/>
        <v>#VALUE!</v>
      </c>
      <c r="O635" s="788">
        <f>O646+O693+O695</f>
        <v>48262.403846153851</v>
      </c>
      <c r="P635" s="830"/>
      <c r="Q635" s="830"/>
      <c r="R635" s="832"/>
    </row>
    <row r="636" spans="1:18" s="833" customFormat="1" ht="24" customHeight="1">
      <c r="A636" s="1068"/>
      <c r="B636" s="1074"/>
      <c r="C636" s="1071"/>
      <c r="D636" s="783">
        <v>3</v>
      </c>
      <c r="E636" s="788" t="e">
        <f t="shared" ref="E636:N636" si="112">E647+E693+E695</f>
        <v>#VALUE!</v>
      </c>
      <c r="F636" s="788">
        <f t="shared" si="112"/>
        <v>0</v>
      </c>
      <c r="G636" s="788">
        <f t="shared" si="112"/>
        <v>0</v>
      </c>
      <c r="H636" s="788">
        <f t="shared" si="112"/>
        <v>12820.985501602563</v>
      </c>
      <c r="I636" s="788">
        <f t="shared" si="112"/>
        <v>30335.579999999998</v>
      </c>
      <c r="J636" s="788">
        <f t="shared" si="112"/>
        <v>10992.36</v>
      </c>
      <c r="K636" s="788">
        <f t="shared" si="112"/>
        <v>23356.62</v>
      </c>
      <c r="L636" s="788" t="e">
        <f t="shared" si="112"/>
        <v>#VALUE!</v>
      </c>
      <c r="M636" s="788" t="e">
        <f t="shared" si="112"/>
        <v>#VALUE!</v>
      </c>
      <c r="N636" s="788" t="e">
        <f t="shared" si="112"/>
        <v>#VALUE!</v>
      </c>
      <c r="O636" s="788">
        <f>O647+O693+O695</f>
        <v>49614.980769230773</v>
      </c>
      <c r="P636" s="830"/>
      <c r="Q636" s="830"/>
      <c r="R636" s="832"/>
    </row>
    <row r="637" spans="1:18" s="833" customFormat="1" ht="24" customHeight="1">
      <c r="A637" s="1068"/>
      <c r="B637" s="1074"/>
      <c r="C637" s="1071"/>
      <c r="D637" s="783">
        <v>4</v>
      </c>
      <c r="E637" s="788" t="e">
        <f t="shared" ref="E637:N637" si="113">E648+E693+E695</f>
        <v>#VALUE!</v>
      </c>
      <c r="F637" s="788">
        <f t="shared" si="113"/>
        <v>0</v>
      </c>
      <c r="G637" s="788">
        <f t="shared" si="113"/>
        <v>0</v>
      </c>
      <c r="H637" s="788">
        <f t="shared" si="113"/>
        <v>12820.985501602563</v>
      </c>
      <c r="I637" s="788">
        <f>I648+I693+I695</f>
        <v>30335.579999999998</v>
      </c>
      <c r="J637" s="788">
        <f t="shared" si="113"/>
        <v>10992.36</v>
      </c>
      <c r="K637" s="788">
        <f t="shared" si="113"/>
        <v>23356.62</v>
      </c>
      <c r="L637" s="788" t="e">
        <f t="shared" si="113"/>
        <v>#VALUE!</v>
      </c>
      <c r="M637" s="788" t="e">
        <f t="shared" si="113"/>
        <v>#VALUE!</v>
      </c>
      <c r="N637" s="788" t="e">
        <f t="shared" si="113"/>
        <v>#VALUE!</v>
      </c>
      <c r="O637" s="788">
        <f>O648+O693+O695</f>
        <v>51090.519230769234</v>
      </c>
      <c r="P637" s="830"/>
      <c r="Q637" s="830"/>
      <c r="R637" s="832"/>
    </row>
    <row r="638" spans="1:18" s="833" customFormat="1" ht="24" customHeight="1">
      <c r="A638" s="1068"/>
      <c r="B638" s="1074"/>
      <c r="C638" s="1071"/>
      <c r="D638" s="783">
        <v>5</v>
      </c>
      <c r="E638" s="788" t="e">
        <f t="shared" ref="E638:N638" si="114">E649+E693+E695</f>
        <v>#VALUE!</v>
      </c>
      <c r="F638" s="788">
        <f t="shared" si="114"/>
        <v>0</v>
      </c>
      <c r="G638" s="788">
        <f t="shared" si="114"/>
        <v>0</v>
      </c>
      <c r="H638" s="788">
        <f t="shared" si="114"/>
        <v>12820.985501602563</v>
      </c>
      <c r="I638" s="788">
        <f t="shared" si="114"/>
        <v>30335.579999999998</v>
      </c>
      <c r="J638" s="788">
        <f t="shared" si="114"/>
        <v>10992.36</v>
      </c>
      <c r="K638" s="788">
        <f t="shared" si="114"/>
        <v>23356.62</v>
      </c>
      <c r="L638" s="788" t="e">
        <f t="shared" si="114"/>
        <v>#VALUE!</v>
      </c>
      <c r="M638" s="788" t="e">
        <f t="shared" si="114"/>
        <v>#VALUE!</v>
      </c>
      <c r="N638" s="788" t="e">
        <f t="shared" si="114"/>
        <v>#VALUE!</v>
      </c>
      <c r="O638" s="788">
        <f>O649+O693+O695</f>
        <v>52689.019230769234</v>
      </c>
      <c r="P638" s="830"/>
      <c r="Q638" s="830"/>
      <c r="R638" s="832"/>
    </row>
    <row r="639" spans="1:18" s="833" customFormat="1" ht="24" customHeight="1">
      <c r="A639" s="1068"/>
      <c r="B639" s="1074" t="s">
        <v>669</v>
      </c>
      <c r="C639" s="1071" t="s">
        <v>532</v>
      </c>
      <c r="D639" s="783">
        <v>1</v>
      </c>
      <c r="E639" s="788" t="e">
        <f t="shared" ref="E639:O639" si="115">E650+E693+E695</f>
        <v>#VALUE!</v>
      </c>
      <c r="F639" s="788">
        <f t="shared" si="115"/>
        <v>0</v>
      </c>
      <c r="G639" s="788">
        <f t="shared" si="115"/>
        <v>0</v>
      </c>
      <c r="H639" s="788">
        <f t="shared" si="115"/>
        <v>12820.985501602563</v>
      </c>
      <c r="I639" s="788">
        <f t="shared" si="115"/>
        <v>30335.579999999998</v>
      </c>
      <c r="J639" s="788">
        <f t="shared" si="115"/>
        <v>10992.36</v>
      </c>
      <c r="K639" s="788">
        <f t="shared" si="115"/>
        <v>23356.62</v>
      </c>
      <c r="L639" s="788" t="e">
        <f t="shared" si="115"/>
        <v>#VALUE!</v>
      </c>
      <c r="M639" s="788" t="e">
        <f t="shared" si="115"/>
        <v>#VALUE!</v>
      </c>
      <c r="N639" s="788" t="e">
        <f t="shared" si="115"/>
        <v>#VALUE!</v>
      </c>
      <c r="O639" s="788">
        <f t="shared" si="115"/>
        <v>47032.788461538468</v>
      </c>
      <c r="P639" s="830"/>
      <c r="Q639" s="830"/>
      <c r="R639" s="832"/>
    </row>
    <row r="640" spans="1:18" s="833" customFormat="1" ht="24" customHeight="1">
      <c r="A640" s="1068"/>
      <c r="B640" s="1074"/>
      <c r="C640" s="1071"/>
      <c r="D640" s="783">
        <v>2</v>
      </c>
      <c r="E640" s="788" t="e">
        <f t="shared" ref="E640:O640" si="116">E651+E693+E695</f>
        <v>#VALUE!</v>
      </c>
      <c r="F640" s="788">
        <f t="shared" si="116"/>
        <v>0</v>
      </c>
      <c r="G640" s="788">
        <f t="shared" si="116"/>
        <v>0</v>
      </c>
      <c r="H640" s="788">
        <f t="shared" si="116"/>
        <v>12820.985501602563</v>
      </c>
      <c r="I640" s="788">
        <f t="shared" si="116"/>
        <v>30335.579999999998</v>
      </c>
      <c r="J640" s="788">
        <f t="shared" si="116"/>
        <v>10992.36</v>
      </c>
      <c r="K640" s="788">
        <f t="shared" si="116"/>
        <v>23356.62</v>
      </c>
      <c r="L640" s="788" t="e">
        <f t="shared" si="116"/>
        <v>#VALUE!</v>
      </c>
      <c r="M640" s="788" t="e">
        <f t="shared" si="116"/>
        <v>#VALUE!</v>
      </c>
      <c r="N640" s="788" t="e">
        <f t="shared" si="116"/>
        <v>#VALUE!</v>
      </c>
      <c r="O640" s="788">
        <f t="shared" si="116"/>
        <v>48262.403846153858</v>
      </c>
      <c r="P640" s="830"/>
      <c r="Q640" s="830"/>
      <c r="R640" s="832"/>
    </row>
    <row r="641" spans="1:18" s="833" customFormat="1" ht="24" customHeight="1">
      <c r="A641" s="1068"/>
      <c r="B641" s="1074"/>
      <c r="C641" s="1071"/>
      <c r="D641" s="783">
        <v>3</v>
      </c>
      <c r="E641" s="788" t="e">
        <f t="shared" ref="E641:O641" si="117">E652+E693+E695</f>
        <v>#VALUE!</v>
      </c>
      <c r="F641" s="788">
        <f t="shared" si="117"/>
        <v>0</v>
      </c>
      <c r="G641" s="788">
        <f t="shared" si="117"/>
        <v>0</v>
      </c>
      <c r="H641" s="788">
        <f t="shared" si="117"/>
        <v>12820.985501602563</v>
      </c>
      <c r="I641" s="788">
        <f t="shared" si="117"/>
        <v>30335.579999999998</v>
      </c>
      <c r="J641" s="788">
        <f t="shared" si="117"/>
        <v>10992.36</v>
      </c>
      <c r="K641" s="788">
        <f t="shared" si="117"/>
        <v>23356.62</v>
      </c>
      <c r="L641" s="788" t="e">
        <f t="shared" si="117"/>
        <v>#VALUE!</v>
      </c>
      <c r="M641" s="788" t="e">
        <f t="shared" si="117"/>
        <v>#VALUE!</v>
      </c>
      <c r="N641" s="788" t="e">
        <f t="shared" si="117"/>
        <v>#VALUE!</v>
      </c>
      <c r="O641" s="788">
        <f t="shared" si="117"/>
        <v>49614.98076923078</v>
      </c>
      <c r="P641" s="830"/>
      <c r="Q641" s="830"/>
      <c r="R641" s="832"/>
    </row>
    <row r="642" spans="1:18" s="833" customFormat="1" ht="24" customHeight="1">
      <c r="A642" s="1068"/>
      <c r="B642" s="1074"/>
      <c r="C642" s="1071"/>
      <c r="D642" s="783">
        <v>4</v>
      </c>
      <c r="E642" s="788" t="e">
        <f t="shared" ref="E642:O642" si="118">E653+E693+E695</f>
        <v>#VALUE!</v>
      </c>
      <c r="F642" s="788">
        <f t="shared" si="118"/>
        <v>0</v>
      </c>
      <c r="G642" s="788">
        <f t="shared" si="118"/>
        <v>0</v>
      </c>
      <c r="H642" s="788">
        <f t="shared" si="118"/>
        <v>12820.985501602563</v>
      </c>
      <c r="I642" s="788">
        <f t="shared" si="118"/>
        <v>30335.579999999998</v>
      </c>
      <c r="J642" s="788">
        <f t="shared" si="118"/>
        <v>10992.36</v>
      </c>
      <c r="K642" s="788">
        <f t="shared" si="118"/>
        <v>23356.62</v>
      </c>
      <c r="L642" s="788" t="e">
        <f t="shared" si="118"/>
        <v>#VALUE!</v>
      </c>
      <c r="M642" s="788" t="e">
        <f t="shared" si="118"/>
        <v>#VALUE!</v>
      </c>
      <c r="N642" s="788" t="e">
        <f t="shared" si="118"/>
        <v>#VALUE!</v>
      </c>
      <c r="O642" s="788">
        <f t="shared" si="118"/>
        <v>51090.519230769241</v>
      </c>
      <c r="P642" s="830"/>
      <c r="Q642" s="830"/>
      <c r="R642" s="832"/>
    </row>
    <row r="643" spans="1:18" s="833" customFormat="1" ht="24" customHeight="1">
      <c r="A643" s="1068"/>
      <c r="B643" s="1074"/>
      <c r="C643" s="1071"/>
      <c r="D643" s="783">
        <v>5</v>
      </c>
      <c r="E643" s="788" t="e">
        <f t="shared" ref="E643:O643" si="119">E654+E693+E695</f>
        <v>#VALUE!</v>
      </c>
      <c r="F643" s="788">
        <f t="shared" si="119"/>
        <v>0</v>
      </c>
      <c r="G643" s="788">
        <f t="shared" si="119"/>
        <v>0</v>
      </c>
      <c r="H643" s="788">
        <f t="shared" si="119"/>
        <v>12820.985501602563</v>
      </c>
      <c r="I643" s="788">
        <f t="shared" si="119"/>
        <v>30335.579999999998</v>
      </c>
      <c r="J643" s="788">
        <f t="shared" si="119"/>
        <v>10992.36</v>
      </c>
      <c r="K643" s="788">
        <f t="shared" si="119"/>
        <v>23356.62</v>
      </c>
      <c r="L643" s="788" t="e">
        <f t="shared" si="119"/>
        <v>#VALUE!</v>
      </c>
      <c r="M643" s="788" t="e">
        <f t="shared" si="119"/>
        <v>#VALUE!</v>
      </c>
      <c r="N643" s="788" t="e">
        <f t="shared" si="119"/>
        <v>#VALUE!</v>
      </c>
      <c r="O643" s="788">
        <f t="shared" si="119"/>
        <v>52689.019230769241</v>
      </c>
      <c r="P643" s="830"/>
      <c r="Q643" s="830"/>
      <c r="R643" s="832"/>
    </row>
    <row r="644" spans="1:18" s="833" customFormat="1" ht="33" customHeight="1">
      <c r="A644" s="847" t="s">
        <v>1000</v>
      </c>
      <c r="B644" s="1000" t="s">
        <v>902</v>
      </c>
      <c r="C644" s="1001"/>
      <c r="D644" s="783"/>
      <c r="E644" s="788"/>
      <c r="F644" s="788"/>
      <c r="G644" s="788"/>
      <c r="H644" s="788"/>
      <c r="I644" s="788"/>
      <c r="J644" s="788"/>
      <c r="K644" s="788"/>
      <c r="L644" s="788"/>
      <c r="M644" s="788"/>
      <c r="N644" s="788"/>
      <c r="O644" s="788"/>
      <c r="P644" s="846">
        <f>'He so chung'!D$22</f>
        <v>5346.1538461538457</v>
      </c>
      <c r="Q644" s="846">
        <f>'He so chung'!D$23</f>
        <v>801.92307692307691</v>
      </c>
      <c r="R644" s="832"/>
    </row>
    <row r="645" spans="1:18" s="922" customFormat="1" ht="26.45" customHeight="1">
      <c r="A645" s="1075" t="s">
        <v>406</v>
      </c>
      <c r="B645" s="1074" t="s">
        <v>668</v>
      </c>
      <c r="C645" s="1071" t="s">
        <v>532</v>
      </c>
      <c r="D645" s="783">
        <v>1</v>
      </c>
      <c r="E645" s="990" t="e">
        <f>E656+E658+E659+E661+E662+E667+E669+E676+E677+E680+E682+E683+E684+E687+E688+E689+E690+E691+E692</f>
        <v>#VALUE!</v>
      </c>
      <c r="F645" s="990">
        <f>F656+F658+F659+F661+F662+F667+F669+F676+F677+F680+F682+F683+F684+F687+F688+F689+F690+F691+F692</f>
        <v>0</v>
      </c>
      <c r="G645" s="990">
        <f>G656+G657+G658+G659+G661+G662+G667+G669+G670+G672+G673+G675+G676+G677+G678+G680+G681+G682+G683+G684+G687+G688+G689+G690+G691+G692</f>
        <v>0</v>
      </c>
      <c r="H645" s="990">
        <f>'Dcu-DKDD'!$L$149</f>
        <v>12753.708641826923</v>
      </c>
      <c r="I645" s="990">
        <f>'VL-DKDD'!$J$154</f>
        <v>29692.98</v>
      </c>
      <c r="J645" s="990">
        <f>'TB-DKDD'!$M$84</f>
        <v>10992.36</v>
      </c>
      <c r="K645" s="990">
        <f>'NL-DKDD'!$J$60</f>
        <v>23356.62</v>
      </c>
      <c r="L645" s="796" t="e">
        <f t="shared" ref="L645:L654" si="120">SUM(E645:K645)</f>
        <v>#VALUE!</v>
      </c>
      <c r="M645" s="796" t="e">
        <f>L645*'He so chung'!$D$17/100</f>
        <v>#VALUE!</v>
      </c>
      <c r="N645" s="796" t="e">
        <f t="shared" ref="N645:N654" si="121">L645+M645</f>
        <v>#VALUE!</v>
      </c>
      <c r="O645" s="990">
        <f>O656+O658+O659+O661+O662+O667+O669+O676+O677+O680+O682+O683+O684+O687+O688+O689+O690+O691+O692</f>
        <v>46172.057692307688</v>
      </c>
      <c r="P645" s="991"/>
      <c r="Q645" s="991"/>
      <c r="R645" s="869"/>
    </row>
    <row r="646" spans="1:18" s="922" customFormat="1" ht="26.45" customHeight="1">
      <c r="A646" s="1076"/>
      <c r="B646" s="1074"/>
      <c r="C646" s="1071"/>
      <c r="D646" s="783">
        <v>2</v>
      </c>
      <c r="E646" s="990" t="e">
        <f>E656+E658+E659+E661+E663+E667+E669+E676+E677+E680+E682+E683+E684+E687+E688+E689+E690+E691+E692</f>
        <v>#VALUE!</v>
      </c>
      <c r="F646" s="990">
        <f>F656+F658+F659+F661+F663+F667+F669+F676+F677+F680+F682+F683+F684+F687+F688+F689+F690+F691+F692</f>
        <v>0</v>
      </c>
      <c r="G646" s="990">
        <f>G656+G657+G658+G659+G661+G663+G667+G669+G670+G672+G673+G675+G676+G677+G678+G680+G681+G682+G683+G684+G687+G688+G689+G690+G691+G692</f>
        <v>0</v>
      </c>
      <c r="H646" s="990">
        <f>'Dcu-DKDD'!$L$149</f>
        <v>12753.708641826923</v>
      </c>
      <c r="I646" s="990">
        <f>'VL-DKDD'!$J$154</f>
        <v>29692.98</v>
      </c>
      <c r="J646" s="990">
        <f>'TB-DKDD'!$M$84</f>
        <v>10992.36</v>
      </c>
      <c r="K646" s="990">
        <f>'NL-DKDD'!$J$60</f>
        <v>23356.62</v>
      </c>
      <c r="L646" s="796" t="e">
        <f t="shared" si="120"/>
        <v>#VALUE!</v>
      </c>
      <c r="M646" s="796" t="e">
        <f>L646*'He so chung'!$D$17/100</f>
        <v>#VALUE!</v>
      </c>
      <c r="N646" s="796" t="e">
        <f t="shared" si="121"/>
        <v>#VALUE!</v>
      </c>
      <c r="O646" s="990">
        <f>O656+O658+O659+O661+O663+O667+O669+O676+O677+O680+O682+O683+O684+O687+O688+O689+O690+O691+O692</f>
        <v>47401.673076923078</v>
      </c>
      <c r="P646" s="991"/>
      <c r="Q646" s="991"/>
      <c r="R646" s="869"/>
    </row>
    <row r="647" spans="1:18" s="922" customFormat="1" ht="26.45" customHeight="1">
      <c r="A647" s="1076"/>
      <c r="B647" s="1074"/>
      <c r="C647" s="1071"/>
      <c r="D647" s="783">
        <v>3</v>
      </c>
      <c r="E647" s="990" t="e">
        <f>E656+E658+E659+E661+E664+E667+E669+E676+E677+E680+E682+E683+E684+E687+E688+E689+E690+E691+E692</f>
        <v>#VALUE!</v>
      </c>
      <c r="F647" s="990">
        <f>F656+F658+F659+F661+F664+F667+F669+F676+F677+F680+F682+F683+F684+F687+F688+F689+F690+F691+F692</f>
        <v>0</v>
      </c>
      <c r="G647" s="990">
        <f>G656+G657+G658+G659+G661+G664+G667+G669+G670+G672+G673+G675+G676+G677+G678+G680+G681+G682+G683+G684</f>
        <v>0</v>
      </c>
      <c r="H647" s="990">
        <f>'Dcu-DKDD'!$L$149</f>
        <v>12753.708641826923</v>
      </c>
      <c r="I647" s="990">
        <f>'VL-DKDD'!$J$154</f>
        <v>29692.98</v>
      </c>
      <c r="J647" s="990">
        <f>'TB-DKDD'!$M$84</f>
        <v>10992.36</v>
      </c>
      <c r="K647" s="990">
        <f>'NL-DKDD'!$J$60</f>
        <v>23356.62</v>
      </c>
      <c r="L647" s="796" t="e">
        <f t="shared" si="120"/>
        <v>#VALUE!</v>
      </c>
      <c r="M647" s="796" t="e">
        <f>L647*'He so chung'!$D$17/100</f>
        <v>#VALUE!</v>
      </c>
      <c r="N647" s="796" t="e">
        <f t="shared" si="121"/>
        <v>#VALUE!</v>
      </c>
      <c r="O647" s="990">
        <f>O656+O658+O659+O661+O664+O667+O669+O676+O677+O680+O682+O683+O684+O687+O688+O689+O690+O691+O692</f>
        <v>48754.25</v>
      </c>
      <c r="P647" s="991"/>
      <c r="Q647" s="991"/>
      <c r="R647" s="869"/>
    </row>
    <row r="648" spans="1:18" s="922" customFormat="1" ht="26.45" customHeight="1">
      <c r="A648" s="1076"/>
      <c r="B648" s="1074"/>
      <c r="C648" s="1071"/>
      <c r="D648" s="783">
        <v>4</v>
      </c>
      <c r="E648" s="990" t="e">
        <f>E656+E658+E659+E661+E665+E667+E669+E676+E677+E680+E682+E683+E684+E687+E688+E689+E690+E691+E692</f>
        <v>#VALUE!</v>
      </c>
      <c r="F648" s="990">
        <f>F656+F658+F659+F661+F665+F667+F669+F676+F677+F680+F682+F683+F684+F687+F688+F689+F690+F691+F692</f>
        <v>0</v>
      </c>
      <c r="G648" s="990">
        <f>G656+G657+G658+G659+G665+G667+G669+G670+G672+G673+G675+G676+G677+G680+G681+G682+G683+G687+G688+G689+G690+G691+G692</f>
        <v>0</v>
      </c>
      <c r="H648" s="990">
        <f>'Dcu-DKDD'!$L$149</f>
        <v>12753.708641826923</v>
      </c>
      <c r="I648" s="990">
        <f>'VL-DKDD'!$J$154</f>
        <v>29692.98</v>
      </c>
      <c r="J648" s="990">
        <f>'TB-DKDD'!$M$84</f>
        <v>10992.36</v>
      </c>
      <c r="K648" s="990">
        <f>'NL-DKDD'!$J$60</f>
        <v>23356.62</v>
      </c>
      <c r="L648" s="796" t="e">
        <f t="shared" si="120"/>
        <v>#VALUE!</v>
      </c>
      <c r="M648" s="796" t="e">
        <f>L648*'He so chung'!$D$17/100</f>
        <v>#VALUE!</v>
      </c>
      <c r="N648" s="796" t="e">
        <f t="shared" si="121"/>
        <v>#VALUE!</v>
      </c>
      <c r="O648" s="990">
        <f>O656+O658+O659+O661+O665+O667+O669+O676+O677+O680+O682+O683+O684+O687+O688+O689+O690+O691+O692</f>
        <v>50229.788461538461</v>
      </c>
      <c r="P648" s="991"/>
      <c r="Q648" s="991"/>
      <c r="R648" s="869"/>
    </row>
    <row r="649" spans="1:18" s="922" customFormat="1" ht="26.45" customHeight="1">
      <c r="A649" s="1077"/>
      <c r="B649" s="1074"/>
      <c r="C649" s="1071"/>
      <c r="D649" s="783">
        <v>5</v>
      </c>
      <c r="E649" s="990" t="e">
        <f>E656+E658+E659+E661+E666+E667+E669+E676+E677+E680+E682+E683+E684+E687+E688+E689+E690+E691+E692</f>
        <v>#VALUE!</v>
      </c>
      <c r="F649" s="990">
        <f>F656+F658+F659+F661+F666+F667+F669+F676+F677+F680+F682+F683+F684+F687+F688+F689+F690+F691+F692</f>
        <v>0</v>
      </c>
      <c r="G649" s="990">
        <f>G656+G657+G658+G659+G661+G666+G667+G669+G670+G672+G673+G675+G676+G677+G678+G680+G681+G682+G683+G687+G688+G689+G690+G691+G692</f>
        <v>0</v>
      </c>
      <c r="H649" s="990">
        <f>'Dcu-DKDD'!$L$149</f>
        <v>12753.708641826923</v>
      </c>
      <c r="I649" s="990">
        <f>'VL-DKDD'!$J$154</f>
        <v>29692.98</v>
      </c>
      <c r="J649" s="990">
        <f>'TB-DKDD'!$M$84</f>
        <v>10992.36</v>
      </c>
      <c r="K649" s="990">
        <f>'NL-DKDD'!$J$60</f>
        <v>23356.62</v>
      </c>
      <c r="L649" s="796" t="e">
        <f t="shared" si="120"/>
        <v>#VALUE!</v>
      </c>
      <c r="M649" s="796" t="e">
        <f>L649*'He so chung'!$D$17/100</f>
        <v>#VALUE!</v>
      </c>
      <c r="N649" s="796" t="e">
        <f t="shared" si="121"/>
        <v>#VALUE!</v>
      </c>
      <c r="O649" s="990">
        <f>O656+O658+O659+O661+O666+O667+O669+O676+O677+O680+O682+O683+O684+O687+O688+O689+O690+O691+O692</f>
        <v>51828.288461538461</v>
      </c>
      <c r="P649" s="991"/>
      <c r="Q649" s="991"/>
      <c r="R649" s="869"/>
    </row>
    <row r="650" spans="1:18" s="922" customFormat="1" ht="26.45" customHeight="1">
      <c r="A650" s="1075" t="s">
        <v>407</v>
      </c>
      <c r="B650" s="1074" t="s">
        <v>669</v>
      </c>
      <c r="C650" s="1071" t="s">
        <v>532</v>
      </c>
      <c r="D650" s="783">
        <v>1</v>
      </c>
      <c r="E650" s="990" t="e">
        <f>E657+E658+E659+E661+E662+E667+E670+E675+E677+E680+E682+E683+E684+E687+E688+E689+E690+E691+E692</f>
        <v>#VALUE!</v>
      </c>
      <c r="F650" s="990">
        <f>F657+F658+F659+F661+F667+F670+F675+F677+F680+F682+F683+F684+F687+F688+F689+F690+F691+F692</f>
        <v>0</v>
      </c>
      <c r="G650" s="990"/>
      <c r="H650" s="990">
        <f>'Dcu-DKDD'!$L$149</f>
        <v>12753.708641826923</v>
      </c>
      <c r="I650" s="990">
        <f>'VL-DKDD'!$J$154</f>
        <v>29692.98</v>
      </c>
      <c r="J650" s="990">
        <f>'TB-DKDD'!$M$84</f>
        <v>10992.36</v>
      </c>
      <c r="K650" s="990">
        <f>'NL-DKDD'!$J$60</f>
        <v>23356.62</v>
      </c>
      <c r="L650" s="796" t="e">
        <f t="shared" si="120"/>
        <v>#VALUE!</v>
      </c>
      <c r="M650" s="796" t="e">
        <f>L650*'He so chung'!$D$17/100</f>
        <v>#VALUE!</v>
      </c>
      <c r="N650" s="796" t="e">
        <f t="shared" si="121"/>
        <v>#VALUE!</v>
      </c>
      <c r="O650" s="990">
        <f>O657+O658+O659+O661+O662+O667+O670+O675+O677+O680+O682+O683+O684+O687+O688+O689+O690+O691+O692</f>
        <v>46172.057692307695</v>
      </c>
      <c r="P650" s="991"/>
      <c r="Q650" s="991"/>
      <c r="R650" s="869"/>
    </row>
    <row r="651" spans="1:18" s="922" customFormat="1" ht="32.25" customHeight="1">
      <c r="A651" s="1076"/>
      <c r="B651" s="1074"/>
      <c r="C651" s="1071"/>
      <c r="D651" s="783">
        <v>2</v>
      </c>
      <c r="E651" s="990" t="e">
        <f>E657+E658+E659+E661+E663+E667+E670+E675+E677+E680+E682+E683+E684+E687+E688+E689+E690+E691+E692</f>
        <v>#VALUE!</v>
      </c>
      <c r="F651" s="990">
        <f>F657+F658+F659+F661+F663+F667+F670+F675+F677+F680+F682+F683+F684+F687+F688+F689+F690+F691+F692</f>
        <v>0</v>
      </c>
      <c r="G651" s="990"/>
      <c r="H651" s="990">
        <f>'Dcu-DKDD'!$L$149</f>
        <v>12753.708641826923</v>
      </c>
      <c r="I651" s="990">
        <f>'VL-DKDD'!$J$154</f>
        <v>29692.98</v>
      </c>
      <c r="J651" s="990">
        <f>'TB-DKDD'!$M$84</f>
        <v>10992.36</v>
      </c>
      <c r="K651" s="990">
        <f>'NL-DKDD'!$J$60</f>
        <v>23356.62</v>
      </c>
      <c r="L651" s="796" t="e">
        <f t="shared" si="120"/>
        <v>#VALUE!</v>
      </c>
      <c r="M651" s="796" t="e">
        <f>L651*'He so chung'!$D$17/100</f>
        <v>#VALUE!</v>
      </c>
      <c r="N651" s="796" t="e">
        <f t="shared" si="121"/>
        <v>#VALUE!</v>
      </c>
      <c r="O651" s="990">
        <f>O657+O658+O659+O661+O663+O667+O670+O675+O677+O680+O682+O683+O684+O687+O688+O689+O690+O691+O692</f>
        <v>47401.673076923085</v>
      </c>
      <c r="P651" s="991"/>
      <c r="Q651" s="991"/>
      <c r="R651" s="869"/>
    </row>
    <row r="652" spans="1:18" s="922" customFormat="1" ht="26.45" customHeight="1">
      <c r="A652" s="1076"/>
      <c r="B652" s="1074"/>
      <c r="C652" s="1071"/>
      <c r="D652" s="783">
        <v>3</v>
      </c>
      <c r="E652" s="990" t="e">
        <f>E657+E658+E659+E661+E664+E667+E670+E675+E677+E680+E682+E683+E684+E687+E688+E689+E690+E691+E692</f>
        <v>#VALUE!</v>
      </c>
      <c r="F652" s="990">
        <f>F657+F658+F659+F661+F664+F667+F670+F675+F677+F680+F682+F683+F684+F687+F688+F689+F690+F691+F692</f>
        <v>0</v>
      </c>
      <c r="G652" s="990"/>
      <c r="H652" s="990">
        <f>'Dcu-DKDD'!$L$149</f>
        <v>12753.708641826923</v>
      </c>
      <c r="I652" s="990">
        <f>'VL-DKDD'!$J$154</f>
        <v>29692.98</v>
      </c>
      <c r="J652" s="990">
        <f>'TB-DKDD'!$M$84</f>
        <v>10992.36</v>
      </c>
      <c r="K652" s="990">
        <f>'NL-DKDD'!$J$60</f>
        <v>23356.62</v>
      </c>
      <c r="L652" s="796" t="e">
        <f t="shared" si="120"/>
        <v>#VALUE!</v>
      </c>
      <c r="M652" s="796" t="e">
        <f>L652*'He so chung'!$D$17/100</f>
        <v>#VALUE!</v>
      </c>
      <c r="N652" s="796" t="e">
        <f t="shared" si="121"/>
        <v>#VALUE!</v>
      </c>
      <c r="O652" s="990">
        <f>O657+O658+O659+O661+O664+O667+O670+O675+O677+O680+O682+O683+O684+O687+O688+O689+O690+O691+O692</f>
        <v>48754.250000000007</v>
      </c>
      <c r="P652" s="991"/>
      <c r="Q652" s="991"/>
      <c r="R652" s="869"/>
    </row>
    <row r="653" spans="1:18" s="922" customFormat="1" ht="26.45" customHeight="1">
      <c r="A653" s="1076"/>
      <c r="B653" s="1074"/>
      <c r="C653" s="1071"/>
      <c r="D653" s="783">
        <v>4</v>
      </c>
      <c r="E653" s="990" t="e">
        <f>E657+E658+E659+E661+E665+E667+E670+E675+E677+E680+E682+E683+E684+E687+E688+E689+E690+E691+E692</f>
        <v>#VALUE!</v>
      </c>
      <c r="F653" s="990">
        <f>F657+F658+F659+F661+F665+F667+F670+F675+F677+F680+F682+F683+F684+F687+F688+F689+F690+F691+F692</f>
        <v>0</v>
      </c>
      <c r="G653" s="990"/>
      <c r="H653" s="990">
        <f>'Dcu-DKDD'!$L$149</f>
        <v>12753.708641826923</v>
      </c>
      <c r="I653" s="990">
        <f>'VL-DKDD'!$J$154</f>
        <v>29692.98</v>
      </c>
      <c r="J653" s="990">
        <f>'TB-DKDD'!$M$84</f>
        <v>10992.36</v>
      </c>
      <c r="K653" s="990">
        <f>'NL-DKDD'!$J$60</f>
        <v>23356.62</v>
      </c>
      <c r="L653" s="796" t="e">
        <f t="shared" si="120"/>
        <v>#VALUE!</v>
      </c>
      <c r="M653" s="796" t="e">
        <f>L653*'He so chung'!$D$17/100</f>
        <v>#VALUE!</v>
      </c>
      <c r="N653" s="796" t="e">
        <f t="shared" si="121"/>
        <v>#VALUE!</v>
      </c>
      <c r="O653" s="990">
        <f>O657+O658+O659+O661+O665+O667+O670+O675+O677+O680+O682+O683+O684+O687+O688+O689+O690+O691+O692</f>
        <v>50229.788461538468</v>
      </c>
      <c r="P653" s="991"/>
      <c r="Q653" s="991"/>
      <c r="R653" s="869"/>
    </row>
    <row r="654" spans="1:18" s="922" customFormat="1" ht="26.45" customHeight="1">
      <c r="A654" s="1077"/>
      <c r="B654" s="1074"/>
      <c r="C654" s="1071"/>
      <c r="D654" s="783">
        <v>5</v>
      </c>
      <c r="E654" s="990" t="e">
        <f>E657+E658+E659+E661+E666+E667+E670+E675+E677+E680+E682+E683+E684+E687+E688+E689+E690+E691+E692</f>
        <v>#VALUE!</v>
      </c>
      <c r="F654" s="990">
        <f>F657+F658+F659+F661+F666+F667+F670+F675+F677+F680+F682+F683+F684+F687+F688+F689+F690+F691+F692</f>
        <v>0</v>
      </c>
      <c r="G654" s="990"/>
      <c r="H654" s="990">
        <f>'Dcu-DKDD'!$L$149</f>
        <v>12753.708641826923</v>
      </c>
      <c r="I654" s="990">
        <f>'VL-DKDD'!$J$154</f>
        <v>29692.98</v>
      </c>
      <c r="J654" s="990">
        <f>'TB-DKDD'!$M$84</f>
        <v>10992.36</v>
      </c>
      <c r="K654" s="990">
        <f>'NL-DKDD'!$J$60</f>
        <v>23356.62</v>
      </c>
      <c r="L654" s="796" t="e">
        <f t="shared" si="120"/>
        <v>#VALUE!</v>
      </c>
      <c r="M654" s="796" t="e">
        <f>L654*'He so chung'!$D$17/100</f>
        <v>#VALUE!</v>
      </c>
      <c r="N654" s="796" t="e">
        <f t="shared" si="121"/>
        <v>#VALUE!</v>
      </c>
      <c r="O654" s="990">
        <f>O657+O658+O659+O661+O666+O667+O670+O675+O677+O680+O682+O683+O684+O687+O688+O689+O690+O691+O692</f>
        <v>51828.288461538468</v>
      </c>
      <c r="P654" s="991"/>
      <c r="Q654" s="991"/>
      <c r="R654" s="869"/>
    </row>
    <row r="655" spans="1:18" s="922" customFormat="1" ht="26.45" customHeight="1">
      <c r="A655" s="798">
        <v>1</v>
      </c>
      <c r="B655" s="799" t="s">
        <v>844</v>
      </c>
      <c r="C655" s="798"/>
      <c r="D655" s="855"/>
      <c r="E655" s="992"/>
      <c r="F655" s="992"/>
      <c r="G655" s="992"/>
      <c r="H655" s="992"/>
      <c r="I655" s="992"/>
      <c r="J655" s="992"/>
      <c r="K655" s="992"/>
      <c r="L655" s="992"/>
      <c r="M655" s="857"/>
      <c r="N655" s="992"/>
      <c r="O655" s="992"/>
      <c r="P655" s="991"/>
      <c r="Q655" s="991"/>
      <c r="R655" s="869"/>
    </row>
    <row r="656" spans="1:18" s="922" customFormat="1" ht="26.45" customHeight="1">
      <c r="A656" s="798" t="s">
        <v>733</v>
      </c>
      <c r="B656" s="799" t="s">
        <v>846</v>
      </c>
      <c r="C656" s="798" t="s">
        <v>532</v>
      </c>
      <c r="D656" s="792" t="s">
        <v>723</v>
      </c>
      <c r="E656" s="992" t="e">
        <f>NC_DKDD!H434</f>
        <v>#VALUE!</v>
      </c>
      <c r="F656" s="992"/>
      <c r="G656" s="992"/>
      <c r="H656" s="992"/>
      <c r="I656" s="992"/>
      <c r="J656" s="992"/>
      <c r="K656" s="992"/>
      <c r="L656" s="992"/>
      <c r="M656" s="857"/>
      <c r="N656" s="992"/>
      <c r="O656" s="992">
        <f>P656+Q656</f>
        <v>1229.6153846153848</v>
      </c>
      <c r="P656" s="1002">
        <f>R656*$P$644</f>
        <v>1069.2307692307693</v>
      </c>
      <c r="Q656" s="1003">
        <f>R656*$Q$644</f>
        <v>160.38461538461539</v>
      </c>
      <c r="R656" s="1004">
        <f>NC_DKDD!G434</f>
        <v>0.2</v>
      </c>
    </row>
    <row r="657" spans="1:18" s="922" customFormat="1" ht="27" customHeight="1">
      <c r="A657" s="798" t="s">
        <v>741</v>
      </c>
      <c r="B657" s="799" t="s">
        <v>849</v>
      </c>
      <c r="C657" s="798" t="s">
        <v>532</v>
      </c>
      <c r="D657" s="792" t="s">
        <v>723</v>
      </c>
      <c r="E657" s="992" t="e">
        <f>NC_DKDD!H435</f>
        <v>#VALUE!</v>
      </c>
      <c r="F657" s="992"/>
      <c r="G657" s="992"/>
      <c r="H657" s="992"/>
      <c r="I657" s="992"/>
      <c r="J657" s="992"/>
      <c r="K657" s="992"/>
      <c r="L657" s="992"/>
      <c r="M657" s="857"/>
      <c r="N657" s="992"/>
      <c r="O657" s="992">
        <f t="shared" ref="O657:O696" si="122">P657+Q657</f>
        <v>922.21153846153834</v>
      </c>
      <c r="P657" s="858">
        <f t="shared" ref="P657:P662" si="123">R657*$P$570</f>
        <v>801.92307692307679</v>
      </c>
      <c r="Q657" s="858">
        <f t="shared" ref="Q657:Q696" si="124">R657*$Q$570</f>
        <v>120.28846153846153</v>
      </c>
      <c r="R657" s="1004">
        <f>NC_DKDD!G435</f>
        <v>0.15</v>
      </c>
    </row>
    <row r="658" spans="1:18" s="922" customFormat="1" ht="42.75">
      <c r="A658" s="798">
        <v>2</v>
      </c>
      <c r="B658" s="799" t="s">
        <v>850</v>
      </c>
      <c r="C658" s="798" t="s">
        <v>532</v>
      </c>
      <c r="D658" s="792" t="s">
        <v>723</v>
      </c>
      <c r="E658" s="992" t="e">
        <f>NC_DKDD!H436</f>
        <v>#VALUE!</v>
      </c>
      <c r="F658" s="992"/>
      <c r="G658" s="992"/>
      <c r="H658" s="992"/>
      <c r="I658" s="992"/>
      <c r="J658" s="992"/>
      <c r="K658" s="992"/>
      <c r="L658" s="992"/>
      <c r="M658" s="857"/>
      <c r="N658" s="992"/>
      <c r="O658" s="992">
        <f t="shared" si="122"/>
        <v>3074.0384615384614</v>
      </c>
      <c r="P658" s="858">
        <f t="shared" si="123"/>
        <v>2673.0769230769229</v>
      </c>
      <c r="Q658" s="858">
        <f t="shared" si="124"/>
        <v>400.96153846153845</v>
      </c>
      <c r="R658" s="1004">
        <f>NC_DKDD!G436</f>
        <v>0.5</v>
      </c>
    </row>
    <row r="659" spans="1:18" s="922" customFormat="1" ht="30.75" customHeight="1">
      <c r="A659" s="798">
        <v>3</v>
      </c>
      <c r="B659" s="799" t="s">
        <v>881</v>
      </c>
      <c r="C659" s="798" t="s">
        <v>375</v>
      </c>
      <c r="D659" s="792" t="s">
        <v>723</v>
      </c>
      <c r="E659" s="992" t="e">
        <f>NC_DKDD!H437</f>
        <v>#VALUE!</v>
      </c>
      <c r="F659" s="992"/>
      <c r="G659" s="992"/>
      <c r="H659" s="992"/>
      <c r="I659" s="992"/>
      <c r="J659" s="992"/>
      <c r="K659" s="992"/>
      <c r="L659" s="992"/>
      <c r="M659" s="857"/>
      <c r="N659" s="992"/>
      <c r="O659" s="992">
        <f t="shared" si="122"/>
        <v>202.88653846153844</v>
      </c>
      <c r="P659" s="858">
        <f t="shared" si="123"/>
        <v>176.42307692307691</v>
      </c>
      <c r="Q659" s="858">
        <f t="shared" si="124"/>
        <v>26.463461538461541</v>
      </c>
      <c r="R659" s="1004">
        <f>NC_DKDD!G437</f>
        <v>3.3000000000000002E-2</v>
      </c>
    </row>
    <row r="660" spans="1:18" s="922" customFormat="1" ht="42.75">
      <c r="A660" s="798">
        <v>4</v>
      </c>
      <c r="B660" s="799" t="s">
        <v>882</v>
      </c>
      <c r="C660" s="798"/>
      <c r="D660" s="798"/>
      <c r="E660" s="992">
        <f>NC_DKDD!H438</f>
        <v>0</v>
      </c>
      <c r="F660" s="992"/>
      <c r="G660" s="992"/>
      <c r="H660" s="992"/>
      <c r="I660" s="992"/>
      <c r="J660" s="992"/>
      <c r="K660" s="992"/>
      <c r="L660" s="992"/>
      <c r="M660" s="857"/>
      <c r="N660" s="992"/>
      <c r="O660" s="992">
        <f t="shared" si="122"/>
        <v>0</v>
      </c>
      <c r="P660" s="858">
        <f t="shared" si="123"/>
        <v>0</v>
      </c>
      <c r="Q660" s="858">
        <f t="shared" si="124"/>
        <v>0</v>
      </c>
      <c r="R660" s="1004">
        <f>NC_DKDD!G438</f>
        <v>0</v>
      </c>
    </row>
    <row r="661" spans="1:18" s="922" customFormat="1" ht="31.5" customHeight="1">
      <c r="A661" s="798" t="s">
        <v>124</v>
      </c>
      <c r="B661" s="799" t="s">
        <v>883</v>
      </c>
      <c r="C661" s="798" t="s">
        <v>532</v>
      </c>
      <c r="D661" s="792" t="s">
        <v>723</v>
      </c>
      <c r="E661" s="992" t="e">
        <f>NC_DKDD!H439</f>
        <v>#VALUE!</v>
      </c>
      <c r="F661" s="992"/>
      <c r="G661" s="992"/>
      <c r="H661" s="992"/>
      <c r="I661" s="992"/>
      <c r="J661" s="992"/>
      <c r="K661" s="992"/>
      <c r="L661" s="992"/>
      <c r="M661" s="857"/>
      <c r="N661" s="992"/>
      <c r="O661" s="992">
        <f t="shared" si="122"/>
        <v>12296.153846153846</v>
      </c>
      <c r="P661" s="858">
        <f t="shared" si="123"/>
        <v>10692.307692307691</v>
      </c>
      <c r="Q661" s="858">
        <f t="shared" si="124"/>
        <v>1603.8461538461538</v>
      </c>
      <c r="R661" s="1004">
        <f>NC_DKDD!G439</f>
        <v>2</v>
      </c>
    </row>
    <row r="662" spans="1:18" s="922" customFormat="1" ht="29.25" customHeight="1">
      <c r="A662" s="1081" t="s">
        <v>125</v>
      </c>
      <c r="B662" s="1078" t="s">
        <v>884</v>
      </c>
      <c r="C662" s="1084" t="s">
        <v>532</v>
      </c>
      <c r="D662" s="798">
        <v>1</v>
      </c>
      <c r="E662" s="992" t="e">
        <f>NC_DKDD!H440</f>
        <v>#VALUE!</v>
      </c>
      <c r="F662" s="992"/>
      <c r="G662" s="992"/>
      <c r="H662" s="992"/>
      <c r="I662" s="992"/>
      <c r="J662" s="992"/>
      <c r="K662" s="992"/>
      <c r="L662" s="992"/>
      <c r="M662" s="857"/>
      <c r="N662" s="992"/>
      <c r="O662" s="992">
        <f t="shared" si="122"/>
        <v>12296.153846153846</v>
      </c>
      <c r="P662" s="858">
        <f t="shared" si="123"/>
        <v>10692.307692307691</v>
      </c>
      <c r="Q662" s="858">
        <f>R662*$Q$570</f>
        <v>1603.8461538461538</v>
      </c>
      <c r="R662" s="1004">
        <f>NC_DKDD!G440</f>
        <v>2</v>
      </c>
    </row>
    <row r="663" spans="1:18" s="922" customFormat="1" ht="30" customHeight="1">
      <c r="A663" s="1082"/>
      <c r="B663" s="1079"/>
      <c r="C663" s="1084"/>
      <c r="D663" s="798">
        <v>2</v>
      </c>
      <c r="E663" s="992" t="e">
        <f>NC_DKDD!H441</f>
        <v>#VALUE!</v>
      </c>
      <c r="F663" s="992"/>
      <c r="G663" s="992"/>
      <c r="H663" s="992"/>
      <c r="I663" s="992"/>
      <c r="J663" s="992"/>
      <c r="K663" s="992"/>
      <c r="L663" s="992"/>
      <c r="M663" s="857"/>
      <c r="N663" s="992"/>
      <c r="O663" s="992">
        <f t="shared" si="122"/>
        <v>13525.76923076923</v>
      </c>
      <c r="P663" s="858">
        <f t="shared" ref="P663:P696" si="125">R663*$P$570</f>
        <v>11761.538461538461</v>
      </c>
      <c r="Q663" s="858">
        <f t="shared" si="124"/>
        <v>1764.2307692307693</v>
      </c>
      <c r="R663" s="1004">
        <f>NC_DKDD!G441</f>
        <v>2.2000000000000002</v>
      </c>
    </row>
    <row r="664" spans="1:18" s="922" customFormat="1" ht="26.45" customHeight="1">
      <c r="A664" s="1082"/>
      <c r="B664" s="1079"/>
      <c r="C664" s="1084"/>
      <c r="D664" s="798">
        <v>3</v>
      </c>
      <c r="E664" s="992" t="e">
        <f>NC_DKDD!H442</f>
        <v>#VALUE!</v>
      </c>
      <c r="F664" s="992"/>
      <c r="G664" s="992"/>
      <c r="H664" s="992"/>
      <c r="I664" s="992"/>
      <c r="J664" s="992"/>
      <c r="K664" s="992"/>
      <c r="L664" s="992"/>
      <c r="M664" s="857"/>
      <c r="N664" s="992"/>
      <c r="O664" s="992">
        <f t="shared" si="122"/>
        <v>14878.346153846152</v>
      </c>
      <c r="P664" s="858">
        <f t="shared" si="125"/>
        <v>12937.692307692307</v>
      </c>
      <c r="Q664" s="858">
        <f t="shared" si="124"/>
        <v>1940.653846153846</v>
      </c>
      <c r="R664" s="1004">
        <f>NC_DKDD!G442</f>
        <v>2.42</v>
      </c>
    </row>
    <row r="665" spans="1:18" s="922" customFormat="1" ht="47.25" customHeight="1">
      <c r="A665" s="1082"/>
      <c r="B665" s="1079"/>
      <c r="C665" s="1084"/>
      <c r="D665" s="798">
        <v>4</v>
      </c>
      <c r="E665" s="992" t="e">
        <f>NC_DKDD!H443</f>
        <v>#VALUE!</v>
      </c>
      <c r="F665" s="992"/>
      <c r="G665" s="992"/>
      <c r="H665" s="992"/>
      <c r="I665" s="992"/>
      <c r="J665" s="992"/>
      <c r="K665" s="992"/>
      <c r="L665" s="992"/>
      <c r="M665" s="857"/>
      <c r="N665" s="992"/>
      <c r="O665" s="992">
        <f t="shared" si="122"/>
        <v>16353.884615384615</v>
      </c>
      <c r="P665" s="858">
        <f t="shared" si="125"/>
        <v>14220.76923076923</v>
      </c>
      <c r="Q665" s="858">
        <f t="shared" si="124"/>
        <v>2133.1153846153848</v>
      </c>
      <c r="R665" s="1004">
        <f>NC_DKDD!G443</f>
        <v>2.66</v>
      </c>
    </row>
    <row r="666" spans="1:18" s="922" customFormat="1" ht="27.75" customHeight="1">
      <c r="A666" s="1083"/>
      <c r="B666" s="1080"/>
      <c r="C666" s="1084"/>
      <c r="D666" s="798">
        <v>5</v>
      </c>
      <c r="E666" s="992" t="e">
        <f>NC_DKDD!H444</f>
        <v>#VALUE!</v>
      </c>
      <c r="F666" s="992"/>
      <c r="G666" s="992"/>
      <c r="H666" s="992"/>
      <c r="I666" s="992"/>
      <c r="J666" s="992"/>
      <c r="K666" s="992"/>
      <c r="L666" s="992"/>
      <c r="M666" s="857"/>
      <c r="N666" s="992"/>
      <c r="O666" s="992">
        <f t="shared" si="122"/>
        <v>17952.384615384613</v>
      </c>
      <c r="P666" s="858">
        <f t="shared" si="125"/>
        <v>15610.769230769229</v>
      </c>
      <c r="Q666" s="858">
        <f t="shared" si="124"/>
        <v>2341.6153846153843</v>
      </c>
      <c r="R666" s="1004">
        <f>NC_DKDD!G444</f>
        <v>2.92</v>
      </c>
    </row>
    <row r="667" spans="1:18" s="922" customFormat="1" ht="28.5">
      <c r="A667" s="798" t="s">
        <v>885</v>
      </c>
      <c r="B667" s="799" t="s">
        <v>886</v>
      </c>
      <c r="C667" s="798" t="s">
        <v>375</v>
      </c>
      <c r="D667" s="792" t="s">
        <v>723</v>
      </c>
      <c r="E667" s="992" t="e">
        <f>NC_DKDD!H445</f>
        <v>#VALUE!</v>
      </c>
      <c r="F667" s="992"/>
      <c r="G667" s="992"/>
      <c r="H667" s="992"/>
      <c r="I667" s="992"/>
      <c r="J667" s="992"/>
      <c r="K667" s="992"/>
      <c r="L667" s="992"/>
      <c r="M667" s="857"/>
      <c r="N667" s="992"/>
      <c r="O667" s="992">
        <f t="shared" si="122"/>
        <v>18.444230769230767</v>
      </c>
      <c r="P667" s="858">
        <f t="shared" si="125"/>
        <v>16.038461538461537</v>
      </c>
      <c r="Q667" s="858">
        <f t="shared" si="124"/>
        <v>2.4057692307692307</v>
      </c>
      <c r="R667" s="1004">
        <f>NC_DKDD!G445</f>
        <v>3.0000000000000001E-3</v>
      </c>
    </row>
    <row r="668" spans="1:18" s="922" customFormat="1" ht="28.5">
      <c r="A668" s="798" t="s">
        <v>887</v>
      </c>
      <c r="B668" s="799" t="s">
        <v>888</v>
      </c>
      <c r="C668" s="798"/>
      <c r="D668" s="798"/>
      <c r="E668" s="992">
        <f>NC_DKDD!H446</f>
        <v>0</v>
      </c>
      <c r="F668" s="992"/>
      <c r="G668" s="992"/>
      <c r="H668" s="992"/>
      <c r="I668" s="992"/>
      <c r="J668" s="992"/>
      <c r="K668" s="992"/>
      <c r="L668" s="992"/>
      <c r="M668" s="857"/>
      <c r="N668" s="992"/>
      <c r="O668" s="992">
        <f t="shared" si="122"/>
        <v>0</v>
      </c>
      <c r="P668" s="858">
        <f t="shared" si="125"/>
        <v>0</v>
      </c>
      <c r="Q668" s="858">
        <f t="shared" si="124"/>
        <v>0</v>
      </c>
      <c r="R668" s="1004">
        <f>NC_DKDD!G446</f>
        <v>0</v>
      </c>
    </row>
    <row r="669" spans="1:18" s="922" customFormat="1" ht="26.45" customHeight="1">
      <c r="A669" s="798" t="s">
        <v>889</v>
      </c>
      <c r="B669" s="799" t="s">
        <v>846</v>
      </c>
      <c r="C669" s="798" t="s">
        <v>532</v>
      </c>
      <c r="D669" s="792" t="s">
        <v>723</v>
      </c>
      <c r="E669" s="992" t="e">
        <f>NC_DKDD!H447</f>
        <v>#VALUE!</v>
      </c>
      <c r="F669" s="992"/>
      <c r="G669" s="992"/>
      <c r="H669" s="992"/>
      <c r="I669" s="992"/>
      <c r="J669" s="992"/>
      <c r="K669" s="992"/>
      <c r="L669" s="992"/>
      <c r="M669" s="857"/>
      <c r="N669" s="992"/>
      <c r="O669" s="992">
        <f t="shared" si="122"/>
        <v>6148.0769230769229</v>
      </c>
      <c r="P669" s="858">
        <f t="shared" si="125"/>
        <v>5346.1538461538457</v>
      </c>
      <c r="Q669" s="858">
        <f t="shared" si="124"/>
        <v>801.92307692307691</v>
      </c>
      <c r="R669" s="1004">
        <f>NC_DKDD!G447</f>
        <v>1</v>
      </c>
    </row>
    <row r="670" spans="1:18" s="922" customFormat="1" ht="26.45" customHeight="1">
      <c r="A670" s="798" t="s">
        <v>890</v>
      </c>
      <c r="B670" s="799" t="s">
        <v>891</v>
      </c>
      <c r="C670" s="798" t="s">
        <v>532</v>
      </c>
      <c r="D670" s="792" t="s">
        <v>723</v>
      </c>
      <c r="E670" s="992" t="e">
        <f>NC_DKDD!H448</f>
        <v>#VALUE!</v>
      </c>
      <c r="F670" s="992"/>
      <c r="G670" s="992"/>
      <c r="H670" s="992"/>
      <c r="I670" s="992"/>
      <c r="J670" s="992"/>
      <c r="K670" s="992"/>
      <c r="L670" s="992"/>
      <c r="M670" s="857"/>
      <c r="N670" s="992"/>
      <c r="O670" s="992">
        <f t="shared" si="122"/>
        <v>6148.0769230769229</v>
      </c>
      <c r="P670" s="858">
        <f t="shared" si="125"/>
        <v>5346.1538461538457</v>
      </c>
      <c r="Q670" s="858">
        <f t="shared" si="124"/>
        <v>801.92307692307691</v>
      </c>
      <c r="R670" s="1004">
        <f>NC_DKDD!G448</f>
        <v>1</v>
      </c>
    </row>
    <row r="671" spans="1:18" s="922" customFormat="1" ht="57">
      <c r="A671" s="798" t="s">
        <v>892</v>
      </c>
      <c r="B671" s="799" t="s">
        <v>893</v>
      </c>
      <c r="C671" s="798"/>
      <c r="D671" s="798"/>
      <c r="E671" s="992">
        <f>NC_DKDD!H449</f>
        <v>0</v>
      </c>
      <c r="F671" s="992"/>
      <c r="G671" s="992"/>
      <c r="H671" s="992"/>
      <c r="I671" s="992"/>
      <c r="J671" s="992"/>
      <c r="K671" s="992"/>
      <c r="L671" s="992"/>
      <c r="M671" s="857"/>
      <c r="N671" s="992"/>
      <c r="O671" s="992">
        <f t="shared" si="122"/>
        <v>0</v>
      </c>
      <c r="P671" s="858">
        <f t="shared" si="125"/>
        <v>0</v>
      </c>
      <c r="Q671" s="858">
        <f t="shared" si="124"/>
        <v>0</v>
      </c>
      <c r="R671" s="1004">
        <f>NC_DKDD!G449</f>
        <v>0</v>
      </c>
    </row>
    <row r="672" spans="1:18" s="922" customFormat="1" ht="29.25" customHeight="1">
      <c r="A672" s="798" t="s">
        <v>894</v>
      </c>
      <c r="B672" s="799" t="s">
        <v>587</v>
      </c>
      <c r="C672" s="798" t="s">
        <v>375</v>
      </c>
      <c r="D672" s="792" t="s">
        <v>723</v>
      </c>
      <c r="E672" s="992" t="e">
        <f>NC_DKDD!H450</f>
        <v>#VALUE!</v>
      </c>
      <c r="F672" s="992"/>
      <c r="G672" s="992"/>
      <c r="H672" s="992"/>
      <c r="I672" s="992"/>
      <c r="J672" s="992"/>
      <c r="K672" s="992"/>
      <c r="L672" s="992"/>
      <c r="M672" s="857"/>
      <c r="N672" s="992"/>
      <c r="O672" s="992">
        <f t="shared" si="122"/>
        <v>0</v>
      </c>
      <c r="P672" s="858">
        <f t="shared" si="125"/>
        <v>0</v>
      </c>
      <c r="Q672" s="858">
        <f t="shared" si="124"/>
        <v>0</v>
      </c>
      <c r="R672" s="1004">
        <f>NC_DKDD!G450</f>
        <v>0</v>
      </c>
    </row>
    <row r="673" spans="1:18" s="922" customFormat="1" ht="29.25" customHeight="1">
      <c r="A673" s="798" t="s">
        <v>895</v>
      </c>
      <c r="B673" s="799" t="s">
        <v>588</v>
      </c>
      <c r="C673" s="798" t="s">
        <v>375</v>
      </c>
      <c r="D673" s="792" t="s">
        <v>723</v>
      </c>
      <c r="E673" s="992" t="e">
        <f>NC_DKDD!H451</f>
        <v>#VALUE!</v>
      </c>
      <c r="F673" s="992"/>
      <c r="G673" s="992"/>
      <c r="H673" s="992"/>
      <c r="I673" s="992"/>
      <c r="J673" s="992"/>
      <c r="K673" s="992"/>
      <c r="L673" s="992"/>
      <c r="M673" s="857"/>
      <c r="N673" s="992"/>
      <c r="O673" s="992">
        <f t="shared" si="122"/>
        <v>0</v>
      </c>
      <c r="P673" s="858">
        <f t="shared" si="125"/>
        <v>0</v>
      </c>
      <c r="Q673" s="858">
        <f t="shared" si="124"/>
        <v>0</v>
      </c>
      <c r="R673" s="1004">
        <f>NC_DKDD!G451</f>
        <v>0</v>
      </c>
    </row>
    <row r="674" spans="1:18" s="922" customFormat="1" ht="42.75">
      <c r="A674" s="798">
        <v>5</v>
      </c>
      <c r="B674" s="799" t="s">
        <v>589</v>
      </c>
      <c r="C674" s="798"/>
      <c r="D674" s="798"/>
      <c r="E674" s="992">
        <f>NC_DKDD!H452</f>
        <v>0</v>
      </c>
      <c r="F674" s="992"/>
      <c r="G674" s="992"/>
      <c r="H674" s="992"/>
      <c r="I674" s="992"/>
      <c r="J674" s="992"/>
      <c r="K674" s="992"/>
      <c r="L674" s="992"/>
      <c r="M674" s="857"/>
      <c r="N674" s="992"/>
      <c r="O674" s="992">
        <f t="shared" si="122"/>
        <v>0</v>
      </c>
      <c r="P674" s="858">
        <f t="shared" si="125"/>
        <v>0</v>
      </c>
      <c r="Q674" s="858">
        <f t="shared" si="124"/>
        <v>0</v>
      </c>
      <c r="R674" s="1004">
        <f>NC_DKDD!G452</f>
        <v>0</v>
      </c>
    </row>
    <row r="675" spans="1:18" s="922" customFormat="1" ht="26.45" customHeight="1">
      <c r="A675" s="798" t="s">
        <v>461</v>
      </c>
      <c r="B675" s="799" t="s">
        <v>590</v>
      </c>
      <c r="C675" s="798" t="s">
        <v>532</v>
      </c>
      <c r="D675" s="792" t="s">
        <v>723</v>
      </c>
      <c r="E675" s="992" t="e">
        <f>NC_DKDD!H453</f>
        <v>#VALUE!</v>
      </c>
      <c r="F675" s="992"/>
      <c r="G675" s="992"/>
      <c r="H675" s="992"/>
      <c r="I675" s="992"/>
      <c r="J675" s="992"/>
      <c r="K675" s="992"/>
      <c r="L675" s="992"/>
      <c r="M675" s="857"/>
      <c r="N675" s="992"/>
      <c r="O675" s="992">
        <f t="shared" si="122"/>
        <v>1537.0192307692307</v>
      </c>
      <c r="P675" s="858">
        <f t="shared" si="125"/>
        <v>1336.5384615384614</v>
      </c>
      <c r="Q675" s="858">
        <f t="shared" si="124"/>
        <v>200.48076923076923</v>
      </c>
      <c r="R675" s="1004">
        <f>NC_DKDD!G453</f>
        <v>0.25</v>
      </c>
    </row>
    <row r="676" spans="1:18" s="922" customFormat="1" ht="26.45" customHeight="1">
      <c r="A676" s="798" t="s">
        <v>462</v>
      </c>
      <c r="B676" s="799" t="s">
        <v>591</v>
      </c>
      <c r="C676" s="798" t="s">
        <v>532</v>
      </c>
      <c r="D676" s="792" t="s">
        <v>723</v>
      </c>
      <c r="E676" s="992" t="e">
        <f>NC_DKDD!H454</f>
        <v>#VALUE!</v>
      </c>
      <c r="F676" s="992"/>
      <c r="G676" s="992"/>
      <c r="H676" s="992"/>
      <c r="I676" s="992"/>
      <c r="J676" s="992"/>
      <c r="K676" s="992"/>
      <c r="L676" s="992"/>
      <c r="M676" s="857"/>
      <c r="N676" s="992"/>
      <c r="O676" s="992">
        <f t="shared" si="122"/>
        <v>1229.6153846153848</v>
      </c>
      <c r="P676" s="858">
        <f t="shared" si="125"/>
        <v>1069.2307692307693</v>
      </c>
      <c r="Q676" s="858">
        <f t="shared" si="124"/>
        <v>160.38461538461539</v>
      </c>
      <c r="R676" s="1004">
        <f>NC_DKDD!G454</f>
        <v>0.2</v>
      </c>
    </row>
    <row r="677" spans="1:18" s="922" customFormat="1" ht="28.5">
      <c r="A677" s="798">
        <v>6</v>
      </c>
      <c r="B677" s="799" t="s">
        <v>78</v>
      </c>
      <c r="C677" s="798" t="s">
        <v>375</v>
      </c>
      <c r="D677" s="792" t="s">
        <v>723</v>
      </c>
      <c r="E677" s="992" t="e">
        <f>NC_DKDD!H455</f>
        <v>#VALUE!</v>
      </c>
      <c r="F677" s="992"/>
      <c r="G677" s="992"/>
      <c r="H677" s="992"/>
      <c r="I677" s="992"/>
      <c r="J677" s="992"/>
      <c r="K677" s="992"/>
      <c r="L677" s="992"/>
      <c r="M677" s="857"/>
      <c r="N677" s="992"/>
      <c r="O677" s="992">
        <f t="shared" si="122"/>
        <v>202.88653846153844</v>
      </c>
      <c r="P677" s="858">
        <f t="shared" si="125"/>
        <v>176.42307692307691</v>
      </c>
      <c r="Q677" s="858">
        <f t="shared" si="124"/>
        <v>26.463461538461541</v>
      </c>
      <c r="R677" s="1004">
        <f>NC_DKDD!G455</f>
        <v>3.3000000000000002E-2</v>
      </c>
    </row>
    <row r="678" spans="1:18" s="922" customFormat="1" ht="26.45" customHeight="1">
      <c r="A678" s="798">
        <v>7</v>
      </c>
      <c r="B678" s="799" t="s">
        <v>260</v>
      </c>
      <c r="C678" s="798" t="s">
        <v>532</v>
      </c>
      <c r="D678" s="792" t="s">
        <v>723</v>
      </c>
      <c r="E678" s="992" t="e">
        <f>NC_DKDD!H456</f>
        <v>#VALUE!</v>
      </c>
      <c r="F678" s="992"/>
      <c r="G678" s="992"/>
      <c r="H678" s="992"/>
      <c r="I678" s="992"/>
      <c r="J678" s="992"/>
      <c r="K678" s="992"/>
      <c r="L678" s="992"/>
      <c r="M678" s="857"/>
      <c r="N678" s="992"/>
      <c r="O678" s="992">
        <f t="shared" si="122"/>
        <v>0</v>
      </c>
      <c r="P678" s="858">
        <f t="shared" si="125"/>
        <v>0</v>
      </c>
      <c r="Q678" s="858">
        <f t="shared" si="124"/>
        <v>0</v>
      </c>
      <c r="R678" s="1004">
        <f>NC_DKDD!G456</f>
        <v>0</v>
      </c>
    </row>
    <row r="679" spans="1:18" s="922" customFormat="1" ht="26.45" customHeight="1">
      <c r="A679" s="798">
        <v>8</v>
      </c>
      <c r="B679" s="799" t="s">
        <v>80</v>
      </c>
      <c r="C679" s="798"/>
      <c r="D679" s="798"/>
      <c r="E679" s="992">
        <f>NC_DKDD!H457</f>
        <v>0</v>
      </c>
      <c r="F679" s="992"/>
      <c r="G679" s="992"/>
      <c r="H679" s="992"/>
      <c r="I679" s="992"/>
      <c r="J679" s="992"/>
      <c r="K679" s="992"/>
      <c r="L679" s="992"/>
      <c r="M679" s="857"/>
      <c r="N679" s="992"/>
      <c r="O679" s="992">
        <f t="shared" si="122"/>
        <v>0</v>
      </c>
      <c r="P679" s="858">
        <f t="shared" si="125"/>
        <v>0</v>
      </c>
      <c r="Q679" s="858">
        <f t="shared" si="124"/>
        <v>0</v>
      </c>
      <c r="R679" s="1004">
        <f>NC_DKDD!G457</f>
        <v>0</v>
      </c>
    </row>
    <row r="680" spans="1:18" s="922" customFormat="1" ht="26.45" customHeight="1">
      <c r="A680" s="798" t="s">
        <v>191</v>
      </c>
      <c r="B680" s="799" t="s">
        <v>82</v>
      </c>
      <c r="C680" s="798" t="s">
        <v>559</v>
      </c>
      <c r="D680" s="792" t="s">
        <v>723</v>
      </c>
      <c r="E680" s="992" t="e">
        <f>NC_DKDD!H458</f>
        <v>#VALUE!</v>
      </c>
      <c r="F680" s="992"/>
      <c r="G680" s="992"/>
      <c r="H680" s="992"/>
      <c r="I680" s="992"/>
      <c r="J680" s="992"/>
      <c r="K680" s="992"/>
      <c r="L680" s="992"/>
      <c r="M680" s="857"/>
      <c r="N680" s="992"/>
      <c r="O680" s="992">
        <f t="shared" si="122"/>
        <v>614.80769230769238</v>
      </c>
      <c r="P680" s="858">
        <f t="shared" si="125"/>
        <v>534.61538461538464</v>
      </c>
      <c r="Q680" s="858">
        <f t="shared" si="124"/>
        <v>80.192307692307693</v>
      </c>
      <c r="R680" s="1004">
        <f>NC_DKDD!G458</f>
        <v>0.1</v>
      </c>
    </row>
    <row r="681" spans="1:18" s="922" customFormat="1" ht="26.45" customHeight="1">
      <c r="A681" s="483" t="s">
        <v>192</v>
      </c>
      <c r="B681" s="911" t="s">
        <v>84</v>
      </c>
      <c r="C681" s="483" t="s">
        <v>559</v>
      </c>
      <c r="D681" s="481" t="s">
        <v>723</v>
      </c>
      <c r="E681" s="992" t="e">
        <f>NC_DKDD!H459</f>
        <v>#VALUE!</v>
      </c>
      <c r="F681" s="992"/>
      <c r="G681" s="992"/>
      <c r="H681" s="992"/>
      <c r="I681" s="992"/>
      <c r="J681" s="992"/>
      <c r="K681" s="992"/>
      <c r="L681" s="992"/>
      <c r="M681" s="857"/>
      <c r="N681" s="992"/>
      <c r="O681" s="992">
        <f t="shared" si="122"/>
        <v>1229.6153846153848</v>
      </c>
      <c r="P681" s="858">
        <f t="shared" si="125"/>
        <v>1069.2307692307693</v>
      </c>
      <c r="Q681" s="858">
        <f t="shared" si="124"/>
        <v>160.38461538461539</v>
      </c>
      <c r="R681" s="1004">
        <f>NC_DKDD!G459</f>
        <v>0.2</v>
      </c>
    </row>
    <row r="682" spans="1:18" s="922" customFormat="1" ht="37.5" customHeight="1">
      <c r="A682" s="798">
        <v>9</v>
      </c>
      <c r="B682" s="799" t="s">
        <v>85</v>
      </c>
      <c r="C682" s="798" t="s">
        <v>532</v>
      </c>
      <c r="D682" s="792" t="s">
        <v>723</v>
      </c>
      <c r="E682" s="992" t="e">
        <f>NC_DKDD!H460</f>
        <v>#VALUE!</v>
      </c>
      <c r="F682" s="992"/>
      <c r="G682" s="992"/>
      <c r="H682" s="992"/>
      <c r="I682" s="992"/>
      <c r="J682" s="992"/>
      <c r="K682" s="992"/>
      <c r="L682" s="992"/>
      <c r="M682" s="857"/>
      <c r="N682" s="992"/>
      <c r="O682" s="992">
        <f t="shared" si="122"/>
        <v>3074.0384615384614</v>
      </c>
      <c r="P682" s="858">
        <f t="shared" si="125"/>
        <v>2673.0769230769229</v>
      </c>
      <c r="Q682" s="858">
        <f t="shared" si="124"/>
        <v>400.96153846153845</v>
      </c>
      <c r="R682" s="1004">
        <f>NC_DKDD!G460</f>
        <v>0.5</v>
      </c>
    </row>
    <row r="683" spans="1:18" s="922" customFormat="1" ht="33.75" customHeight="1">
      <c r="A683" s="798">
        <v>10</v>
      </c>
      <c r="B683" s="799" t="s">
        <v>896</v>
      </c>
      <c r="C683" s="798" t="s">
        <v>532</v>
      </c>
      <c r="D683" s="792" t="s">
        <v>723</v>
      </c>
      <c r="E683" s="992" t="e">
        <f>NC_DKDD!H461</f>
        <v>#VALUE!</v>
      </c>
      <c r="F683" s="992"/>
      <c r="G683" s="992"/>
      <c r="H683" s="992"/>
      <c r="I683" s="992"/>
      <c r="J683" s="992"/>
      <c r="K683" s="992"/>
      <c r="L683" s="992"/>
      <c r="M683" s="857"/>
      <c r="N683" s="992"/>
      <c r="O683" s="992">
        <f t="shared" si="122"/>
        <v>2889.5961538461534</v>
      </c>
      <c r="P683" s="858">
        <f t="shared" si="125"/>
        <v>2512.6923076923072</v>
      </c>
      <c r="Q683" s="858">
        <f t="shared" si="124"/>
        <v>376.90384615384613</v>
      </c>
      <c r="R683" s="1004">
        <f>NC_DKDD!G461</f>
        <v>0.47</v>
      </c>
    </row>
    <row r="684" spans="1:18" s="922" customFormat="1" ht="26.45" customHeight="1">
      <c r="A684" s="798">
        <v>11</v>
      </c>
      <c r="B684" s="799" t="s">
        <v>87</v>
      </c>
      <c r="C684" s="798" t="s">
        <v>375</v>
      </c>
      <c r="D684" s="792" t="s">
        <v>723</v>
      </c>
      <c r="E684" s="992" t="e">
        <f>NC_DKDD!H462</f>
        <v>#VALUE!</v>
      </c>
      <c r="F684" s="992"/>
      <c r="G684" s="992"/>
      <c r="H684" s="992"/>
      <c r="I684" s="992"/>
      <c r="J684" s="992"/>
      <c r="K684" s="992"/>
      <c r="L684" s="992"/>
      <c r="M684" s="857"/>
      <c r="N684" s="992"/>
      <c r="O684" s="992">
        <f t="shared" si="122"/>
        <v>202.88653846153844</v>
      </c>
      <c r="P684" s="858">
        <f t="shared" si="125"/>
        <v>176.42307692307691</v>
      </c>
      <c r="Q684" s="858">
        <f t="shared" si="124"/>
        <v>26.463461538461541</v>
      </c>
      <c r="R684" s="1004">
        <f>NC_DKDD!G462</f>
        <v>3.3000000000000002E-2</v>
      </c>
    </row>
    <row r="685" spans="1:18" s="922" customFormat="1" ht="26.45" customHeight="1">
      <c r="A685" s="798">
        <v>12</v>
      </c>
      <c r="B685" s="799" t="s">
        <v>88</v>
      </c>
      <c r="C685" s="798"/>
      <c r="D685" s="798"/>
      <c r="E685" s="992">
        <f>NC_DKDD!H463</f>
        <v>0</v>
      </c>
      <c r="F685" s="992"/>
      <c r="G685" s="992"/>
      <c r="H685" s="992"/>
      <c r="I685" s="992"/>
      <c r="J685" s="992"/>
      <c r="K685" s="992"/>
      <c r="L685" s="992"/>
      <c r="M685" s="857"/>
      <c r="N685" s="992"/>
      <c r="O685" s="992">
        <f t="shared" si="122"/>
        <v>0</v>
      </c>
      <c r="P685" s="858">
        <f t="shared" si="125"/>
        <v>0</v>
      </c>
      <c r="Q685" s="858">
        <f t="shared" si="124"/>
        <v>0</v>
      </c>
      <c r="R685" s="1004">
        <f>NC_DKDD!G463</f>
        <v>0</v>
      </c>
    </row>
    <row r="686" spans="1:18" s="922" customFormat="1" ht="28.5">
      <c r="A686" s="798" t="s">
        <v>897</v>
      </c>
      <c r="B686" s="799" t="s">
        <v>775</v>
      </c>
      <c r="C686" s="798"/>
      <c r="D686" s="798"/>
      <c r="E686" s="992">
        <f>NC_DKDD!H464</f>
        <v>0</v>
      </c>
      <c r="F686" s="992"/>
      <c r="G686" s="992"/>
      <c r="H686" s="992"/>
      <c r="I686" s="992"/>
      <c r="J686" s="992"/>
      <c r="K686" s="992"/>
      <c r="L686" s="992"/>
      <c r="M686" s="857"/>
      <c r="N686" s="992"/>
      <c r="O686" s="992">
        <f t="shared" si="122"/>
        <v>0</v>
      </c>
      <c r="P686" s="858">
        <f t="shared" si="125"/>
        <v>0</v>
      </c>
      <c r="Q686" s="858">
        <f t="shared" si="124"/>
        <v>0</v>
      </c>
      <c r="R686" s="1004">
        <f>NC_DKDD!G464</f>
        <v>0</v>
      </c>
    </row>
    <row r="687" spans="1:18" s="922" customFormat="1" ht="29.25" customHeight="1">
      <c r="A687" s="798" t="s">
        <v>898</v>
      </c>
      <c r="B687" s="799" t="s">
        <v>777</v>
      </c>
      <c r="C687" s="798" t="s">
        <v>377</v>
      </c>
      <c r="D687" s="792" t="s">
        <v>723</v>
      </c>
      <c r="E687" s="992" t="e">
        <f>NC_DKDD!H465</f>
        <v>#VALUE!</v>
      </c>
      <c r="F687" s="992"/>
      <c r="G687" s="992"/>
      <c r="H687" s="992"/>
      <c r="I687" s="992"/>
      <c r="J687" s="992"/>
      <c r="K687" s="992"/>
      <c r="L687" s="992"/>
      <c r="M687" s="857"/>
      <c r="N687" s="992"/>
      <c r="O687" s="992">
        <f t="shared" si="122"/>
        <v>98.369230769230768</v>
      </c>
      <c r="P687" s="858">
        <f t="shared" si="125"/>
        <v>85.538461538461533</v>
      </c>
      <c r="Q687" s="858">
        <f t="shared" si="124"/>
        <v>12.830769230769231</v>
      </c>
      <c r="R687" s="1004">
        <f>NC_DKDD!G465</f>
        <v>1.6E-2</v>
      </c>
    </row>
    <row r="688" spans="1:18" s="922" customFormat="1" ht="29.25" customHeight="1">
      <c r="A688" s="798" t="s">
        <v>899</v>
      </c>
      <c r="B688" s="799" t="s">
        <v>781</v>
      </c>
      <c r="C688" s="798" t="s">
        <v>377</v>
      </c>
      <c r="D688" s="792" t="s">
        <v>723</v>
      </c>
      <c r="E688" s="992" t="e">
        <f>NC_DKDD!H466</f>
        <v>#VALUE!</v>
      </c>
      <c r="F688" s="992"/>
      <c r="G688" s="992"/>
      <c r="H688" s="992"/>
      <c r="I688" s="992"/>
      <c r="J688" s="992"/>
      <c r="K688" s="992"/>
      <c r="L688" s="992"/>
      <c r="M688" s="857"/>
      <c r="N688" s="992"/>
      <c r="O688" s="992">
        <f t="shared" si="122"/>
        <v>49.184615384615384</v>
      </c>
      <c r="P688" s="858">
        <f t="shared" si="125"/>
        <v>42.769230769230766</v>
      </c>
      <c r="Q688" s="858">
        <f t="shared" si="124"/>
        <v>6.4153846153846157</v>
      </c>
      <c r="R688" s="1004">
        <f>NC_DKDD!G466</f>
        <v>8.0000000000000002E-3</v>
      </c>
    </row>
    <row r="689" spans="1:18" s="922" customFormat="1" ht="35.25" customHeight="1">
      <c r="A689" s="798" t="s">
        <v>900</v>
      </c>
      <c r="B689" s="799" t="s">
        <v>861</v>
      </c>
      <c r="C689" s="798" t="s">
        <v>377</v>
      </c>
      <c r="D689" s="792" t="s">
        <v>723</v>
      </c>
      <c r="E689" s="992" t="e">
        <f>NC_DKDD!H467</f>
        <v>#VALUE!</v>
      </c>
      <c r="F689" s="992"/>
      <c r="G689" s="992"/>
      <c r="H689" s="992"/>
      <c r="I689" s="992"/>
      <c r="J689" s="992"/>
      <c r="K689" s="992"/>
      <c r="L689" s="992"/>
      <c r="M689" s="857"/>
      <c r="N689" s="992"/>
      <c r="O689" s="992">
        <f t="shared" si="122"/>
        <v>24.592307692307692</v>
      </c>
      <c r="P689" s="858">
        <f t="shared" si="125"/>
        <v>21.384615384615383</v>
      </c>
      <c r="Q689" s="858">
        <f t="shared" si="124"/>
        <v>3.2076923076923078</v>
      </c>
      <c r="R689" s="1004">
        <f>NC_DKDD!G467</f>
        <v>4.0000000000000001E-3</v>
      </c>
    </row>
    <row r="690" spans="1:18" s="922" customFormat="1" ht="35.25" customHeight="1">
      <c r="A690" s="798" t="s">
        <v>901</v>
      </c>
      <c r="B690" s="799" t="s">
        <v>863</v>
      </c>
      <c r="C690" s="798" t="s">
        <v>375</v>
      </c>
      <c r="D690" s="792" t="s">
        <v>723</v>
      </c>
      <c r="E690" s="992" t="e">
        <f>NC_DKDD!H468</f>
        <v>#VALUE!</v>
      </c>
      <c r="F690" s="992"/>
      <c r="G690" s="992"/>
      <c r="H690" s="992"/>
      <c r="I690" s="992"/>
      <c r="J690" s="992"/>
      <c r="K690" s="992"/>
      <c r="L690" s="992"/>
      <c r="M690" s="857"/>
      <c r="N690" s="992"/>
      <c r="O690" s="992">
        <f t="shared" si="122"/>
        <v>61.480769230769226</v>
      </c>
      <c r="P690" s="858">
        <f t="shared" si="125"/>
        <v>53.46153846153846</v>
      </c>
      <c r="Q690" s="858">
        <f t="shared" si="124"/>
        <v>8.0192307692307701</v>
      </c>
      <c r="R690" s="1004">
        <f>NC_DKDD!G468</f>
        <v>0.01</v>
      </c>
    </row>
    <row r="691" spans="1:18" s="922" customFormat="1" ht="45.75" customHeight="1">
      <c r="A691" s="798">
        <v>13</v>
      </c>
      <c r="B691" s="799" t="s">
        <v>625</v>
      </c>
      <c r="C691" s="798" t="s">
        <v>532</v>
      </c>
      <c r="D691" s="792" t="s">
        <v>723</v>
      </c>
      <c r="E691" s="992" t="e">
        <f>NC_DKDD!H469</f>
        <v>#VALUE!</v>
      </c>
      <c r="F691" s="992"/>
      <c r="G691" s="992"/>
      <c r="H691" s="992"/>
      <c r="I691" s="992"/>
      <c r="J691" s="992"/>
      <c r="K691" s="992"/>
      <c r="L691" s="992"/>
      <c r="M691" s="857"/>
      <c r="N691" s="992"/>
      <c r="O691" s="992">
        <f t="shared" si="122"/>
        <v>1229.6153846153848</v>
      </c>
      <c r="P691" s="858">
        <f t="shared" si="125"/>
        <v>1069.2307692307693</v>
      </c>
      <c r="Q691" s="858">
        <f t="shared" si="124"/>
        <v>160.38461538461539</v>
      </c>
      <c r="R691" s="1004">
        <f>NC_DKDD!G469</f>
        <v>0.2</v>
      </c>
    </row>
    <row r="692" spans="1:18" s="922" customFormat="1" ht="33.75" customHeight="1">
      <c r="A692" s="798">
        <v>14</v>
      </c>
      <c r="B692" s="799" t="s">
        <v>875</v>
      </c>
      <c r="C692" s="798" t="s">
        <v>532</v>
      </c>
      <c r="D692" s="792" t="s">
        <v>723</v>
      </c>
      <c r="E692" s="992" t="e">
        <f>NC_DKDD!H470</f>
        <v>#VALUE!</v>
      </c>
      <c r="F692" s="992"/>
      <c r="G692" s="992"/>
      <c r="H692" s="992"/>
      <c r="I692" s="992"/>
      <c r="J692" s="992"/>
      <c r="K692" s="992"/>
      <c r="L692" s="992"/>
      <c r="M692" s="857"/>
      <c r="N692" s="992"/>
      <c r="O692" s="992">
        <f t="shared" si="122"/>
        <v>1229.6153846153848</v>
      </c>
      <c r="P692" s="858">
        <f t="shared" si="125"/>
        <v>1069.2307692307693</v>
      </c>
      <c r="Q692" s="858">
        <f t="shared" si="124"/>
        <v>160.38461538461539</v>
      </c>
      <c r="R692" s="1004">
        <f>NC_DKDD!G470</f>
        <v>0.2</v>
      </c>
    </row>
    <row r="693" spans="1:18" s="922" customFormat="1" ht="35.25" customHeight="1">
      <c r="A693" s="791" t="s">
        <v>1005</v>
      </c>
      <c r="B693" s="787" t="s">
        <v>908</v>
      </c>
      <c r="C693" s="798"/>
      <c r="D693" s="798"/>
      <c r="E693" s="990" t="e">
        <f>E694</f>
        <v>#VALUE!</v>
      </c>
      <c r="F693" s="990"/>
      <c r="G693" s="990"/>
      <c r="H693" s="990"/>
      <c r="I693" s="990"/>
      <c r="J693" s="990"/>
      <c r="K693" s="990"/>
      <c r="L693" s="796" t="e">
        <f>SUM(E693:K693)</f>
        <v>#VALUE!</v>
      </c>
      <c r="M693" s="796" t="e">
        <f>L693*'He so chung'!$D$17/100</f>
        <v>#VALUE!</v>
      </c>
      <c r="N693" s="796" t="e">
        <f>L693+M693</f>
        <v>#VALUE!</v>
      </c>
      <c r="O693" s="990">
        <f>O694</f>
        <v>614.80769230769238</v>
      </c>
      <c r="P693" s="858">
        <f t="shared" si="125"/>
        <v>534.61538461538464</v>
      </c>
      <c r="Q693" s="858">
        <f t="shared" si="124"/>
        <v>80.192307692307693</v>
      </c>
      <c r="R693" s="990">
        <f>R694</f>
        <v>0.1</v>
      </c>
    </row>
    <row r="694" spans="1:18" s="922" customFormat="1" ht="29.25" customHeight="1">
      <c r="A694" s="798">
        <v>1</v>
      </c>
      <c r="B694" s="799" t="s">
        <v>626</v>
      </c>
      <c r="C694" s="798" t="s">
        <v>532</v>
      </c>
      <c r="D694" s="792" t="s">
        <v>723</v>
      </c>
      <c r="E694" s="992" t="e">
        <f>NC_DKDD!H472</f>
        <v>#VALUE!</v>
      </c>
      <c r="F694" s="992"/>
      <c r="G694" s="992"/>
      <c r="H694" s="992"/>
      <c r="I694" s="992"/>
      <c r="J694" s="992"/>
      <c r="K694" s="992"/>
      <c r="L694" s="992"/>
      <c r="M694" s="857"/>
      <c r="N694" s="992"/>
      <c r="O694" s="992">
        <f t="shared" si="122"/>
        <v>614.80769230769238</v>
      </c>
      <c r="P694" s="858">
        <f t="shared" si="125"/>
        <v>534.61538461538464</v>
      </c>
      <c r="Q694" s="858">
        <f t="shared" si="124"/>
        <v>80.192307692307693</v>
      </c>
      <c r="R694" s="1004">
        <f>NC_DKDD!G472</f>
        <v>0.1</v>
      </c>
    </row>
    <row r="695" spans="1:18" s="922" customFormat="1" ht="37.5" customHeight="1">
      <c r="A695" s="791" t="s">
        <v>755</v>
      </c>
      <c r="B695" s="787" t="s">
        <v>909</v>
      </c>
      <c r="C695" s="798"/>
      <c r="D695" s="798"/>
      <c r="E695" s="990" t="e">
        <f>E696</f>
        <v>#VALUE!</v>
      </c>
      <c r="F695" s="990"/>
      <c r="G695" s="990"/>
      <c r="H695" s="990">
        <f>'Dcu-DKDD'!$H$149</f>
        <v>67.276859775641014</v>
      </c>
      <c r="I695" s="990">
        <f>'VL-DKDD'!$F$154</f>
        <v>642.6</v>
      </c>
      <c r="J695" s="990"/>
      <c r="K695" s="990"/>
      <c r="L695" s="796" t="e">
        <f>SUM(E695:K695)</f>
        <v>#VALUE!</v>
      </c>
      <c r="M695" s="796" t="e">
        <f>L695*'He so chung'!$D$17/100</f>
        <v>#VALUE!</v>
      </c>
      <c r="N695" s="796" t="e">
        <f>L695+M695</f>
        <v>#VALUE!</v>
      </c>
      <c r="O695" s="990">
        <f>O696</f>
        <v>245.92307692307691</v>
      </c>
      <c r="P695" s="858">
        <f t="shared" si="125"/>
        <v>213.84615384615384</v>
      </c>
      <c r="Q695" s="858">
        <f t="shared" si="124"/>
        <v>32.07692307692308</v>
      </c>
      <c r="R695" s="990">
        <f>R696</f>
        <v>0.04</v>
      </c>
    </row>
    <row r="696" spans="1:18" s="922" customFormat="1" ht="32.25" customHeight="1">
      <c r="A696" s="798">
        <v>1</v>
      </c>
      <c r="B696" s="799" t="s">
        <v>627</v>
      </c>
      <c r="C696" s="798" t="s">
        <v>532</v>
      </c>
      <c r="D696" s="792" t="s">
        <v>723</v>
      </c>
      <c r="E696" s="992" t="e">
        <f>NC_DKDD!H474</f>
        <v>#VALUE!</v>
      </c>
      <c r="F696" s="992"/>
      <c r="G696" s="992"/>
      <c r="H696" s="992"/>
      <c r="I696" s="992"/>
      <c r="J696" s="992"/>
      <c r="K696" s="992"/>
      <c r="L696" s="992"/>
      <c r="M696" s="857"/>
      <c r="N696" s="992"/>
      <c r="O696" s="992">
        <f t="shared" si="122"/>
        <v>245.92307692307691</v>
      </c>
      <c r="P696" s="858">
        <f t="shared" si="125"/>
        <v>213.84615384615384</v>
      </c>
      <c r="Q696" s="858">
        <f t="shared" si="124"/>
        <v>32.07692307692308</v>
      </c>
      <c r="R696" s="1004">
        <f>NC_DKDD!G474</f>
        <v>0.04</v>
      </c>
    </row>
    <row r="697" spans="1:18" ht="21" customHeight="1">
      <c r="A697" s="437"/>
      <c r="B697" s="948" t="s">
        <v>533</v>
      </c>
      <c r="C697" s="439"/>
      <c r="D697" s="437"/>
      <c r="E697" s="803"/>
      <c r="F697" s="803"/>
      <c r="G697" s="804"/>
      <c r="H697" s="803"/>
      <c r="I697" s="803"/>
      <c r="J697" s="805"/>
      <c r="K697" s="805"/>
      <c r="L697" s="805"/>
      <c r="M697" s="419"/>
      <c r="N697" s="419"/>
      <c r="O697" s="901"/>
      <c r="P697" s="420"/>
      <c r="Q697" s="420"/>
    </row>
    <row r="698" spans="1:18" ht="43.15" customHeight="1">
      <c r="A698" s="455"/>
      <c r="B698" s="1072" t="s">
        <v>864</v>
      </c>
      <c r="C698" s="1072"/>
      <c r="D698" s="1072"/>
      <c r="E698" s="1072"/>
      <c r="F698" s="1072"/>
      <c r="G698" s="1072"/>
      <c r="H698" s="1072"/>
      <c r="I698" s="1072"/>
      <c r="J698" s="1072"/>
      <c r="K698" s="1072"/>
      <c r="L698" s="1072"/>
      <c r="M698" s="1072"/>
      <c r="N698" s="1072"/>
      <c r="O698" s="1072"/>
      <c r="P698" s="420"/>
      <c r="Q698" s="420"/>
    </row>
    <row r="699" spans="1:18" ht="43.15" customHeight="1">
      <c r="A699" s="455"/>
      <c r="B699" s="1069" t="s">
        <v>744</v>
      </c>
      <c r="C699" s="1069"/>
      <c r="D699" s="1069"/>
      <c r="E699" s="1069"/>
      <c r="F699" s="1069"/>
      <c r="G699" s="1069"/>
      <c r="H699" s="1069"/>
      <c r="I699" s="1069"/>
      <c r="J699" s="1069"/>
      <c r="K699" s="1069"/>
      <c r="L699" s="1069"/>
      <c r="M699" s="1069"/>
      <c r="N699" s="1069"/>
      <c r="O699" s="1069"/>
      <c r="P699" s="420"/>
      <c r="Q699" s="420"/>
    </row>
    <row r="700" spans="1:18" ht="49.9" customHeight="1">
      <c r="A700" s="455"/>
      <c r="B700" s="1072" t="s">
        <v>807</v>
      </c>
      <c r="C700" s="1072"/>
      <c r="D700" s="1072"/>
      <c r="E700" s="1072"/>
      <c r="F700" s="1072"/>
      <c r="G700" s="1072"/>
      <c r="H700" s="1072"/>
      <c r="I700" s="1072"/>
      <c r="J700" s="1072"/>
      <c r="K700" s="1072"/>
      <c r="L700" s="1072"/>
      <c r="M700" s="1072"/>
      <c r="N700" s="1072"/>
      <c r="O700" s="1072"/>
      <c r="P700" s="420"/>
      <c r="Q700" s="420"/>
    </row>
    <row r="701" spans="1:18" ht="32.450000000000003" customHeight="1">
      <c r="A701" s="1070" t="s">
        <v>294</v>
      </c>
      <c r="B701" s="1070"/>
      <c r="C701" s="1070"/>
      <c r="D701" s="1070"/>
      <c r="E701" s="1070"/>
      <c r="F701" s="1070"/>
      <c r="G701" s="1070"/>
      <c r="H701" s="1070"/>
      <c r="I701" s="1070"/>
      <c r="J701" s="1070"/>
      <c r="K701" s="1070"/>
      <c r="L701" s="1070"/>
      <c r="M701" s="1070"/>
      <c r="N701" s="1070"/>
      <c r="O701" s="1070"/>
    </row>
    <row r="702" spans="1:18" s="421" customFormat="1" ht="19.5" customHeight="1">
      <c r="A702" s="414"/>
      <c r="B702" s="926"/>
      <c r="C702" s="776"/>
      <c r="D702" s="777" t="s">
        <v>430</v>
      </c>
      <c r="E702" s="419"/>
      <c r="F702" s="778"/>
      <c r="G702" s="779"/>
      <c r="H702" s="778"/>
      <c r="I702" s="780"/>
      <c r="J702" s="778"/>
      <c r="K702" s="778"/>
      <c r="L702" s="781" t="s">
        <v>262</v>
      </c>
      <c r="M702" s="778"/>
      <c r="N702" s="780"/>
      <c r="O702" s="419"/>
      <c r="P702" s="420"/>
      <c r="Q702" s="420"/>
      <c r="R702" s="420"/>
    </row>
    <row r="703" spans="1:18" s="421" customFormat="1" ht="7.5" customHeight="1">
      <c r="A703" s="414"/>
      <c r="B703" s="926"/>
      <c r="C703" s="776"/>
      <c r="D703" s="821"/>
      <c r="E703" s="419"/>
      <c r="F703" s="419"/>
      <c r="G703" s="822"/>
      <c r="H703" s="419"/>
      <c r="I703" s="419"/>
      <c r="J703" s="419"/>
      <c r="K703" s="419"/>
      <c r="L703" s="419"/>
      <c r="M703" s="419"/>
      <c r="N703" s="419"/>
      <c r="O703" s="419"/>
      <c r="P703" s="420"/>
      <c r="Q703" s="420"/>
      <c r="R703" s="420"/>
    </row>
    <row r="704" spans="1:18" s="833" customFormat="1" ht="23.25" customHeight="1">
      <c r="A704" s="1068" t="s">
        <v>718</v>
      </c>
      <c r="B704" s="1068" t="s">
        <v>198</v>
      </c>
      <c r="C704" s="1071" t="s">
        <v>263</v>
      </c>
      <c r="D704" s="1071" t="s">
        <v>264</v>
      </c>
      <c r="E704" s="1071" t="s">
        <v>683</v>
      </c>
      <c r="F704" s="1071"/>
      <c r="G704" s="1071"/>
      <c r="H704" s="1071"/>
      <c r="I704" s="1071"/>
      <c r="J704" s="1071"/>
      <c r="K704" s="1071"/>
      <c r="L704" s="1071"/>
      <c r="M704" s="1071" t="s">
        <v>435</v>
      </c>
      <c r="N704" s="1071" t="s">
        <v>684</v>
      </c>
      <c r="O704" s="1071" t="s">
        <v>685</v>
      </c>
      <c r="P704" s="830"/>
      <c r="Q704" s="830"/>
      <c r="R704" s="832"/>
    </row>
    <row r="705" spans="1:18" s="833" customFormat="1" ht="36" customHeight="1">
      <c r="A705" s="1068"/>
      <c r="B705" s="1068"/>
      <c r="C705" s="1071"/>
      <c r="D705" s="1071"/>
      <c r="E705" s="783" t="s">
        <v>686</v>
      </c>
      <c r="F705" s="783" t="s">
        <v>687</v>
      </c>
      <c r="G705" s="784" t="s">
        <v>285</v>
      </c>
      <c r="H705" s="783" t="s">
        <v>499</v>
      </c>
      <c r="I705" s="783" t="s">
        <v>688</v>
      </c>
      <c r="J705" s="783" t="s">
        <v>531</v>
      </c>
      <c r="K705" s="783" t="s">
        <v>689</v>
      </c>
      <c r="L705" s="783" t="s">
        <v>690</v>
      </c>
      <c r="M705" s="1071"/>
      <c r="N705" s="1071"/>
      <c r="O705" s="1071"/>
      <c r="P705" s="830"/>
      <c r="Q705" s="830"/>
      <c r="R705" s="832"/>
    </row>
    <row r="706" spans="1:18" s="833" customFormat="1" ht="47.25" customHeight="1">
      <c r="A706" s="785"/>
      <c r="B706" s="839" t="s">
        <v>859</v>
      </c>
      <c r="C706" s="783"/>
      <c r="D706" s="783"/>
      <c r="E706" s="783"/>
      <c r="F706" s="783"/>
      <c r="G706" s="784"/>
      <c r="H706" s="783"/>
      <c r="I706" s="783"/>
      <c r="J706" s="783"/>
      <c r="K706" s="783"/>
      <c r="L706" s="783"/>
      <c r="M706" s="783"/>
      <c r="N706" s="783"/>
      <c r="O706" s="783"/>
      <c r="P706" s="830"/>
      <c r="Q706" s="830"/>
      <c r="R706" s="832"/>
    </row>
    <row r="707" spans="1:18" s="833" customFormat="1" ht="24" customHeight="1">
      <c r="A707" s="1068"/>
      <c r="B707" s="1074" t="s">
        <v>668</v>
      </c>
      <c r="C707" s="1071" t="s">
        <v>532</v>
      </c>
      <c r="D707" s="783">
        <v>1</v>
      </c>
      <c r="E707" s="788" t="e">
        <f>E719+E768+E770</f>
        <v>#VALUE!</v>
      </c>
      <c r="F707" s="788">
        <f t="shared" ref="F707:M707" si="126">F719+F768+F770</f>
        <v>0</v>
      </c>
      <c r="G707" s="788">
        <f t="shared" si="126"/>
        <v>0</v>
      </c>
      <c r="H707" s="788">
        <f t="shared" si="126"/>
        <v>16647.098094150642</v>
      </c>
      <c r="I707" s="788">
        <f t="shared" si="126"/>
        <v>30335.579999999998</v>
      </c>
      <c r="J707" s="788">
        <f t="shared" si="126"/>
        <v>14290.068000000001</v>
      </c>
      <c r="K707" s="788">
        <f t="shared" si="126"/>
        <v>30363.606</v>
      </c>
      <c r="L707" s="788" t="e">
        <f t="shared" si="126"/>
        <v>#VALUE!</v>
      </c>
      <c r="M707" s="788" t="e">
        <f t="shared" si="126"/>
        <v>#VALUE!</v>
      </c>
      <c r="N707" s="788" t="e">
        <f>N719+N768+N770</f>
        <v>#VALUE!</v>
      </c>
      <c r="O707" s="788">
        <f>O719+O768+O770</f>
        <v>62200.094230769238</v>
      </c>
      <c r="P707" s="830"/>
      <c r="Q707" s="830"/>
      <c r="R707" s="832"/>
    </row>
    <row r="708" spans="1:18" s="833" customFormat="1" ht="24" customHeight="1">
      <c r="A708" s="1068"/>
      <c r="B708" s="1074"/>
      <c r="C708" s="1071"/>
      <c r="D708" s="783">
        <v>2</v>
      </c>
      <c r="E708" s="788" t="e">
        <f>E720+E768+E770</f>
        <v>#VALUE!</v>
      </c>
      <c r="F708" s="788">
        <f t="shared" ref="F708:N708" si="127">F720+F768+F770</f>
        <v>0</v>
      </c>
      <c r="G708" s="788">
        <f t="shared" si="127"/>
        <v>0</v>
      </c>
      <c r="H708" s="788">
        <f t="shared" si="127"/>
        <v>16647.098094150642</v>
      </c>
      <c r="I708" s="788">
        <f t="shared" si="127"/>
        <v>30335.579999999998</v>
      </c>
      <c r="J708" s="788">
        <f t="shared" si="127"/>
        <v>14290.068000000001</v>
      </c>
      <c r="K708" s="788">
        <f t="shared" si="127"/>
        <v>30363.606</v>
      </c>
      <c r="L708" s="788" t="e">
        <f t="shared" si="127"/>
        <v>#VALUE!</v>
      </c>
      <c r="M708" s="788" t="e">
        <f t="shared" si="127"/>
        <v>#VALUE!</v>
      </c>
      <c r="N708" s="788" t="e">
        <f t="shared" si="127"/>
        <v>#VALUE!</v>
      </c>
      <c r="O708" s="788">
        <f>O720+O768+O770</f>
        <v>63798.594230769238</v>
      </c>
      <c r="P708" s="830"/>
      <c r="Q708" s="830"/>
      <c r="R708" s="832"/>
    </row>
    <row r="709" spans="1:18" s="833" customFormat="1" ht="24" customHeight="1">
      <c r="A709" s="1068"/>
      <c r="B709" s="1074"/>
      <c r="C709" s="1071"/>
      <c r="D709" s="783">
        <v>3</v>
      </c>
      <c r="E709" s="788" t="e">
        <f>E721+E768+E770</f>
        <v>#VALUE!</v>
      </c>
      <c r="F709" s="788">
        <f t="shared" ref="F709:N709" si="128">F721+F768+F770</f>
        <v>0</v>
      </c>
      <c r="G709" s="788">
        <f t="shared" si="128"/>
        <v>0</v>
      </c>
      <c r="H709" s="788">
        <f t="shared" si="128"/>
        <v>16647.098094150642</v>
      </c>
      <c r="I709" s="788">
        <f t="shared" si="128"/>
        <v>30335.579999999998</v>
      </c>
      <c r="J709" s="788">
        <f t="shared" si="128"/>
        <v>14290.068000000001</v>
      </c>
      <c r="K709" s="788">
        <f t="shared" si="128"/>
        <v>30363.606</v>
      </c>
      <c r="L709" s="788" t="e">
        <f t="shared" si="128"/>
        <v>#VALUE!</v>
      </c>
      <c r="M709" s="788" t="e">
        <f t="shared" si="128"/>
        <v>#VALUE!</v>
      </c>
      <c r="N709" s="788" t="e">
        <f t="shared" si="128"/>
        <v>#VALUE!</v>
      </c>
      <c r="O709" s="788">
        <f>O721+O768+O770</f>
        <v>65556.944230769237</v>
      </c>
      <c r="P709" s="830"/>
      <c r="Q709" s="830"/>
      <c r="R709" s="832"/>
    </row>
    <row r="710" spans="1:18" s="833" customFormat="1" ht="24" customHeight="1">
      <c r="A710" s="1068"/>
      <c r="B710" s="1074"/>
      <c r="C710" s="1071"/>
      <c r="D710" s="783">
        <v>4</v>
      </c>
      <c r="E710" s="788" t="e">
        <f>E722+E768+E770</f>
        <v>#VALUE!</v>
      </c>
      <c r="F710" s="788">
        <f t="shared" ref="F710:N710" si="129">F722+F768+F770</f>
        <v>0</v>
      </c>
      <c r="G710" s="788">
        <f t="shared" si="129"/>
        <v>0</v>
      </c>
      <c r="H710" s="788">
        <f t="shared" si="129"/>
        <v>16647.098094150642</v>
      </c>
      <c r="I710" s="788">
        <f t="shared" si="129"/>
        <v>30335.579999999998</v>
      </c>
      <c r="J710" s="788">
        <f t="shared" si="129"/>
        <v>14290.068000000001</v>
      </c>
      <c r="K710" s="788">
        <f t="shared" si="129"/>
        <v>30363.606</v>
      </c>
      <c r="L710" s="788" t="e">
        <f t="shared" si="129"/>
        <v>#VALUE!</v>
      </c>
      <c r="M710" s="788" t="e">
        <f t="shared" si="129"/>
        <v>#VALUE!</v>
      </c>
      <c r="N710" s="788" t="e">
        <f t="shared" si="129"/>
        <v>#VALUE!</v>
      </c>
      <c r="O710" s="788">
        <f>O722+O768+O770</f>
        <v>67487.440384615387</v>
      </c>
      <c r="P710" s="830"/>
      <c r="Q710" s="830"/>
      <c r="R710" s="832"/>
    </row>
    <row r="711" spans="1:18" s="833" customFormat="1" ht="24" customHeight="1">
      <c r="A711" s="1068"/>
      <c r="B711" s="1074"/>
      <c r="C711" s="1071"/>
      <c r="D711" s="783">
        <v>5</v>
      </c>
      <c r="E711" s="788" t="e">
        <f>E723+E768+E770</f>
        <v>#VALUE!</v>
      </c>
      <c r="F711" s="788">
        <f t="shared" ref="F711:N711" si="130">F723+F768+F770</f>
        <v>0</v>
      </c>
      <c r="G711" s="788">
        <f t="shared" si="130"/>
        <v>0</v>
      </c>
      <c r="H711" s="788">
        <f t="shared" si="130"/>
        <v>16647.098094150642</v>
      </c>
      <c r="I711" s="788">
        <f t="shared" si="130"/>
        <v>30335.579999999998</v>
      </c>
      <c r="J711" s="788">
        <f t="shared" si="130"/>
        <v>14290.068000000001</v>
      </c>
      <c r="K711" s="788">
        <f t="shared" si="130"/>
        <v>30363.606</v>
      </c>
      <c r="L711" s="788" t="e">
        <f t="shared" si="130"/>
        <v>#VALUE!</v>
      </c>
      <c r="M711" s="788" t="e">
        <f t="shared" si="130"/>
        <v>#VALUE!</v>
      </c>
      <c r="N711" s="788" t="e">
        <f t="shared" si="130"/>
        <v>#VALUE!</v>
      </c>
      <c r="O711" s="788">
        <f>O723+O768+O770</f>
        <v>69577.786538461543</v>
      </c>
      <c r="P711" s="830"/>
      <c r="Q711" s="830"/>
      <c r="R711" s="832"/>
    </row>
    <row r="712" spans="1:18" s="833" customFormat="1" ht="24" customHeight="1">
      <c r="A712" s="1068"/>
      <c r="B712" s="1074" t="s">
        <v>669</v>
      </c>
      <c r="C712" s="1071" t="s">
        <v>532</v>
      </c>
      <c r="D712" s="783">
        <v>1</v>
      </c>
      <c r="E712" s="788" t="e">
        <f>E724+E768+E770</f>
        <v>#VALUE!</v>
      </c>
      <c r="F712" s="788">
        <f t="shared" ref="F712:O712" si="131">F724+F768+F770</f>
        <v>0</v>
      </c>
      <c r="G712" s="788">
        <f t="shared" si="131"/>
        <v>0</v>
      </c>
      <c r="H712" s="788">
        <f t="shared" si="131"/>
        <v>16647.098094150642</v>
      </c>
      <c r="I712" s="788">
        <f t="shared" si="131"/>
        <v>30335.579999999998</v>
      </c>
      <c r="J712" s="788">
        <f t="shared" si="131"/>
        <v>14290.068000000001</v>
      </c>
      <c r="K712" s="788">
        <f t="shared" si="131"/>
        <v>30363.606</v>
      </c>
      <c r="L712" s="788" t="e">
        <f t="shared" si="131"/>
        <v>#VALUE!</v>
      </c>
      <c r="M712" s="788" t="e">
        <f t="shared" si="131"/>
        <v>#VALUE!</v>
      </c>
      <c r="N712" s="788" t="e">
        <f t="shared" si="131"/>
        <v>#VALUE!</v>
      </c>
      <c r="O712" s="788">
        <f t="shared" si="131"/>
        <v>62169.353846153856</v>
      </c>
      <c r="P712" s="830"/>
      <c r="Q712" s="830"/>
      <c r="R712" s="832"/>
    </row>
    <row r="713" spans="1:18" s="833" customFormat="1" ht="24" customHeight="1">
      <c r="A713" s="1068"/>
      <c r="B713" s="1074"/>
      <c r="C713" s="1071"/>
      <c r="D713" s="783">
        <v>2</v>
      </c>
      <c r="E713" s="788" t="e">
        <f>E725+E768+E770</f>
        <v>#VALUE!</v>
      </c>
      <c r="F713" s="788">
        <f t="shared" ref="F713:O713" si="132">F725+F768+F770</f>
        <v>0</v>
      </c>
      <c r="G713" s="788">
        <f t="shared" si="132"/>
        <v>0</v>
      </c>
      <c r="H713" s="788">
        <f t="shared" si="132"/>
        <v>16647.098094150642</v>
      </c>
      <c r="I713" s="788">
        <f t="shared" si="132"/>
        <v>30335.579999999998</v>
      </c>
      <c r="J713" s="788">
        <f t="shared" si="132"/>
        <v>14290.068000000001</v>
      </c>
      <c r="K713" s="788">
        <f t="shared" si="132"/>
        <v>30363.606</v>
      </c>
      <c r="L713" s="788" t="e">
        <f t="shared" si="132"/>
        <v>#VALUE!</v>
      </c>
      <c r="M713" s="788" t="e">
        <f t="shared" si="132"/>
        <v>#VALUE!</v>
      </c>
      <c r="N713" s="788" t="e">
        <f t="shared" si="132"/>
        <v>#VALUE!</v>
      </c>
      <c r="O713" s="788">
        <f t="shared" si="132"/>
        <v>63767.853846153856</v>
      </c>
      <c r="P713" s="830"/>
      <c r="Q713" s="830"/>
      <c r="R713" s="832"/>
    </row>
    <row r="714" spans="1:18" s="833" customFormat="1" ht="24" customHeight="1">
      <c r="A714" s="1068"/>
      <c r="B714" s="1074"/>
      <c r="C714" s="1071"/>
      <c r="D714" s="783">
        <v>3</v>
      </c>
      <c r="E714" s="788" t="e">
        <f>E726+E768+E770</f>
        <v>#VALUE!</v>
      </c>
      <c r="F714" s="788">
        <f t="shared" ref="F714:O714" si="133">F726+F768+F770</f>
        <v>0</v>
      </c>
      <c r="G714" s="788">
        <f t="shared" si="133"/>
        <v>0</v>
      </c>
      <c r="H714" s="788">
        <f t="shared" si="133"/>
        <v>16647.098094150642</v>
      </c>
      <c r="I714" s="788">
        <f t="shared" si="133"/>
        <v>30335.579999999998</v>
      </c>
      <c r="J714" s="788">
        <f t="shared" si="133"/>
        <v>14290.068000000001</v>
      </c>
      <c r="K714" s="788">
        <f t="shared" si="133"/>
        <v>30363.606</v>
      </c>
      <c r="L714" s="788" t="e">
        <f t="shared" si="133"/>
        <v>#VALUE!</v>
      </c>
      <c r="M714" s="788" t="e">
        <f t="shared" si="133"/>
        <v>#VALUE!</v>
      </c>
      <c r="N714" s="788" t="e">
        <f t="shared" si="133"/>
        <v>#VALUE!</v>
      </c>
      <c r="O714" s="788">
        <f t="shared" si="133"/>
        <v>65526.203846153847</v>
      </c>
      <c r="P714" s="830"/>
      <c r="Q714" s="830"/>
      <c r="R714" s="832"/>
    </row>
    <row r="715" spans="1:18" s="833" customFormat="1" ht="24" customHeight="1">
      <c r="A715" s="1068"/>
      <c r="B715" s="1074"/>
      <c r="C715" s="1071"/>
      <c r="D715" s="783">
        <v>4</v>
      </c>
      <c r="E715" s="788" t="e">
        <f>E727+E768+E770</f>
        <v>#VALUE!</v>
      </c>
      <c r="F715" s="788">
        <f t="shared" ref="F715:O715" si="134">F727+F768+F770</f>
        <v>0</v>
      </c>
      <c r="G715" s="788">
        <f t="shared" si="134"/>
        <v>0</v>
      </c>
      <c r="H715" s="788">
        <f t="shared" si="134"/>
        <v>16647.098094150642</v>
      </c>
      <c r="I715" s="788">
        <f t="shared" si="134"/>
        <v>30335.579999999998</v>
      </c>
      <c r="J715" s="788">
        <f t="shared" si="134"/>
        <v>14290.068000000001</v>
      </c>
      <c r="K715" s="788">
        <f t="shared" si="134"/>
        <v>30363.606</v>
      </c>
      <c r="L715" s="788" t="e">
        <f t="shared" si="134"/>
        <v>#VALUE!</v>
      </c>
      <c r="M715" s="788" t="e">
        <f t="shared" si="134"/>
        <v>#VALUE!</v>
      </c>
      <c r="N715" s="788" t="e">
        <f t="shared" si="134"/>
        <v>#VALUE!</v>
      </c>
      <c r="O715" s="788">
        <f t="shared" si="134"/>
        <v>67456.7</v>
      </c>
      <c r="P715" s="830"/>
      <c r="Q715" s="830"/>
      <c r="R715" s="832"/>
    </row>
    <row r="716" spans="1:18" s="833" customFormat="1" ht="24" customHeight="1">
      <c r="A716" s="1068"/>
      <c r="B716" s="1074"/>
      <c r="C716" s="1071"/>
      <c r="D716" s="783">
        <v>5</v>
      </c>
      <c r="E716" s="788" t="e">
        <f>E728+E768+E770</f>
        <v>#VALUE!</v>
      </c>
      <c r="F716" s="788">
        <f t="shared" ref="F716:O716" si="135">F728+F768+F770</f>
        <v>0</v>
      </c>
      <c r="G716" s="788">
        <f t="shared" si="135"/>
        <v>0</v>
      </c>
      <c r="H716" s="788">
        <f t="shared" si="135"/>
        <v>16647.098094150642</v>
      </c>
      <c r="I716" s="788">
        <f t="shared" si="135"/>
        <v>30335.579999999998</v>
      </c>
      <c r="J716" s="788">
        <f t="shared" si="135"/>
        <v>14290.068000000001</v>
      </c>
      <c r="K716" s="788">
        <f t="shared" si="135"/>
        <v>30363.606</v>
      </c>
      <c r="L716" s="788" t="e">
        <f t="shared" si="135"/>
        <v>#VALUE!</v>
      </c>
      <c r="M716" s="788" t="e">
        <f t="shared" si="135"/>
        <v>#VALUE!</v>
      </c>
      <c r="N716" s="788" t="e">
        <f t="shared" si="135"/>
        <v>#VALUE!</v>
      </c>
      <c r="O716" s="788">
        <f t="shared" si="135"/>
        <v>69547.046153846153</v>
      </c>
      <c r="P716" s="830"/>
      <c r="Q716" s="830"/>
      <c r="R716" s="832"/>
    </row>
    <row r="717" spans="1:18" s="833" customFormat="1" ht="24" customHeight="1">
      <c r="A717" s="847"/>
      <c r="B717" s="1005"/>
      <c r="C717" s="1001"/>
      <c r="D717" s="783"/>
      <c r="E717" s="788"/>
      <c r="F717" s="788"/>
      <c r="G717" s="788"/>
      <c r="H717" s="788"/>
      <c r="I717" s="788"/>
      <c r="J717" s="788"/>
      <c r="K717" s="788"/>
      <c r="L717" s="788"/>
      <c r="M717" s="788"/>
      <c r="N717" s="788"/>
      <c r="O717" s="788"/>
      <c r="P717" s="830"/>
      <c r="Q717" s="830"/>
      <c r="R717" s="832"/>
    </row>
    <row r="718" spans="1:18" s="833" customFormat="1" ht="34.5" customHeight="1">
      <c r="A718" s="1006" t="s">
        <v>1000</v>
      </c>
      <c r="B718" s="1000" t="s">
        <v>902</v>
      </c>
      <c r="C718" s="1001"/>
      <c r="D718" s="783"/>
      <c r="E718" s="788"/>
      <c r="F718" s="788"/>
      <c r="G718" s="788"/>
      <c r="H718" s="788"/>
      <c r="I718" s="788"/>
      <c r="J718" s="788"/>
      <c r="K718" s="788"/>
      <c r="L718" s="788"/>
      <c r="M718" s="788"/>
      <c r="N718" s="788"/>
      <c r="O718" s="788"/>
      <c r="P718" s="830"/>
      <c r="Q718" s="830"/>
      <c r="R718" s="832"/>
    </row>
    <row r="719" spans="1:18" s="922" customFormat="1" ht="26.45" customHeight="1">
      <c r="A719" s="1075" t="s">
        <v>1008</v>
      </c>
      <c r="B719" s="1074" t="s">
        <v>668</v>
      </c>
      <c r="C719" s="1071" t="s">
        <v>532</v>
      </c>
      <c r="D719" s="783">
        <v>1</v>
      </c>
      <c r="E719" s="990" t="e">
        <f>E731+E733+E734+E736+E737+E742+E744+E747+E751+E752+E755+E757+E758+E759+E762+E763+E764+E765+E766+E767</f>
        <v>#VALUE!</v>
      </c>
      <c r="F719" s="990">
        <f>F731+F732+F733+F734+F736+F737+F742+F744+F745+F747+F748+F750+F751+F752+F753+F755+F756+F757+F758+F759+F762+F763+F764+F765+F766+F767</f>
        <v>0</v>
      </c>
      <c r="G719" s="990">
        <f>G731+G732+G733+G734+G736+G737+G742+G744+G745+G747+G748+G750+G751+G752+G753+G755+G756+G757+G758+G759+G762+G763+G764+G765+G766+G767</f>
        <v>0</v>
      </c>
      <c r="H719" s="990">
        <f>'Dcu-DKDD'!$L$149*1.3</f>
        <v>16579.821234375002</v>
      </c>
      <c r="I719" s="990">
        <f>'VL-DKDD'!$J$154</f>
        <v>29692.98</v>
      </c>
      <c r="J719" s="990">
        <f>'TB-DKDD'!$M$84*1.3</f>
        <v>14290.068000000001</v>
      </c>
      <c r="K719" s="990">
        <f>'NL-DKDD'!$J$60*1.3</f>
        <v>30363.606</v>
      </c>
      <c r="L719" s="796" t="e">
        <f t="shared" ref="L719:L728" si="136">SUM(E719:K719)</f>
        <v>#VALUE!</v>
      </c>
      <c r="M719" s="796" t="e">
        <f>L719*'He so chung'!$D$17/100</f>
        <v>#VALUE!</v>
      </c>
      <c r="N719" s="796" t="e">
        <f t="shared" ref="N719:N728" si="137">L719+M719</f>
        <v>#VALUE!</v>
      </c>
      <c r="O719" s="990">
        <f>O731+O733+O734+O736+O737+O742+O744+O747+O751+O752+O755+O757+O758+O759+O762+O763+O764+O765+O766+O767</f>
        <v>61081.144230769241</v>
      </c>
      <c r="P719" s="991"/>
      <c r="Q719" s="991"/>
      <c r="R719" s="869"/>
    </row>
    <row r="720" spans="1:18" s="922" customFormat="1" ht="26.45" customHeight="1">
      <c r="A720" s="1076"/>
      <c r="B720" s="1074"/>
      <c r="C720" s="1071"/>
      <c r="D720" s="783">
        <v>2</v>
      </c>
      <c r="E720" s="990" t="e">
        <f>E731+E733+E734+E736+E738+E742+E744+E747+E751+E752+E755+E757+E758+E759+E762+E763+E764+E765+E766+E767</f>
        <v>#VALUE!</v>
      </c>
      <c r="F720" s="990">
        <f>F731+F732+F733+F734+F736+F738+F742+F744+F745+F747+F748+F750+F751+F752+F753+F755+F756+F757+F758+F759+F762+F763+F764+F765+F766+F767</f>
        <v>0</v>
      </c>
      <c r="G720" s="990">
        <f>G731+G732+G733+G734+G736+G738+G742+G744+G745+G747+G748+G750+G751+G752+G753+G755+G756+G757+G758+G759+G762+G763+G764+G765+G766+G767</f>
        <v>0</v>
      </c>
      <c r="H720" s="990">
        <f>'Dcu-DKDD'!$L$149*1.3</f>
        <v>16579.821234375002</v>
      </c>
      <c r="I720" s="990">
        <f>'VL-DKDD'!$J$154</f>
        <v>29692.98</v>
      </c>
      <c r="J720" s="990">
        <f>'TB-DKDD'!$M$84*1.3</f>
        <v>14290.068000000001</v>
      </c>
      <c r="K720" s="990">
        <f>'NL-DKDD'!$J$60*1.3</f>
        <v>30363.606</v>
      </c>
      <c r="L720" s="796" t="e">
        <f t="shared" si="136"/>
        <v>#VALUE!</v>
      </c>
      <c r="M720" s="796" t="e">
        <f>L720*'He so chung'!$D$17/100</f>
        <v>#VALUE!</v>
      </c>
      <c r="N720" s="796" t="e">
        <f t="shared" si="137"/>
        <v>#VALUE!</v>
      </c>
      <c r="O720" s="990">
        <f>O731+O733+O734+O736+O738+O742+O744+O747+O751+O752+O755+O757+O758+O759+O762+O763+O764+O765+O766+O767</f>
        <v>62679.644230769241</v>
      </c>
      <c r="P720" s="991"/>
      <c r="Q720" s="991"/>
      <c r="R720" s="869"/>
    </row>
    <row r="721" spans="1:18" s="922" customFormat="1" ht="26.45" customHeight="1">
      <c r="A721" s="1076"/>
      <c r="B721" s="1074"/>
      <c r="C721" s="1071"/>
      <c r="D721" s="783">
        <v>3</v>
      </c>
      <c r="E721" s="990" t="e">
        <f>E731+E733+E734+E736+E739+E742+E744+E747+E751+E752+E755+E757+E758+E759+E762+E763+E764+E765+E766+E767</f>
        <v>#VALUE!</v>
      </c>
      <c r="F721" s="990">
        <f>F731+F732+F733+F734+F736+F739+F742+F744+F745+F747+F748+F750+F751+F752+F753+F755+F756+F757+F758+F759</f>
        <v>0</v>
      </c>
      <c r="G721" s="990">
        <f>G731+G732+G733+G734+G736+G739+G742+G744+G745+G747+G748+G750+G751+G752+G753+G755+G756+G757+G758+G759</f>
        <v>0</v>
      </c>
      <c r="H721" s="990">
        <f>'Dcu-DKDD'!$L$149*1.3</f>
        <v>16579.821234375002</v>
      </c>
      <c r="I721" s="990">
        <f>'VL-DKDD'!$J$154</f>
        <v>29692.98</v>
      </c>
      <c r="J721" s="990">
        <f>'TB-DKDD'!$M$84*1.3</f>
        <v>14290.068000000001</v>
      </c>
      <c r="K721" s="990">
        <f>'NL-DKDD'!$J$60*1.3</f>
        <v>30363.606</v>
      </c>
      <c r="L721" s="796" t="e">
        <f t="shared" si="136"/>
        <v>#VALUE!</v>
      </c>
      <c r="M721" s="796" t="e">
        <f>L721*'He so chung'!$D$17/100</f>
        <v>#VALUE!</v>
      </c>
      <c r="N721" s="796" t="e">
        <f t="shared" si="137"/>
        <v>#VALUE!</v>
      </c>
      <c r="O721" s="990">
        <f>O731+O733+O734+O736+O739+O742+O744+O747+O751+O752+O755+O757+O758+O759+O762+O763+O764+O765+O766+O767</f>
        <v>64437.99423076924</v>
      </c>
      <c r="P721" s="991"/>
      <c r="Q721" s="991"/>
      <c r="R721" s="869"/>
    </row>
    <row r="722" spans="1:18" s="922" customFormat="1" ht="26.45" customHeight="1">
      <c r="A722" s="1076"/>
      <c r="B722" s="1074"/>
      <c r="C722" s="1071"/>
      <c r="D722" s="783">
        <v>4</v>
      </c>
      <c r="E722" s="990" t="e">
        <f>E731+E733+E734+E736+E740+E742+E744+E747+E751+E752+E755+E757+E758+E759+E762+E763+E764+E765+E766+E767</f>
        <v>#VALUE!</v>
      </c>
      <c r="F722" s="990">
        <f>F731+F732+F733+F734+F740+F742+F744+F745+F747+F748+F750+F751+F752+F755+F756+F757+F758+F762+F763+F764+F765+F766+F767</f>
        <v>0</v>
      </c>
      <c r="G722" s="990">
        <f>G731+G732+G733+G734+G740+G742+G744+G745+G747+G748+G750+G751+G752+G755+G756+G757+G758+G762+G763+G764+G765+G766+G767</f>
        <v>0</v>
      </c>
      <c r="H722" s="990">
        <f>'Dcu-DKDD'!$L$149*1.3</f>
        <v>16579.821234375002</v>
      </c>
      <c r="I722" s="990">
        <f>'VL-DKDD'!$J$154</f>
        <v>29692.98</v>
      </c>
      <c r="J722" s="990">
        <f>'TB-DKDD'!$M$84*1.3</f>
        <v>14290.068000000001</v>
      </c>
      <c r="K722" s="990">
        <f>'NL-DKDD'!$J$60*1.3</f>
        <v>30363.606</v>
      </c>
      <c r="L722" s="796" t="e">
        <f t="shared" si="136"/>
        <v>#VALUE!</v>
      </c>
      <c r="M722" s="796" t="e">
        <f>L722*'He so chung'!$D$17/100</f>
        <v>#VALUE!</v>
      </c>
      <c r="N722" s="796" t="e">
        <f t="shared" si="137"/>
        <v>#VALUE!</v>
      </c>
      <c r="O722" s="990">
        <f>O731+O733+O734+O736+O740+O742+O744+O747+O751+O752+O755+O757+O758+O759+O762+O763+O764+O765+O766+O767</f>
        <v>66368.49038461539</v>
      </c>
      <c r="P722" s="991"/>
      <c r="Q722" s="991"/>
      <c r="R722" s="869"/>
    </row>
    <row r="723" spans="1:18" s="922" customFormat="1" ht="26.45" customHeight="1">
      <c r="A723" s="1077"/>
      <c r="B723" s="1074"/>
      <c r="C723" s="1071"/>
      <c r="D723" s="783">
        <v>5</v>
      </c>
      <c r="E723" s="990" t="e">
        <f>E731+E733+E734+E736+E741+E742+E744+E747+E751+E752+E755+E757+E758+E759+E762+E763+E764+E765+E766+E767</f>
        <v>#VALUE!</v>
      </c>
      <c r="F723" s="990">
        <f>F731+F732+F733+F734+F736+F741+F742+F744+F745+F747+F748+F750+F751+F752+F753+F755+F756+F757+F758+F762+F763+F764+F765+F766+F767</f>
        <v>0</v>
      </c>
      <c r="G723" s="990">
        <f>G731+G732+G733+G734+G736+G741+G742+G744+G745+G747+G748+G750+G751+G752+G753+G755+G756+G757+G758+G762+G763+G764+G765+G766+G767</f>
        <v>0</v>
      </c>
      <c r="H723" s="990">
        <f>'Dcu-DKDD'!$L$149*1.3</f>
        <v>16579.821234375002</v>
      </c>
      <c r="I723" s="990">
        <f>'VL-DKDD'!$J$154</f>
        <v>29692.98</v>
      </c>
      <c r="J723" s="990">
        <f>'TB-DKDD'!$M$84*1.3</f>
        <v>14290.068000000001</v>
      </c>
      <c r="K723" s="990">
        <f>'NL-DKDD'!$J$60*1.3</f>
        <v>30363.606</v>
      </c>
      <c r="L723" s="796" t="e">
        <f t="shared" si="136"/>
        <v>#VALUE!</v>
      </c>
      <c r="M723" s="796" t="e">
        <f>L723*'He so chung'!$D$17/100</f>
        <v>#VALUE!</v>
      </c>
      <c r="N723" s="796" t="e">
        <f t="shared" si="137"/>
        <v>#VALUE!</v>
      </c>
      <c r="O723" s="990">
        <f>O731+O733+O734+O736+O741+O742+O744+O747+O751+O752+O755+O757+O758+O759+O762+O763+O764+O765+O766+O767</f>
        <v>68458.836538461546</v>
      </c>
      <c r="P723" s="991"/>
      <c r="Q723" s="991"/>
      <c r="R723" s="869"/>
    </row>
    <row r="724" spans="1:18" s="922" customFormat="1" ht="26.45" customHeight="1">
      <c r="A724" s="1075" t="s">
        <v>1009</v>
      </c>
      <c r="B724" s="1074" t="s">
        <v>669</v>
      </c>
      <c r="C724" s="1071" t="s">
        <v>532</v>
      </c>
      <c r="D724" s="783">
        <v>1</v>
      </c>
      <c r="E724" s="990" t="e">
        <f>E732+E733+E734+E736+E737+E742+E745+E747+E750+E752+E755+E757+E758+E759+E762+E763+E764+E765+E766+E767</f>
        <v>#VALUE!</v>
      </c>
      <c r="F724" s="990">
        <f>F732+F733+F734+F736+F737+F742+F745+F747+F750+F752+F753+F755+F757+F758+F759+F762+F763+F764+F765+F766+F767</f>
        <v>0</v>
      </c>
      <c r="G724" s="990"/>
      <c r="H724" s="990">
        <f>'Dcu-DKDD'!$L$149*1.3</f>
        <v>16579.821234375002</v>
      </c>
      <c r="I724" s="990">
        <f>'VL-DKDD'!$J$154</f>
        <v>29692.98</v>
      </c>
      <c r="J724" s="990">
        <f>'TB-DKDD'!$M$84*1.3</f>
        <v>14290.068000000001</v>
      </c>
      <c r="K724" s="990">
        <f>'NL-DKDD'!$J$60*1.3</f>
        <v>30363.606</v>
      </c>
      <c r="L724" s="796" t="e">
        <f t="shared" si="136"/>
        <v>#VALUE!</v>
      </c>
      <c r="M724" s="796" t="e">
        <f>L724*'He so chung'!$D$17/100</f>
        <v>#VALUE!</v>
      </c>
      <c r="N724" s="796" t="e">
        <f t="shared" si="137"/>
        <v>#VALUE!</v>
      </c>
      <c r="O724" s="990">
        <f>O732+O733+O734+O736+O737+O742+O745+O747+O750+O752+O755+O757+O758+O759+O762+O763+O764+O765+O766+O767</f>
        <v>61050.403846153858</v>
      </c>
      <c r="P724" s="991"/>
      <c r="Q724" s="991"/>
      <c r="R724" s="869"/>
    </row>
    <row r="725" spans="1:18" s="922" customFormat="1" ht="26.45" customHeight="1">
      <c r="A725" s="1076"/>
      <c r="B725" s="1074"/>
      <c r="C725" s="1071"/>
      <c r="D725" s="783">
        <v>2</v>
      </c>
      <c r="E725" s="990" t="e">
        <f>E732+E733+E734+E736+E738+E742+E745+E747+E750+E752+E755+E757+E758+E759+E762+E763+E764+E765+E766+E767</f>
        <v>#VALUE!</v>
      </c>
      <c r="F725" s="990">
        <f>F732+F733+F734+F736+F738+F742+F745+F747+F750+F752+F753+F755+F757+F758+F759+F762+F763+F764+F765+F766+F767</f>
        <v>0</v>
      </c>
      <c r="G725" s="990"/>
      <c r="H725" s="990">
        <f>'Dcu-DKDD'!$L$149*1.3</f>
        <v>16579.821234375002</v>
      </c>
      <c r="I725" s="990">
        <f>'VL-DKDD'!$J$154</f>
        <v>29692.98</v>
      </c>
      <c r="J725" s="990">
        <f>'TB-DKDD'!$M$84*1.3</f>
        <v>14290.068000000001</v>
      </c>
      <c r="K725" s="990">
        <f>'NL-DKDD'!$J$60*1.3</f>
        <v>30363.606</v>
      </c>
      <c r="L725" s="796" t="e">
        <f t="shared" si="136"/>
        <v>#VALUE!</v>
      </c>
      <c r="M725" s="796" t="e">
        <f>L725*'He so chung'!$D$17/100</f>
        <v>#VALUE!</v>
      </c>
      <c r="N725" s="796" t="e">
        <f t="shared" si="137"/>
        <v>#VALUE!</v>
      </c>
      <c r="O725" s="990">
        <f>O732+O733+O734+O736+O738+O742+O745+O747+O750+O752+O755+O757+O758+O759+O762+O763+O764+O765+O766+O767</f>
        <v>62648.903846153858</v>
      </c>
      <c r="P725" s="991"/>
      <c r="Q725" s="991"/>
      <c r="R725" s="869"/>
    </row>
    <row r="726" spans="1:18" s="922" customFormat="1" ht="26.45" customHeight="1">
      <c r="A726" s="1076"/>
      <c r="B726" s="1074"/>
      <c r="C726" s="1071"/>
      <c r="D726" s="783">
        <v>3</v>
      </c>
      <c r="E726" s="990" t="e">
        <f>E732+E733+E734+E736+E739+E742+E745+E747+E750+E752+E755+E757+E758+E759+E762+E763+E764+E765+E766+E767</f>
        <v>#VALUE!</v>
      </c>
      <c r="F726" s="990">
        <f>F732+F733+F734+F736+F739+F742+F745+F747+F750+F752+F753+F755+F757+F758+F759+F762+F763+F764+F765+F766+F767</f>
        <v>0</v>
      </c>
      <c r="G726" s="990"/>
      <c r="H726" s="990">
        <f>'Dcu-DKDD'!$L$149*1.3</f>
        <v>16579.821234375002</v>
      </c>
      <c r="I726" s="990">
        <f>'VL-DKDD'!$J$154</f>
        <v>29692.98</v>
      </c>
      <c r="J726" s="990">
        <f>'TB-DKDD'!$M$84*1.3</f>
        <v>14290.068000000001</v>
      </c>
      <c r="K726" s="990">
        <f>'NL-DKDD'!$J$60*1.3</f>
        <v>30363.606</v>
      </c>
      <c r="L726" s="796" t="e">
        <f t="shared" si="136"/>
        <v>#VALUE!</v>
      </c>
      <c r="M726" s="796" t="e">
        <f>L726*'He so chung'!$D$17/100</f>
        <v>#VALUE!</v>
      </c>
      <c r="N726" s="796" t="e">
        <f t="shared" si="137"/>
        <v>#VALUE!</v>
      </c>
      <c r="O726" s="990">
        <f>O732+O733+O734+O736+O739+O742+O745+O747+O750+O752+O755+O757+O758+O759+O762+O763+O764+O765+O766+O767</f>
        <v>64407.25384615385</v>
      </c>
      <c r="P726" s="991"/>
      <c r="Q726" s="991"/>
      <c r="R726" s="869"/>
    </row>
    <row r="727" spans="1:18" s="922" customFormat="1" ht="26.45" customHeight="1">
      <c r="A727" s="1076"/>
      <c r="B727" s="1074"/>
      <c r="C727" s="1071"/>
      <c r="D727" s="783">
        <v>4</v>
      </c>
      <c r="E727" s="990" t="e">
        <f>E732+E733+E734+E736+E740+E742+E745+E747+E750+E752+E755+E757+E758+E759+E762+E763+E764+E765+E766+E767</f>
        <v>#VALUE!</v>
      </c>
      <c r="F727" s="990">
        <f>F732+F733+F734+F736+F740+F742+F745+F747+F750+F752+F753+F755+F757+F758+F759+F762+F763+F764+F765+F766+F767</f>
        <v>0</v>
      </c>
      <c r="G727" s="990"/>
      <c r="H727" s="990">
        <f>'Dcu-DKDD'!$L$149*1.3</f>
        <v>16579.821234375002</v>
      </c>
      <c r="I727" s="990">
        <f>'VL-DKDD'!$J$154</f>
        <v>29692.98</v>
      </c>
      <c r="J727" s="990">
        <f>'TB-DKDD'!$M$84*1.3</f>
        <v>14290.068000000001</v>
      </c>
      <c r="K727" s="990">
        <f>'NL-DKDD'!$J$60*1.3</f>
        <v>30363.606</v>
      </c>
      <c r="L727" s="796" t="e">
        <f t="shared" si="136"/>
        <v>#VALUE!</v>
      </c>
      <c r="M727" s="796" t="e">
        <f>L727*'He so chung'!$D$17/100</f>
        <v>#VALUE!</v>
      </c>
      <c r="N727" s="796" t="e">
        <f t="shared" si="137"/>
        <v>#VALUE!</v>
      </c>
      <c r="O727" s="990">
        <f>O732+O733+O734+O736+O740+O742+O745+O747+O750+O752+O755+O757+O758+O759+O762+O763+O764+O765+O766+O767</f>
        <v>66337.75</v>
      </c>
      <c r="P727" s="991"/>
      <c r="Q727" s="991"/>
      <c r="R727" s="869"/>
    </row>
    <row r="728" spans="1:18" s="922" customFormat="1" ht="26.45" customHeight="1">
      <c r="A728" s="1077"/>
      <c r="B728" s="1074"/>
      <c r="C728" s="1071"/>
      <c r="D728" s="783">
        <v>5</v>
      </c>
      <c r="E728" s="990" t="e">
        <f>E732+E733+E734+E736+E741+E742+E745+E747+E750+E752+E755+E757+E758+E759+E762+E763+E764+E765+E766+E767</f>
        <v>#VALUE!</v>
      </c>
      <c r="F728" s="990">
        <f>F732+F733+F734+F736+F741+F742+F745+F747+F750+F752+F753+F755+F757+F758+F759+F762+F763+F764+F765+F766+F767</f>
        <v>0</v>
      </c>
      <c r="G728" s="990"/>
      <c r="H728" s="990">
        <f>'Dcu-DKDD'!$L$149*1.3</f>
        <v>16579.821234375002</v>
      </c>
      <c r="I728" s="990">
        <f>'VL-DKDD'!$J$154</f>
        <v>29692.98</v>
      </c>
      <c r="J728" s="990">
        <f>'TB-DKDD'!$M$84*1.3</f>
        <v>14290.068000000001</v>
      </c>
      <c r="K728" s="990">
        <f>'NL-DKDD'!$J$60*1.3</f>
        <v>30363.606</v>
      </c>
      <c r="L728" s="796" t="e">
        <f t="shared" si="136"/>
        <v>#VALUE!</v>
      </c>
      <c r="M728" s="796" t="e">
        <f>L728*'He so chung'!$D$17/100</f>
        <v>#VALUE!</v>
      </c>
      <c r="N728" s="796" t="e">
        <f t="shared" si="137"/>
        <v>#VALUE!</v>
      </c>
      <c r="O728" s="990">
        <f>O732+O733+O734+O736+O741+O742+O745+O747+O750+O752+O755+O757+O758+O759+O762+O763+O764+O765+O766+O767</f>
        <v>68428.096153846156</v>
      </c>
      <c r="P728" s="991"/>
      <c r="Q728" s="991"/>
      <c r="R728" s="869"/>
    </row>
    <row r="729" spans="1:18" s="922" customFormat="1" ht="26.45" customHeight="1">
      <c r="A729" s="972"/>
      <c r="B729" s="972"/>
      <c r="C729" s="974"/>
      <c r="D729" s="783"/>
      <c r="E729" s="990"/>
      <c r="F729" s="990"/>
      <c r="G729" s="990"/>
      <c r="H729" s="990"/>
      <c r="I729" s="990"/>
      <c r="J729" s="990"/>
      <c r="K729" s="990"/>
      <c r="L729" s="796"/>
      <c r="M729" s="796"/>
      <c r="N729" s="796"/>
      <c r="O729" s="990"/>
      <c r="P729" s="991"/>
      <c r="Q729" s="991"/>
      <c r="R729" s="869"/>
    </row>
    <row r="730" spans="1:18" s="922" customFormat="1" ht="21" customHeight="1">
      <c r="A730" s="798">
        <v>1</v>
      </c>
      <c r="B730" s="799" t="s">
        <v>844</v>
      </c>
      <c r="C730" s="798"/>
      <c r="D730" s="855"/>
      <c r="E730" s="992"/>
      <c r="F730" s="992"/>
      <c r="G730" s="992"/>
      <c r="H730" s="992"/>
      <c r="I730" s="992"/>
      <c r="J730" s="992"/>
      <c r="K730" s="992"/>
      <c r="L730" s="992"/>
      <c r="M730" s="857"/>
      <c r="N730" s="992"/>
      <c r="O730" s="992"/>
      <c r="P730" s="991"/>
      <c r="Q730" s="991"/>
      <c r="R730" s="869"/>
    </row>
    <row r="731" spans="1:18" s="922" customFormat="1" ht="26.25" customHeight="1">
      <c r="A731" s="798" t="s">
        <v>733</v>
      </c>
      <c r="B731" s="799" t="s">
        <v>846</v>
      </c>
      <c r="C731" s="798" t="s">
        <v>532</v>
      </c>
      <c r="D731" s="792" t="s">
        <v>723</v>
      </c>
      <c r="E731" s="992" t="e">
        <f>NC_DKDD!H481</f>
        <v>#VALUE!</v>
      </c>
      <c r="F731" s="992"/>
      <c r="G731" s="992"/>
      <c r="H731" s="992"/>
      <c r="I731" s="992"/>
      <c r="J731" s="992"/>
      <c r="K731" s="992"/>
      <c r="L731" s="992"/>
      <c r="M731" s="857"/>
      <c r="N731" s="992"/>
      <c r="O731" s="992">
        <f>P731+Q731</f>
        <v>1598.5</v>
      </c>
      <c r="P731" s="858">
        <f t="shared" ref="P731:P737" si="138">R731*$P$570</f>
        <v>1390</v>
      </c>
      <c r="Q731" s="858">
        <f>R731*$Q$570</f>
        <v>208.5</v>
      </c>
      <c r="R731" s="994">
        <f>NC_DKDD!G481</f>
        <v>0.26</v>
      </c>
    </row>
    <row r="732" spans="1:18" s="922" customFormat="1" ht="26.25" customHeight="1">
      <c r="A732" s="798" t="s">
        <v>741</v>
      </c>
      <c r="B732" s="799" t="s">
        <v>849</v>
      </c>
      <c r="C732" s="798" t="s">
        <v>532</v>
      </c>
      <c r="D732" s="792" t="s">
        <v>723</v>
      </c>
      <c r="E732" s="992" t="e">
        <f>NC_DKDD!H482</f>
        <v>#VALUE!</v>
      </c>
      <c r="F732" s="992"/>
      <c r="G732" s="992"/>
      <c r="H732" s="992"/>
      <c r="I732" s="992"/>
      <c r="J732" s="992"/>
      <c r="K732" s="992"/>
      <c r="L732" s="992"/>
      <c r="M732" s="857"/>
      <c r="N732" s="992"/>
      <c r="O732" s="992">
        <f t="shared" ref="O732:O771" si="139">P732+Q732</f>
        <v>1168.1346153846152</v>
      </c>
      <c r="P732" s="858">
        <f t="shared" si="138"/>
        <v>1015.7692307692307</v>
      </c>
      <c r="Q732" s="858">
        <f t="shared" ref="Q732:Q771" si="140">R732*$Q$570</f>
        <v>152.36538461538461</v>
      </c>
      <c r="R732" s="994">
        <f>NC_DKDD!G482</f>
        <v>0.19</v>
      </c>
    </row>
    <row r="733" spans="1:18" s="922" customFormat="1" ht="42.75">
      <c r="A733" s="798">
        <v>2</v>
      </c>
      <c r="B733" s="799" t="s">
        <v>850</v>
      </c>
      <c r="C733" s="798" t="s">
        <v>532</v>
      </c>
      <c r="D733" s="792" t="s">
        <v>723</v>
      </c>
      <c r="E733" s="992" t="e">
        <f>NC_DKDD!H483</f>
        <v>#VALUE!</v>
      </c>
      <c r="F733" s="992"/>
      <c r="G733" s="992"/>
      <c r="H733" s="992"/>
      <c r="I733" s="992"/>
      <c r="J733" s="992"/>
      <c r="K733" s="992"/>
      <c r="L733" s="992"/>
      <c r="M733" s="857"/>
      <c r="N733" s="992"/>
      <c r="O733" s="992">
        <f t="shared" si="139"/>
        <v>3996.25</v>
      </c>
      <c r="P733" s="858">
        <f t="shared" si="138"/>
        <v>3475</v>
      </c>
      <c r="Q733" s="858">
        <f t="shared" si="140"/>
        <v>521.25</v>
      </c>
      <c r="R733" s="994">
        <f>NC_DKDD!G483</f>
        <v>0.65</v>
      </c>
    </row>
    <row r="734" spans="1:18" s="922" customFormat="1" ht="37.5" customHeight="1">
      <c r="A734" s="798">
        <v>3</v>
      </c>
      <c r="B734" s="799" t="s">
        <v>881</v>
      </c>
      <c r="C734" s="798" t="s">
        <v>375</v>
      </c>
      <c r="D734" s="792" t="s">
        <v>723</v>
      </c>
      <c r="E734" s="992" t="e">
        <f>NC_DKDD!H484</f>
        <v>#VALUE!</v>
      </c>
      <c r="F734" s="992"/>
      <c r="G734" s="992"/>
      <c r="H734" s="992"/>
      <c r="I734" s="992"/>
      <c r="J734" s="992"/>
      <c r="K734" s="992"/>
      <c r="L734" s="992"/>
      <c r="M734" s="857"/>
      <c r="N734" s="992"/>
      <c r="O734" s="992">
        <f t="shared" si="139"/>
        <v>1026.728846153846</v>
      </c>
      <c r="P734" s="858">
        <f t="shared" si="138"/>
        <v>892.80769230769226</v>
      </c>
      <c r="Q734" s="858">
        <f t="shared" si="140"/>
        <v>133.92115384615386</v>
      </c>
      <c r="R734" s="994">
        <f>NC_DKDD!G484</f>
        <v>0.16700000000000001</v>
      </c>
    </row>
    <row r="735" spans="1:18" s="922" customFormat="1" ht="49.5" customHeight="1">
      <c r="A735" s="798">
        <v>4</v>
      </c>
      <c r="B735" s="799" t="s">
        <v>882</v>
      </c>
      <c r="C735" s="798"/>
      <c r="D735" s="798"/>
      <c r="E735" s="992">
        <f>NC_DKDD!H485</f>
        <v>0</v>
      </c>
      <c r="F735" s="992"/>
      <c r="G735" s="992"/>
      <c r="H735" s="992"/>
      <c r="I735" s="992"/>
      <c r="J735" s="992"/>
      <c r="K735" s="992"/>
      <c r="L735" s="992"/>
      <c r="M735" s="857"/>
      <c r="N735" s="992"/>
      <c r="O735" s="992">
        <f t="shared" si="139"/>
        <v>0</v>
      </c>
      <c r="P735" s="858">
        <f t="shared" si="138"/>
        <v>0</v>
      </c>
      <c r="Q735" s="858">
        <f t="shared" si="140"/>
        <v>0</v>
      </c>
      <c r="R735" s="994">
        <f>NC_DKDD!G485</f>
        <v>0</v>
      </c>
    </row>
    <row r="736" spans="1:18" s="922" customFormat="1" ht="34.5" customHeight="1">
      <c r="A736" s="798" t="s">
        <v>124</v>
      </c>
      <c r="B736" s="799" t="s">
        <v>883</v>
      </c>
      <c r="C736" s="798" t="s">
        <v>532</v>
      </c>
      <c r="D736" s="792" t="s">
        <v>723</v>
      </c>
      <c r="E736" s="992" t="e">
        <f>NC_DKDD!H486</f>
        <v>#VALUE!</v>
      </c>
      <c r="F736" s="992"/>
      <c r="G736" s="992"/>
      <c r="H736" s="992"/>
      <c r="I736" s="992"/>
      <c r="J736" s="992"/>
      <c r="K736" s="992"/>
      <c r="L736" s="992"/>
      <c r="M736" s="857"/>
      <c r="N736" s="992"/>
      <c r="O736" s="992">
        <f t="shared" si="139"/>
        <v>15985</v>
      </c>
      <c r="P736" s="858">
        <f t="shared" si="138"/>
        <v>13900</v>
      </c>
      <c r="Q736" s="858">
        <f t="shared" si="140"/>
        <v>2085</v>
      </c>
      <c r="R736" s="994">
        <f>NC_DKDD!G486</f>
        <v>2.6</v>
      </c>
    </row>
    <row r="737" spans="1:18" s="922" customFormat="1" ht="15">
      <c r="A737" s="1081" t="s">
        <v>125</v>
      </c>
      <c r="B737" s="1078" t="s">
        <v>884</v>
      </c>
      <c r="C737" s="1084" t="s">
        <v>532</v>
      </c>
      <c r="D737" s="798">
        <v>1</v>
      </c>
      <c r="E737" s="992" t="e">
        <f>NC_DKDD!H487</f>
        <v>#VALUE!</v>
      </c>
      <c r="F737" s="992"/>
      <c r="G737" s="992"/>
      <c r="H737" s="992"/>
      <c r="I737" s="992"/>
      <c r="J737" s="992"/>
      <c r="K737" s="992"/>
      <c r="L737" s="992"/>
      <c r="M737" s="857"/>
      <c r="N737" s="992"/>
      <c r="O737" s="992">
        <f t="shared" si="139"/>
        <v>15985</v>
      </c>
      <c r="P737" s="858">
        <f t="shared" si="138"/>
        <v>13900</v>
      </c>
      <c r="Q737" s="858">
        <f>R737*$Q$570</f>
        <v>2085</v>
      </c>
      <c r="R737" s="994">
        <f>NC_DKDD!G487</f>
        <v>2.6</v>
      </c>
    </row>
    <row r="738" spans="1:18" s="922" customFormat="1" ht="18.75" customHeight="1">
      <c r="A738" s="1082"/>
      <c r="B738" s="1079"/>
      <c r="C738" s="1084"/>
      <c r="D738" s="798">
        <v>2</v>
      </c>
      <c r="E738" s="992" t="e">
        <f>NC_DKDD!H488</f>
        <v>#VALUE!</v>
      </c>
      <c r="F738" s="992"/>
      <c r="G738" s="992"/>
      <c r="H738" s="992"/>
      <c r="I738" s="992"/>
      <c r="J738" s="992"/>
      <c r="K738" s="992"/>
      <c r="L738" s="992"/>
      <c r="M738" s="857"/>
      <c r="N738" s="992"/>
      <c r="O738" s="992">
        <f t="shared" si="139"/>
        <v>17583.5</v>
      </c>
      <c r="P738" s="858">
        <f t="shared" ref="P738:P771" si="141">R738*$P$570</f>
        <v>15289.999999999998</v>
      </c>
      <c r="Q738" s="858">
        <f t="shared" si="140"/>
        <v>2293.5</v>
      </c>
      <c r="R738" s="994">
        <f>NC_DKDD!G488</f>
        <v>2.86</v>
      </c>
    </row>
    <row r="739" spans="1:18" s="922" customFormat="1" ht="18.75" customHeight="1">
      <c r="A739" s="1082"/>
      <c r="B739" s="1079"/>
      <c r="C739" s="1084"/>
      <c r="D739" s="798">
        <v>3</v>
      </c>
      <c r="E739" s="992" t="e">
        <f>NC_DKDD!H489</f>
        <v>#VALUE!</v>
      </c>
      <c r="F739" s="992"/>
      <c r="G739" s="992"/>
      <c r="H739" s="992"/>
      <c r="I739" s="992"/>
      <c r="J739" s="992"/>
      <c r="K739" s="992"/>
      <c r="L739" s="992"/>
      <c r="M739" s="857"/>
      <c r="N739" s="992"/>
      <c r="O739" s="992">
        <f t="shared" si="139"/>
        <v>19341.849999999999</v>
      </c>
      <c r="P739" s="858">
        <f t="shared" si="141"/>
        <v>16819</v>
      </c>
      <c r="Q739" s="858">
        <f t="shared" si="140"/>
        <v>2522.85</v>
      </c>
      <c r="R739" s="994">
        <f>NC_DKDD!G489</f>
        <v>3.1459999999999999</v>
      </c>
    </row>
    <row r="740" spans="1:18" s="922" customFormat="1" ht="18.75" customHeight="1">
      <c r="A740" s="1082"/>
      <c r="B740" s="1079"/>
      <c r="C740" s="1084"/>
      <c r="D740" s="798">
        <v>4</v>
      </c>
      <c r="E740" s="992" t="e">
        <f>NC_DKDD!H490</f>
        <v>#VALUE!</v>
      </c>
      <c r="F740" s="992"/>
      <c r="G740" s="992"/>
      <c r="H740" s="992"/>
      <c r="I740" s="992"/>
      <c r="J740" s="992"/>
      <c r="K740" s="992"/>
      <c r="L740" s="992"/>
      <c r="M740" s="857"/>
      <c r="N740" s="992"/>
      <c r="O740" s="992">
        <f t="shared" si="139"/>
        <v>21272.346153846152</v>
      </c>
      <c r="P740" s="858">
        <f t="shared" si="141"/>
        <v>18497.692307692305</v>
      </c>
      <c r="Q740" s="858">
        <f t="shared" si="140"/>
        <v>2774.6538461538462</v>
      </c>
      <c r="R740" s="994">
        <f>NC_DKDD!G490</f>
        <v>3.46</v>
      </c>
    </row>
    <row r="741" spans="1:18" s="922" customFormat="1" ht="18.75" customHeight="1">
      <c r="A741" s="1083"/>
      <c r="B741" s="1080"/>
      <c r="C741" s="1084"/>
      <c r="D741" s="798">
        <v>5</v>
      </c>
      <c r="E741" s="992" t="e">
        <f>NC_DKDD!H491</f>
        <v>#VALUE!</v>
      </c>
      <c r="F741" s="992"/>
      <c r="G741" s="992"/>
      <c r="H741" s="992"/>
      <c r="I741" s="992"/>
      <c r="J741" s="992"/>
      <c r="K741" s="992"/>
      <c r="L741" s="992"/>
      <c r="M741" s="857"/>
      <c r="N741" s="992"/>
      <c r="O741" s="992">
        <f t="shared" si="139"/>
        <v>23362.692307692305</v>
      </c>
      <c r="P741" s="858">
        <f t="shared" si="141"/>
        <v>20315.384615384613</v>
      </c>
      <c r="Q741" s="858">
        <f t="shared" si="140"/>
        <v>3047.3076923076919</v>
      </c>
      <c r="R741" s="994">
        <f>NC_DKDD!G491</f>
        <v>3.8</v>
      </c>
    </row>
    <row r="742" spans="1:18" s="922" customFormat="1" ht="31.5" customHeight="1">
      <c r="A742" s="798" t="s">
        <v>885</v>
      </c>
      <c r="B742" s="799" t="s">
        <v>886</v>
      </c>
      <c r="C742" s="798" t="s">
        <v>375</v>
      </c>
      <c r="D742" s="792" t="s">
        <v>723</v>
      </c>
      <c r="E742" s="992" t="e">
        <f>NC_DKDD!H492</f>
        <v>#VALUE!</v>
      </c>
      <c r="F742" s="992"/>
      <c r="G742" s="992"/>
      <c r="H742" s="992"/>
      <c r="I742" s="992"/>
      <c r="J742" s="992"/>
      <c r="K742" s="992"/>
      <c r="L742" s="992"/>
      <c r="M742" s="857"/>
      <c r="N742" s="992"/>
      <c r="O742" s="992">
        <f t="shared" si="139"/>
        <v>18.444230769230767</v>
      </c>
      <c r="P742" s="858">
        <f t="shared" si="141"/>
        <v>16.038461538461537</v>
      </c>
      <c r="Q742" s="858">
        <f t="shared" si="140"/>
        <v>2.4057692307692307</v>
      </c>
      <c r="R742" s="994">
        <f>NC_DKDD!G492</f>
        <v>3.0000000000000001E-3</v>
      </c>
    </row>
    <row r="743" spans="1:18" s="922" customFormat="1" ht="31.5" customHeight="1">
      <c r="A743" s="798" t="s">
        <v>887</v>
      </c>
      <c r="B743" s="799" t="s">
        <v>888</v>
      </c>
      <c r="C743" s="798"/>
      <c r="D743" s="798"/>
      <c r="E743" s="992">
        <f>NC_DKDD!H493</f>
        <v>0</v>
      </c>
      <c r="F743" s="992"/>
      <c r="G743" s="992"/>
      <c r="H743" s="992"/>
      <c r="I743" s="992"/>
      <c r="J743" s="992"/>
      <c r="K743" s="992"/>
      <c r="L743" s="992"/>
      <c r="M743" s="857"/>
      <c r="N743" s="992"/>
      <c r="O743" s="992">
        <f t="shared" si="139"/>
        <v>0</v>
      </c>
      <c r="P743" s="858">
        <f t="shared" si="141"/>
        <v>0</v>
      </c>
      <c r="Q743" s="858">
        <f t="shared" si="140"/>
        <v>0</v>
      </c>
      <c r="R743" s="994">
        <f>NC_DKDD!G493</f>
        <v>0</v>
      </c>
    </row>
    <row r="744" spans="1:18" s="922" customFormat="1" ht="29.25" customHeight="1">
      <c r="A744" s="798" t="s">
        <v>889</v>
      </c>
      <c r="B744" s="799" t="s">
        <v>846</v>
      </c>
      <c r="C744" s="798" t="s">
        <v>532</v>
      </c>
      <c r="D744" s="792" t="s">
        <v>723</v>
      </c>
      <c r="E744" s="992" t="e">
        <f>NC_DKDD!H494</f>
        <v>#VALUE!</v>
      </c>
      <c r="F744" s="992"/>
      <c r="G744" s="992"/>
      <c r="H744" s="992"/>
      <c r="I744" s="992"/>
      <c r="J744" s="992"/>
      <c r="K744" s="992"/>
      <c r="L744" s="992"/>
      <c r="M744" s="857"/>
      <c r="N744" s="992"/>
      <c r="O744" s="992">
        <f t="shared" si="139"/>
        <v>7992.5</v>
      </c>
      <c r="P744" s="858">
        <f t="shared" si="141"/>
        <v>6950</v>
      </c>
      <c r="Q744" s="858">
        <f t="shared" si="140"/>
        <v>1042.5</v>
      </c>
      <c r="R744" s="994">
        <f>NC_DKDD!G494</f>
        <v>1.3</v>
      </c>
    </row>
    <row r="745" spans="1:18" s="922" customFormat="1" ht="29.25" customHeight="1">
      <c r="A745" s="798" t="s">
        <v>890</v>
      </c>
      <c r="B745" s="799" t="s">
        <v>891</v>
      </c>
      <c r="C745" s="798" t="s">
        <v>532</v>
      </c>
      <c r="D745" s="792" t="s">
        <v>723</v>
      </c>
      <c r="E745" s="992" t="e">
        <f>NC_DKDD!H495</f>
        <v>#VALUE!</v>
      </c>
      <c r="F745" s="992"/>
      <c r="G745" s="992"/>
      <c r="H745" s="992"/>
      <c r="I745" s="992"/>
      <c r="J745" s="992"/>
      <c r="K745" s="992"/>
      <c r="L745" s="992"/>
      <c r="M745" s="857"/>
      <c r="N745" s="992"/>
      <c r="O745" s="992">
        <f t="shared" si="139"/>
        <v>7992.5</v>
      </c>
      <c r="P745" s="858">
        <f t="shared" si="141"/>
        <v>6950</v>
      </c>
      <c r="Q745" s="858">
        <f t="shared" si="140"/>
        <v>1042.5</v>
      </c>
      <c r="R745" s="994">
        <f>NC_DKDD!G495</f>
        <v>1.3</v>
      </c>
    </row>
    <row r="746" spans="1:18" s="922" customFormat="1" ht="57">
      <c r="A746" s="798" t="s">
        <v>892</v>
      </c>
      <c r="B746" s="799" t="s">
        <v>893</v>
      </c>
      <c r="C746" s="798"/>
      <c r="D746" s="798"/>
      <c r="E746" s="992">
        <f>NC_DKDD!H496</f>
        <v>0</v>
      </c>
      <c r="F746" s="992"/>
      <c r="G746" s="992"/>
      <c r="H746" s="992"/>
      <c r="I746" s="992"/>
      <c r="J746" s="992"/>
      <c r="K746" s="992"/>
      <c r="L746" s="992"/>
      <c r="M746" s="857"/>
      <c r="N746" s="992"/>
      <c r="O746" s="992">
        <f t="shared" si="139"/>
        <v>0</v>
      </c>
      <c r="P746" s="858">
        <f t="shared" si="141"/>
        <v>0</v>
      </c>
      <c r="Q746" s="858">
        <f t="shared" si="140"/>
        <v>0</v>
      </c>
      <c r="R746" s="994">
        <f>NC_DKDD!G496</f>
        <v>0</v>
      </c>
    </row>
    <row r="747" spans="1:18" s="922" customFormat="1" ht="27" customHeight="1">
      <c r="A747" s="798" t="s">
        <v>894</v>
      </c>
      <c r="B747" s="799" t="s">
        <v>587</v>
      </c>
      <c r="C747" s="798" t="s">
        <v>375</v>
      </c>
      <c r="D747" s="792" t="s">
        <v>723</v>
      </c>
      <c r="E747" s="992" t="e">
        <f>NC_DKDD!H497</f>
        <v>#VALUE!</v>
      </c>
      <c r="F747" s="992"/>
      <c r="G747" s="992"/>
      <c r="H747" s="992"/>
      <c r="I747" s="992"/>
      <c r="J747" s="992"/>
      <c r="K747" s="992"/>
      <c r="L747" s="992"/>
      <c r="M747" s="857"/>
      <c r="N747" s="992"/>
      <c r="O747" s="992">
        <f t="shared" si="139"/>
        <v>614.80769230769238</v>
      </c>
      <c r="P747" s="858">
        <f t="shared" si="141"/>
        <v>534.61538461538464</v>
      </c>
      <c r="Q747" s="858">
        <f t="shared" si="140"/>
        <v>80.192307692307693</v>
      </c>
      <c r="R747" s="994">
        <f>NC_DKDD!G497</f>
        <v>0.1</v>
      </c>
    </row>
    <row r="748" spans="1:18" s="922" customFormat="1" ht="27" customHeight="1">
      <c r="A748" s="798" t="s">
        <v>895</v>
      </c>
      <c r="B748" s="799" t="s">
        <v>588</v>
      </c>
      <c r="C748" s="798" t="s">
        <v>375</v>
      </c>
      <c r="D748" s="792" t="s">
        <v>723</v>
      </c>
      <c r="E748" s="992" t="e">
        <f>NC_DKDD!H498</f>
        <v>#VALUE!</v>
      </c>
      <c r="F748" s="992"/>
      <c r="G748" s="992"/>
      <c r="H748" s="992"/>
      <c r="I748" s="992"/>
      <c r="J748" s="992"/>
      <c r="K748" s="992"/>
      <c r="L748" s="992"/>
      <c r="M748" s="857"/>
      <c r="N748" s="992"/>
      <c r="O748" s="992">
        <f t="shared" si="139"/>
        <v>1229.6153846153848</v>
      </c>
      <c r="P748" s="858">
        <f t="shared" si="141"/>
        <v>1069.2307692307693</v>
      </c>
      <c r="Q748" s="858">
        <f t="shared" si="140"/>
        <v>160.38461538461539</v>
      </c>
      <c r="R748" s="994">
        <f>NC_DKDD!G498</f>
        <v>0.2</v>
      </c>
    </row>
    <row r="749" spans="1:18" s="922" customFormat="1" ht="42.75">
      <c r="A749" s="798">
        <v>5</v>
      </c>
      <c r="B749" s="799" t="s">
        <v>589</v>
      </c>
      <c r="C749" s="798"/>
      <c r="D749" s="798"/>
      <c r="E749" s="992">
        <f>NC_DKDD!H499</f>
        <v>0</v>
      </c>
      <c r="F749" s="992"/>
      <c r="G749" s="992"/>
      <c r="H749" s="992"/>
      <c r="I749" s="992"/>
      <c r="J749" s="992"/>
      <c r="K749" s="992"/>
      <c r="L749" s="992"/>
      <c r="M749" s="857"/>
      <c r="N749" s="992"/>
      <c r="O749" s="992">
        <f t="shared" si="139"/>
        <v>0</v>
      </c>
      <c r="P749" s="858">
        <f t="shared" si="141"/>
        <v>0</v>
      </c>
      <c r="Q749" s="858">
        <f t="shared" si="140"/>
        <v>0</v>
      </c>
      <c r="R749" s="994">
        <f>NC_DKDD!G499</f>
        <v>0</v>
      </c>
    </row>
    <row r="750" spans="1:18" s="922" customFormat="1" ht="23.25" customHeight="1">
      <c r="A750" s="798" t="s">
        <v>461</v>
      </c>
      <c r="B750" s="799" t="s">
        <v>590</v>
      </c>
      <c r="C750" s="798" t="s">
        <v>532</v>
      </c>
      <c r="D750" s="792" t="s">
        <v>723</v>
      </c>
      <c r="E750" s="992" t="e">
        <f>NC_DKDD!H500</f>
        <v>#VALUE!</v>
      </c>
      <c r="F750" s="992"/>
      <c r="G750" s="992"/>
      <c r="H750" s="992"/>
      <c r="I750" s="992"/>
      <c r="J750" s="992"/>
      <c r="K750" s="992"/>
      <c r="L750" s="992"/>
      <c r="M750" s="857"/>
      <c r="N750" s="992"/>
      <c r="O750" s="992">
        <f t="shared" si="139"/>
        <v>1998.125</v>
      </c>
      <c r="P750" s="858">
        <f t="shared" si="141"/>
        <v>1737.5</v>
      </c>
      <c r="Q750" s="858">
        <f t="shared" si="140"/>
        <v>260.625</v>
      </c>
      <c r="R750" s="994">
        <f>NC_DKDD!G500</f>
        <v>0.32500000000000001</v>
      </c>
    </row>
    <row r="751" spans="1:18" s="922" customFormat="1" ht="27.75" customHeight="1">
      <c r="A751" s="798" t="s">
        <v>462</v>
      </c>
      <c r="B751" s="799" t="s">
        <v>591</v>
      </c>
      <c r="C751" s="798" t="s">
        <v>532</v>
      </c>
      <c r="D751" s="792" t="s">
        <v>723</v>
      </c>
      <c r="E751" s="992" t="e">
        <f>NC_DKDD!H501</f>
        <v>#VALUE!</v>
      </c>
      <c r="F751" s="992"/>
      <c r="G751" s="992"/>
      <c r="H751" s="992"/>
      <c r="I751" s="992"/>
      <c r="J751" s="992"/>
      <c r="K751" s="992"/>
      <c r="L751" s="992"/>
      <c r="M751" s="857"/>
      <c r="N751" s="992"/>
      <c r="O751" s="992">
        <f t="shared" si="139"/>
        <v>1598.5</v>
      </c>
      <c r="P751" s="858">
        <f t="shared" si="141"/>
        <v>1390</v>
      </c>
      <c r="Q751" s="858">
        <f t="shared" si="140"/>
        <v>208.5</v>
      </c>
      <c r="R751" s="994">
        <f>NC_DKDD!G501</f>
        <v>0.26</v>
      </c>
    </row>
    <row r="752" spans="1:18" s="922" customFormat="1" ht="28.5">
      <c r="A752" s="798">
        <v>6</v>
      </c>
      <c r="B752" s="799" t="s">
        <v>78</v>
      </c>
      <c r="C752" s="798" t="s">
        <v>375</v>
      </c>
      <c r="D752" s="792" t="s">
        <v>723</v>
      </c>
      <c r="E752" s="992" t="e">
        <f>NC_DKDD!H502</f>
        <v>#VALUE!</v>
      </c>
      <c r="F752" s="992"/>
      <c r="G752" s="992"/>
      <c r="H752" s="992"/>
      <c r="I752" s="992"/>
      <c r="J752" s="992"/>
      <c r="K752" s="992"/>
      <c r="L752" s="992"/>
      <c r="M752" s="857"/>
      <c r="N752" s="992"/>
      <c r="O752" s="992">
        <f t="shared" si="139"/>
        <v>202.88653846153844</v>
      </c>
      <c r="P752" s="858">
        <f t="shared" si="141"/>
        <v>176.42307692307691</v>
      </c>
      <c r="Q752" s="858">
        <f t="shared" si="140"/>
        <v>26.463461538461541</v>
      </c>
      <c r="R752" s="994">
        <f>NC_DKDD!G502</f>
        <v>3.3000000000000002E-2</v>
      </c>
    </row>
    <row r="753" spans="1:18" s="922" customFormat="1" ht="22.5" customHeight="1">
      <c r="A753" s="798">
        <v>7</v>
      </c>
      <c r="B753" s="799" t="s">
        <v>260</v>
      </c>
      <c r="C753" s="798" t="s">
        <v>532</v>
      </c>
      <c r="D753" s="792" t="s">
        <v>723</v>
      </c>
      <c r="E753" s="992" t="e">
        <f>NC_DKDD!H503</f>
        <v>#VALUE!</v>
      </c>
      <c r="F753" s="992"/>
      <c r="G753" s="992"/>
      <c r="H753" s="992"/>
      <c r="I753" s="992"/>
      <c r="J753" s="992"/>
      <c r="K753" s="992"/>
      <c r="L753" s="992"/>
      <c r="M753" s="857"/>
      <c r="N753" s="992"/>
      <c r="O753" s="992">
        <f t="shared" si="139"/>
        <v>1229.6153846153848</v>
      </c>
      <c r="P753" s="858">
        <f t="shared" si="141"/>
        <v>1069.2307692307693</v>
      </c>
      <c r="Q753" s="858">
        <f t="shared" si="140"/>
        <v>160.38461538461539</v>
      </c>
      <c r="R753" s="994">
        <f>NC_DKDD!G503</f>
        <v>0.2</v>
      </c>
    </row>
    <row r="754" spans="1:18" s="922" customFormat="1" ht="22.5" customHeight="1">
      <c r="A754" s="798">
        <v>8</v>
      </c>
      <c r="B754" s="799" t="s">
        <v>80</v>
      </c>
      <c r="C754" s="798"/>
      <c r="D754" s="798"/>
      <c r="E754" s="992">
        <f>NC_DKDD!H504</f>
        <v>0</v>
      </c>
      <c r="F754" s="992"/>
      <c r="G754" s="992"/>
      <c r="H754" s="992"/>
      <c r="I754" s="992"/>
      <c r="J754" s="992"/>
      <c r="K754" s="992"/>
      <c r="L754" s="992"/>
      <c r="M754" s="857"/>
      <c r="N754" s="992"/>
      <c r="O754" s="992">
        <f t="shared" si="139"/>
        <v>0</v>
      </c>
      <c r="P754" s="858">
        <f t="shared" si="141"/>
        <v>0</v>
      </c>
      <c r="Q754" s="858">
        <f t="shared" si="140"/>
        <v>0</v>
      </c>
      <c r="R754" s="994">
        <f>NC_DKDD!G504</f>
        <v>0</v>
      </c>
    </row>
    <row r="755" spans="1:18" s="922" customFormat="1" ht="22.5" customHeight="1">
      <c r="A755" s="798" t="s">
        <v>191</v>
      </c>
      <c r="B755" s="799" t="s">
        <v>82</v>
      </c>
      <c r="C755" s="798" t="s">
        <v>559</v>
      </c>
      <c r="D755" s="792" t="s">
        <v>723</v>
      </c>
      <c r="E755" s="992" t="e">
        <f>NC_DKDD!H505</f>
        <v>#VALUE!</v>
      </c>
      <c r="F755" s="992"/>
      <c r="G755" s="992"/>
      <c r="H755" s="992"/>
      <c r="I755" s="992"/>
      <c r="J755" s="992"/>
      <c r="K755" s="992"/>
      <c r="L755" s="992"/>
      <c r="M755" s="857"/>
      <c r="N755" s="992"/>
      <c r="O755" s="992">
        <f t="shared" si="139"/>
        <v>614.80769230769238</v>
      </c>
      <c r="P755" s="858">
        <f t="shared" si="141"/>
        <v>534.61538461538464</v>
      </c>
      <c r="Q755" s="858">
        <f t="shared" si="140"/>
        <v>80.192307692307693</v>
      </c>
      <c r="R755" s="994">
        <f>NC_DKDD!G505</f>
        <v>0.1</v>
      </c>
    </row>
    <row r="756" spans="1:18" s="922" customFormat="1" ht="22.5" customHeight="1">
      <c r="A756" s="798" t="s">
        <v>192</v>
      </c>
      <c r="B756" s="799" t="s">
        <v>84</v>
      </c>
      <c r="C756" s="798" t="s">
        <v>559</v>
      </c>
      <c r="D756" s="792" t="s">
        <v>723</v>
      </c>
      <c r="E756" s="992" t="e">
        <f>NC_DKDD!H506</f>
        <v>#VALUE!</v>
      </c>
      <c r="F756" s="992"/>
      <c r="G756" s="992"/>
      <c r="H756" s="992"/>
      <c r="I756" s="992"/>
      <c r="J756" s="992"/>
      <c r="K756" s="992"/>
      <c r="L756" s="992"/>
      <c r="M756" s="857"/>
      <c r="N756" s="992"/>
      <c r="O756" s="992">
        <f t="shared" si="139"/>
        <v>1229.6153846153848</v>
      </c>
      <c r="P756" s="858">
        <f t="shared" si="141"/>
        <v>1069.2307692307693</v>
      </c>
      <c r="Q756" s="858">
        <f t="shared" si="140"/>
        <v>160.38461538461539</v>
      </c>
      <c r="R756" s="994">
        <f>NC_DKDD!G506</f>
        <v>0.2</v>
      </c>
    </row>
    <row r="757" spans="1:18" s="922" customFormat="1" ht="32.25" customHeight="1">
      <c r="A757" s="798">
        <v>9</v>
      </c>
      <c r="B757" s="799" t="s">
        <v>85</v>
      </c>
      <c r="C757" s="798" t="s">
        <v>532</v>
      </c>
      <c r="D757" s="792" t="s">
        <v>723</v>
      </c>
      <c r="E757" s="992" t="e">
        <f>NC_DKDD!H507</f>
        <v>#VALUE!</v>
      </c>
      <c r="F757" s="992"/>
      <c r="G757" s="992"/>
      <c r="H757" s="992"/>
      <c r="I757" s="992"/>
      <c r="J757" s="992"/>
      <c r="K757" s="992"/>
      <c r="L757" s="992"/>
      <c r="M757" s="857"/>
      <c r="N757" s="992"/>
      <c r="O757" s="992">
        <f t="shared" si="139"/>
        <v>3996.25</v>
      </c>
      <c r="P757" s="858">
        <f t="shared" si="141"/>
        <v>3475</v>
      </c>
      <c r="Q757" s="858">
        <f t="shared" si="140"/>
        <v>521.25</v>
      </c>
      <c r="R757" s="994">
        <f>NC_DKDD!G507</f>
        <v>0.65</v>
      </c>
    </row>
    <row r="758" spans="1:18" s="922" customFormat="1" ht="31.5" customHeight="1">
      <c r="A758" s="798">
        <v>10</v>
      </c>
      <c r="B758" s="799" t="s">
        <v>896</v>
      </c>
      <c r="C758" s="798" t="s">
        <v>532</v>
      </c>
      <c r="D758" s="792" t="s">
        <v>723</v>
      </c>
      <c r="E758" s="992" t="e">
        <f>NC_DKDD!H508</f>
        <v>#VALUE!</v>
      </c>
      <c r="F758" s="992"/>
      <c r="G758" s="992"/>
      <c r="H758" s="992"/>
      <c r="I758" s="992"/>
      <c r="J758" s="992"/>
      <c r="K758" s="992"/>
      <c r="L758" s="992"/>
      <c r="M758" s="857"/>
      <c r="N758" s="992"/>
      <c r="O758" s="992">
        <f t="shared" si="139"/>
        <v>3756.4749999999995</v>
      </c>
      <c r="P758" s="858">
        <f t="shared" si="141"/>
        <v>3266.4999999999995</v>
      </c>
      <c r="Q758" s="858">
        <f t="shared" si="140"/>
        <v>489.97499999999997</v>
      </c>
      <c r="R758" s="994">
        <f>NC_DKDD!G508</f>
        <v>0.61099999999999999</v>
      </c>
    </row>
    <row r="759" spans="1:18" s="922" customFormat="1" ht="29.25" customHeight="1">
      <c r="A759" s="798">
        <v>11</v>
      </c>
      <c r="B759" s="799" t="s">
        <v>87</v>
      </c>
      <c r="C759" s="798" t="s">
        <v>375</v>
      </c>
      <c r="D759" s="792" t="s">
        <v>723</v>
      </c>
      <c r="E759" s="992" t="e">
        <f>NC_DKDD!H509</f>
        <v>#VALUE!</v>
      </c>
      <c r="F759" s="992"/>
      <c r="G759" s="992"/>
      <c r="H759" s="992"/>
      <c r="I759" s="992"/>
      <c r="J759" s="992"/>
      <c r="K759" s="992"/>
      <c r="L759" s="992"/>
      <c r="M759" s="857"/>
      <c r="N759" s="992"/>
      <c r="O759" s="992">
        <f t="shared" si="139"/>
        <v>202.88653846153844</v>
      </c>
      <c r="P759" s="858">
        <f t="shared" si="141"/>
        <v>176.42307692307691</v>
      </c>
      <c r="Q759" s="858">
        <f t="shared" si="140"/>
        <v>26.463461538461541</v>
      </c>
      <c r="R759" s="994">
        <f>NC_DKDD!G509</f>
        <v>3.3000000000000002E-2</v>
      </c>
    </row>
    <row r="760" spans="1:18" s="922" customFormat="1" ht="29.25" customHeight="1">
      <c r="A760" s="798">
        <v>12</v>
      </c>
      <c r="B760" s="799" t="s">
        <v>88</v>
      </c>
      <c r="C760" s="798"/>
      <c r="D760" s="798"/>
      <c r="E760" s="992">
        <f>NC_DKDD!H510</f>
        <v>0</v>
      </c>
      <c r="F760" s="992"/>
      <c r="G760" s="992"/>
      <c r="H760" s="992"/>
      <c r="I760" s="992"/>
      <c r="J760" s="992"/>
      <c r="K760" s="992"/>
      <c r="L760" s="992"/>
      <c r="M760" s="857"/>
      <c r="N760" s="992"/>
      <c r="O760" s="992">
        <f t="shared" si="139"/>
        <v>0</v>
      </c>
      <c r="P760" s="858">
        <f t="shared" si="141"/>
        <v>0</v>
      </c>
      <c r="Q760" s="858">
        <f t="shared" si="140"/>
        <v>0</v>
      </c>
      <c r="R760" s="994">
        <f>NC_DKDD!G510</f>
        <v>0</v>
      </c>
    </row>
    <row r="761" spans="1:18" s="922" customFormat="1" ht="34.5" customHeight="1">
      <c r="A761" s="798" t="s">
        <v>897</v>
      </c>
      <c r="B761" s="799" t="s">
        <v>775</v>
      </c>
      <c r="C761" s="798"/>
      <c r="D761" s="798"/>
      <c r="E761" s="992">
        <f>NC_DKDD!H511</f>
        <v>0</v>
      </c>
      <c r="F761" s="992"/>
      <c r="G761" s="992"/>
      <c r="H761" s="992"/>
      <c r="I761" s="992"/>
      <c r="J761" s="992"/>
      <c r="K761" s="992"/>
      <c r="L761" s="992"/>
      <c r="M761" s="857"/>
      <c r="N761" s="992"/>
      <c r="O761" s="992">
        <f t="shared" si="139"/>
        <v>0</v>
      </c>
      <c r="P761" s="858">
        <f t="shared" si="141"/>
        <v>0</v>
      </c>
      <c r="Q761" s="858">
        <f t="shared" si="140"/>
        <v>0</v>
      </c>
      <c r="R761" s="994">
        <f>NC_DKDD!G511</f>
        <v>0</v>
      </c>
    </row>
    <row r="762" spans="1:18" s="922" customFormat="1" ht="26.25" customHeight="1">
      <c r="A762" s="798" t="s">
        <v>898</v>
      </c>
      <c r="B762" s="799" t="s">
        <v>777</v>
      </c>
      <c r="C762" s="798" t="s">
        <v>377</v>
      </c>
      <c r="D762" s="792" t="s">
        <v>723</v>
      </c>
      <c r="E762" s="992" t="e">
        <f>NC_DKDD!H512</f>
        <v>#VALUE!</v>
      </c>
      <c r="F762" s="992"/>
      <c r="G762" s="992"/>
      <c r="H762" s="992"/>
      <c r="I762" s="992"/>
      <c r="J762" s="992"/>
      <c r="K762" s="992"/>
      <c r="L762" s="992"/>
      <c r="M762" s="857"/>
      <c r="N762" s="992"/>
      <c r="O762" s="992">
        <f t="shared" si="139"/>
        <v>122.96153846153845</v>
      </c>
      <c r="P762" s="858">
        <f t="shared" si="141"/>
        <v>106.92307692307692</v>
      </c>
      <c r="Q762" s="858">
        <f t="shared" si="140"/>
        <v>16.03846153846154</v>
      </c>
      <c r="R762" s="994">
        <f>NC_DKDD!G512</f>
        <v>0.02</v>
      </c>
    </row>
    <row r="763" spans="1:18" s="922" customFormat="1" ht="26.25" customHeight="1">
      <c r="A763" s="798" t="s">
        <v>899</v>
      </c>
      <c r="B763" s="799" t="s">
        <v>781</v>
      </c>
      <c r="C763" s="798" t="s">
        <v>377</v>
      </c>
      <c r="D763" s="792" t="s">
        <v>723</v>
      </c>
      <c r="E763" s="992" t="e">
        <f>NC_DKDD!H513</f>
        <v>#VALUE!</v>
      </c>
      <c r="F763" s="992"/>
      <c r="G763" s="992"/>
      <c r="H763" s="992"/>
      <c r="I763" s="992"/>
      <c r="J763" s="992"/>
      <c r="K763" s="992"/>
      <c r="L763" s="992"/>
      <c r="M763" s="857"/>
      <c r="N763" s="992"/>
      <c r="O763" s="992">
        <f t="shared" si="139"/>
        <v>61.480769230769226</v>
      </c>
      <c r="P763" s="858">
        <f t="shared" si="141"/>
        <v>53.46153846153846</v>
      </c>
      <c r="Q763" s="858">
        <f t="shared" si="140"/>
        <v>8.0192307692307701</v>
      </c>
      <c r="R763" s="994">
        <f>NC_DKDD!G513</f>
        <v>0.01</v>
      </c>
    </row>
    <row r="764" spans="1:18" s="922" customFormat="1" ht="30.75" customHeight="1">
      <c r="A764" s="798" t="s">
        <v>900</v>
      </c>
      <c r="B764" s="799" t="s">
        <v>861</v>
      </c>
      <c r="C764" s="798" t="s">
        <v>377</v>
      </c>
      <c r="D764" s="792" t="s">
        <v>723</v>
      </c>
      <c r="E764" s="992" t="e">
        <f>NC_DKDD!H514</f>
        <v>#VALUE!</v>
      </c>
      <c r="F764" s="992"/>
      <c r="G764" s="992"/>
      <c r="H764" s="992"/>
      <c r="I764" s="992"/>
      <c r="J764" s="992"/>
      <c r="K764" s="992"/>
      <c r="L764" s="992"/>
      <c r="M764" s="857"/>
      <c r="N764" s="992"/>
      <c r="O764" s="992">
        <f t="shared" si="139"/>
        <v>30.740384615384613</v>
      </c>
      <c r="P764" s="858">
        <f t="shared" si="141"/>
        <v>26.73076923076923</v>
      </c>
      <c r="Q764" s="858">
        <f t="shared" si="140"/>
        <v>4.009615384615385</v>
      </c>
      <c r="R764" s="994">
        <f>NC_DKDD!G514</f>
        <v>5.0000000000000001E-3</v>
      </c>
    </row>
    <row r="765" spans="1:18" s="922" customFormat="1" ht="32.25" customHeight="1">
      <c r="A765" s="798" t="s">
        <v>901</v>
      </c>
      <c r="B765" s="799" t="s">
        <v>863</v>
      </c>
      <c r="C765" s="798" t="s">
        <v>375</v>
      </c>
      <c r="D765" s="792" t="s">
        <v>723</v>
      </c>
      <c r="E765" s="992" t="e">
        <f>NC_DKDD!H515</f>
        <v>#VALUE!</v>
      </c>
      <c r="F765" s="992"/>
      <c r="G765" s="992"/>
      <c r="H765" s="992"/>
      <c r="I765" s="992"/>
      <c r="J765" s="992"/>
      <c r="K765" s="992"/>
      <c r="L765" s="992"/>
      <c r="M765" s="857"/>
      <c r="N765" s="992"/>
      <c r="O765" s="992">
        <f t="shared" si="139"/>
        <v>79.924999999999983</v>
      </c>
      <c r="P765" s="858">
        <f t="shared" si="141"/>
        <v>69.499999999999986</v>
      </c>
      <c r="Q765" s="858">
        <f t="shared" si="140"/>
        <v>10.424999999999999</v>
      </c>
      <c r="R765" s="994">
        <f>NC_DKDD!G515</f>
        <v>1.2999999999999999E-2</v>
      </c>
    </row>
    <row r="766" spans="1:18" s="922" customFormat="1" ht="45.75" customHeight="1">
      <c r="A766" s="798">
        <v>13</v>
      </c>
      <c r="B766" s="799" t="s">
        <v>625</v>
      </c>
      <c r="C766" s="798" t="s">
        <v>532</v>
      </c>
      <c r="D766" s="792" t="s">
        <v>723</v>
      </c>
      <c r="E766" s="992" t="e">
        <f>NC_DKDD!H516</f>
        <v>#VALUE!</v>
      </c>
      <c r="F766" s="992"/>
      <c r="G766" s="992"/>
      <c r="H766" s="992"/>
      <c r="I766" s="992"/>
      <c r="J766" s="992"/>
      <c r="K766" s="992"/>
      <c r="L766" s="992"/>
      <c r="M766" s="857"/>
      <c r="N766" s="992"/>
      <c r="O766" s="992">
        <f t="shared" si="139"/>
        <v>1598.5</v>
      </c>
      <c r="P766" s="858">
        <f t="shared" si="141"/>
        <v>1390</v>
      </c>
      <c r="Q766" s="858">
        <f t="shared" si="140"/>
        <v>208.5</v>
      </c>
      <c r="R766" s="994">
        <f>NC_DKDD!G516</f>
        <v>0.26</v>
      </c>
    </row>
    <row r="767" spans="1:18" s="922" customFormat="1" ht="28.5">
      <c r="A767" s="798">
        <v>14</v>
      </c>
      <c r="B767" s="799" t="s">
        <v>875</v>
      </c>
      <c r="C767" s="798" t="s">
        <v>532</v>
      </c>
      <c r="D767" s="792" t="s">
        <v>723</v>
      </c>
      <c r="E767" s="992" t="e">
        <f>NC_DKDD!H517</f>
        <v>#VALUE!</v>
      </c>
      <c r="F767" s="992"/>
      <c r="G767" s="992"/>
      <c r="H767" s="992"/>
      <c r="I767" s="992"/>
      <c r="J767" s="992"/>
      <c r="K767" s="992"/>
      <c r="L767" s="992"/>
      <c r="M767" s="857"/>
      <c r="N767" s="992"/>
      <c r="O767" s="992">
        <f t="shared" si="139"/>
        <v>1598.5</v>
      </c>
      <c r="P767" s="858">
        <f t="shared" si="141"/>
        <v>1390</v>
      </c>
      <c r="Q767" s="858">
        <f t="shared" si="140"/>
        <v>208.5</v>
      </c>
      <c r="R767" s="994">
        <f>NC_DKDD!G517</f>
        <v>0.26</v>
      </c>
    </row>
    <row r="768" spans="1:18" s="922" customFormat="1" ht="30">
      <c r="A768" s="791" t="s">
        <v>1005</v>
      </c>
      <c r="B768" s="787" t="s">
        <v>908</v>
      </c>
      <c r="C768" s="798"/>
      <c r="D768" s="798"/>
      <c r="E768" s="990" t="e">
        <f>E769</f>
        <v>#VALUE!</v>
      </c>
      <c r="F768" s="990"/>
      <c r="G768" s="990"/>
      <c r="H768" s="990"/>
      <c r="I768" s="990"/>
      <c r="J768" s="990"/>
      <c r="K768" s="990"/>
      <c r="L768" s="796" t="e">
        <f>SUM(E768:K768)</f>
        <v>#VALUE!</v>
      </c>
      <c r="M768" s="796" t="e">
        <f>L768*'He so chung'!$D$17/100</f>
        <v>#VALUE!</v>
      </c>
      <c r="N768" s="796" t="e">
        <f>L768+M768</f>
        <v>#VALUE!</v>
      </c>
      <c r="O768" s="990">
        <f>O769</f>
        <v>799.25</v>
      </c>
      <c r="P768" s="858">
        <f t="shared" si="141"/>
        <v>695</v>
      </c>
      <c r="Q768" s="858">
        <f t="shared" si="140"/>
        <v>104.25</v>
      </c>
      <c r="R768" s="990">
        <f>R769</f>
        <v>0.13</v>
      </c>
    </row>
    <row r="769" spans="1:18" s="922" customFormat="1" ht="21.75" customHeight="1">
      <c r="A769" s="798">
        <v>1</v>
      </c>
      <c r="B769" s="799" t="s">
        <v>626</v>
      </c>
      <c r="C769" s="798" t="s">
        <v>532</v>
      </c>
      <c r="D769" s="792" t="s">
        <v>723</v>
      </c>
      <c r="E769" s="992" t="e">
        <f>NC_DKDD!H519</f>
        <v>#VALUE!</v>
      </c>
      <c r="F769" s="992"/>
      <c r="G769" s="992"/>
      <c r="H769" s="992"/>
      <c r="I769" s="992"/>
      <c r="J769" s="992"/>
      <c r="K769" s="992"/>
      <c r="L769" s="992"/>
      <c r="M769" s="857"/>
      <c r="N769" s="992"/>
      <c r="O769" s="992">
        <f t="shared" si="139"/>
        <v>799.25</v>
      </c>
      <c r="P769" s="858">
        <f t="shared" si="141"/>
        <v>695</v>
      </c>
      <c r="Q769" s="858">
        <f t="shared" si="140"/>
        <v>104.25</v>
      </c>
      <c r="R769" s="994">
        <f>NC_DKDD!G519</f>
        <v>0.13</v>
      </c>
    </row>
    <row r="770" spans="1:18" s="922" customFormat="1" ht="30">
      <c r="A770" s="791" t="s">
        <v>755</v>
      </c>
      <c r="B770" s="787" t="s">
        <v>909</v>
      </c>
      <c r="C770" s="798"/>
      <c r="D770" s="798"/>
      <c r="E770" s="990" t="e">
        <f>E771</f>
        <v>#VALUE!</v>
      </c>
      <c r="F770" s="990"/>
      <c r="G770" s="990"/>
      <c r="H770" s="990">
        <f>'Dcu-DKDD'!$H$149</f>
        <v>67.276859775641014</v>
      </c>
      <c r="I770" s="990">
        <f>'VL-DKDD'!$F$154</f>
        <v>642.6</v>
      </c>
      <c r="J770" s="990"/>
      <c r="K770" s="990"/>
      <c r="L770" s="796" t="e">
        <f>SUM(E770:K770)</f>
        <v>#VALUE!</v>
      </c>
      <c r="M770" s="796" t="e">
        <f>L770*'He so chung'!$D$17/100</f>
        <v>#VALUE!</v>
      </c>
      <c r="N770" s="796" t="e">
        <f>L770+M770</f>
        <v>#VALUE!</v>
      </c>
      <c r="O770" s="990">
        <f>O771</f>
        <v>319.69999999999993</v>
      </c>
      <c r="P770" s="858">
        <f t="shared" si="141"/>
        <v>277.99999999999994</v>
      </c>
      <c r="Q770" s="858">
        <f t="shared" si="140"/>
        <v>41.699999999999996</v>
      </c>
      <c r="R770" s="990">
        <f>R771</f>
        <v>5.1999999999999998E-2</v>
      </c>
    </row>
    <row r="771" spans="1:18" s="922" customFormat="1" ht="28.5">
      <c r="A771" s="798">
        <v>1</v>
      </c>
      <c r="B771" s="799" t="s">
        <v>627</v>
      </c>
      <c r="C771" s="798" t="s">
        <v>532</v>
      </c>
      <c r="D771" s="792" t="s">
        <v>723</v>
      </c>
      <c r="E771" s="992" t="e">
        <f>NC_DKDD!H521</f>
        <v>#VALUE!</v>
      </c>
      <c r="F771" s="992"/>
      <c r="G771" s="992"/>
      <c r="H771" s="992"/>
      <c r="I771" s="992"/>
      <c r="J771" s="992"/>
      <c r="K771" s="992"/>
      <c r="L771" s="992"/>
      <c r="M771" s="857"/>
      <c r="N771" s="992"/>
      <c r="O771" s="992">
        <f t="shared" si="139"/>
        <v>319.69999999999993</v>
      </c>
      <c r="P771" s="858">
        <f t="shared" si="141"/>
        <v>277.99999999999994</v>
      </c>
      <c r="Q771" s="858">
        <f t="shared" si="140"/>
        <v>41.699999999999996</v>
      </c>
      <c r="R771" s="994">
        <f>NC_DKDD!G521</f>
        <v>5.1999999999999998E-2</v>
      </c>
    </row>
    <row r="772" spans="1:18" ht="21" customHeight="1">
      <c r="A772" s="437"/>
      <c r="B772" s="948" t="s">
        <v>533</v>
      </c>
      <c r="C772" s="439"/>
      <c r="D772" s="437"/>
      <c r="E772" s="803"/>
      <c r="F772" s="803"/>
      <c r="G772" s="804"/>
      <c r="H772" s="803"/>
      <c r="I772" s="803"/>
      <c r="J772" s="805"/>
      <c r="K772" s="805"/>
      <c r="L772" s="805"/>
      <c r="M772" s="419"/>
      <c r="N772" s="419"/>
      <c r="O772" s="901"/>
      <c r="P772" s="420"/>
      <c r="Q772" s="420"/>
    </row>
    <row r="773" spans="1:18" ht="38.450000000000003" customHeight="1">
      <c r="A773" s="455"/>
      <c r="B773" s="1072" t="s">
        <v>864</v>
      </c>
      <c r="C773" s="1072"/>
      <c r="D773" s="1072"/>
      <c r="E773" s="1072"/>
      <c r="F773" s="1072"/>
      <c r="G773" s="1072"/>
      <c r="H773" s="1072"/>
      <c r="I773" s="1072"/>
      <c r="J773" s="1072"/>
      <c r="K773" s="1072"/>
      <c r="L773" s="1072"/>
      <c r="M773" s="1072"/>
      <c r="N773" s="1072"/>
      <c r="O773" s="1072"/>
      <c r="P773" s="420"/>
      <c r="Q773" s="420"/>
    </row>
    <row r="774" spans="1:18" ht="38.450000000000003" customHeight="1">
      <c r="A774" s="455"/>
      <c r="B774" s="1069" t="s">
        <v>744</v>
      </c>
      <c r="C774" s="1069"/>
      <c r="D774" s="1069"/>
      <c r="E774" s="1069"/>
      <c r="F774" s="1069"/>
      <c r="G774" s="1069"/>
      <c r="H774" s="1069"/>
      <c r="I774" s="1069"/>
      <c r="J774" s="1069"/>
      <c r="K774" s="1069"/>
      <c r="L774" s="1069"/>
      <c r="M774" s="1069"/>
      <c r="N774" s="1069"/>
      <c r="O774" s="1069"/>
      <c r="P774" s="420"/>
      <c r="Q774" s="420"/>
    </row>
    <row r="775" spans="1:18" ht="49.9" customHeight="1">
      <c r="A775" s="455"/>
      <c r="B775" s="1072" t="s">
        <v>807</v>
      </c>
      <c r="C775" s="1072"/>
      <c r="D775" s="1072"/>
      <c r="E775" s="1072"/>
      <c r="F775" s="1072"/>
      <c r="G775" s="1072"/>
      <c r="H775" s="1072"/>
      <c r="I775" s="1072"/>
      <c r="J775" s="1072"/>
      <c r="K775" s="1072"/>
      <c r="L775" s="1072"/>
      <c r="M775" s="1072"/>
      <c r="N775" s="1072"/>
      <c r="O775" s="1072"/>
      <c r="P775" s="420"/>
      <c r="Q775" s="420"/>
    </row>
    <row r="776" spans="1:18" ht="21.6" customHeight="1">
      <c r="A776" s="455"/>
      <c r="B776" s="864"/>
      <c r="C776" s="864"/>
      <c r="D776" s="999"/>
      <c r="E776" s="864"/>
      <c r="F776" s="864"/>
      <c r="G776" s="864"/>
      <c r="H776" s="864"/>
      <c r="I776" s="864"/>
      <c r="J776" s="864"/>
      <c r="K776" s="864"/>
      <c r="L776" s="864"/>
      <c r="M776" s="864"/>
      <c r="N776" s="864"/>
      <c r="O776" s="864"/>
      <c r="P776" s="420"/>
      <c r="Q776" s="420"/>
    </row>
    <row r="777" spans="1:18" ht="49.9" customHeight="1">
      <c r="A777" s="455"/>
      <c r="B777" s="864"/>
      <c r="C777" s="864"/>
      <c r="D777" s="999"/>
      <c r="E777" s="864"/>
      <c r="F777" s="864"/>
      <c r="G777" s="864"/>
      <c r="H777" s="864"/>
      <c r="I777" s="864"/>
      <c r="J777" s="864"/>
      <c r="K777" s="864"/>
      <c r="L777" s="864"/>
      <c r="M777" s="864"/>
      <c r="N777" s="864"/>
      <c r="O777" s="864"/>
      <c r="P777" s="420"/>
      <c r="Q777" s="420"/>
    </row>
  </sheetData>
  <mergeCells count="267">
    <mergeCell ref="A336:A340"/>
    <mergeCell ref="B336:B340"/>
    <mergeCell ref="B209:B213"/>
    <mergeCell ref="A329:A333"/>
    <mergeCell ref="A321:A322"/>
    <mergeCell ref="B321:B322"/>
    <mergeCell ref="A209:A213"/>
    <mergeCell ref="B216:B220"/>
    <mergeCell ref="A216:A220"/>
    <mergeCell ref="A221:A225"/>
    <mergeCell ref="A341:A345"/>
    <mergeCell ref="B341:B345"/>
    <mergeCell ref="C341:C345"/>
    <mergeCell ref="C447:C451"/>
    <mergeCell ref="A352:A356"/>
    <mergeCell ref="A588:A592"/>
    <mergeCell ref="B588:B592"/>
    <mergeCell ref="B773:O773"/>
    <mergeCell ref="B775:O775"/>
    <mergeCell ref="B698:O698"/>
    <mergeCell ref="A701:O701"/>
    <mergeCell ref="A704:A705"/>
    <mergeCell ref="B704:B705"/>
    <mergeCell ref="C704:C705"/>
    <mergeCell ref="D704:D705"/>
    <mergeCell ref="E704:L704"/>
    <mergeCell ref="O704:O705"/>
    <mergeCell ref="A737:A741"/>
    <mergeCell ref="C707:C711"/>
    <mergeCell ref="B352:B356"/>
    <mergeCell ref="A459:A463"/>
    <mergeCell ref="A493:O493"/>
    <mergeCell ref="A571:A575"/>
    <mergeCell ref="B571:B575"/>
    <mergeCell ref="A470:A474"/>
    <mergeCell ref="B374:O374"/>
    <mergeCell ref="A447:A451"/>
    <mergeCell ref="B470:B474"/>
    <mergeCell ref="B490:O490"/>
    <mergeCell ref="N378:N379"/>
    <mergeCell ref="B489:O489"/>
    <mergeCell ref="B442:B446"/>
    <mergeCell ref="B439:B440"/>
    <mergeCell ref="M439:M440"/>
    <mergeCell ref="C439:C440"/>
    <mergeCell ref="C442:C446"/>
    <mergeCell ref="E439:L439"/>
    <mergeCell ref="B491:O491"/>
    <mergeCell ref="C571:C575"/>
    <mergeCell ref="C352:C356"/>
    <mergeCell ref="B221:B225"/>
    <mergeCell ref="B313:O313"/>
    <mergeCell ref="N321:N322"/>
    <mergeCell ref="B492:O492"/>
    <mergeCell ref="B454:B458"/>
    <mergeCell ref="B459:B463"/>
    <mergeCell ref="C459:C463"/>
    <mergeCell ref="B329:B333"/>
    <mergeCell ref="C221:C225"/>
    <mergeCell ref="B314:O314"/>
    <mergeCell ref="B315:O315"/>
    <mergeCell ref="B316:O316"/>
    <mergeCell ref="B324:B328"/>
    <mergeCell ref="C329:C333"/>
    <mergeCell ref="C324:C328"/>
    <mergeCell ref="O321:O322"/>
    <mergeCell ref="M321:M322"/>
    <mergeCell ref="C470:C474"/>
    <mergeCell ref="A113:A116"/>
    <mergeCell ref="C130:C133"/>
    <mergeCell ref="C113:C116"/>
    <mergeCell ref="C117:C120"/>
    <mergeCell ref="A454:A458"/>
    <mergeCell ref="B447:B451"/>
    <mergeCell ref="B117:B120"/>
    <mergeCell ref="B130:B133"/>
    <mergeCell ref="A324:A328"/>
    <mergeCell ref="C321:C322"/>
    <mergeCell ref="D321:D322"/>
    <mergeCell ref="M201:M202"/>
    <mergeCell ref="A318:O318"/>
    <mergeCell ref="B252:O252"/>
    <mergeCell ref="A232:A236"/>
    <mergeCell ref="A204:A208"/>
    <mergeCell ref="E259:L259"/>
    <mergeCell ref="E201:L201"/>
    <mergeCell ref="B201:B202"/>
    <mergeCell ref="B371:O371"/>
    <mergeCell ref="A117:A120"/>
    <mergeCell ref="A442:A446"/>
    <mergeCell ref="A439:A440"/>
    <mergeCell ref="B253:O253"/>
    <mergeCell ref="B372:O372"/>
    <mergeCell ref="E321:L321"/>
    <mergeCell ref="B254:O254"/>
    <mergeCell ref="O259:O260"/>
    <mergeCell ref="C336:C340"/>
    <mergeCell ref="B251:O251"/>
    <mergeCell ref="C232:C236"/>
    <mergeCell ref="C216:C220"/>
    <mergeCell ref="C209:C213"/>
    <mergeCell ref="B232:B236"/>
    <mergeCell ref="C204:C208"/>
    <mergeCell ref="B204:B208"/>
    <mergeCell ref="N201:N202"/>
    <mergeCell ref="C201:C202"/>
    <mergeCell ref="B191:O191"/>
    <mergeCell ref="A198:O198"/>
    <mergeCell ref="A201:A202"/>
    <mergeCell ref="B196:O196"/>
    <mergeCell ref="D201:D202"/>
    <mergeCell ref="B193:O193"/>
    <mergeCell ref="B192:O192"/>
    <mergeCell ref="B195:O195"/>
    <mergeCell ref="O201:O202"/>
    <mergeCell ref="B197:O197"/>
    <mergeCell ref="N100:N101"/>
    <mergeCell ref="B96:O96"/>
    <mergeCell ref="E100:L100"/>
    <mergeCell ref="M100:M101"/>
    <mergeCell ref="D100:D101"/>
    <mergeCell ref="C100:C101"/>
    <mergeCell ref="O100:O101"/>
    <mergeCell ref="B108:B111"/>
    <mergeCell ref="C16:C18"/>
    <mergeCell ref="B12:B14"/>
    <mergeCell ref="A12:A14"/>
    <mergeCell ref="C12:C14"/>
    <mergeCell ref="A97:O97"/>
    <mergeCell ref="B94:O94"/>
    <mergeCell ref="C31:C33"/>
    <mergeCell ref="B31:B33"/>
    <mergeCell ref="B90:O90"/>
    <mergeCell ref="B91:O91"/>
    <mergeCell ref="A130:A133"/>
    <mergeCell ref="A19:A21"/>
    <mergeCell ref="A108:A111"/>
    <mergeCell ref="A100:A101"/>
    <mergeCell ref="A104:A107"/>
    <mergeCell ref="A31:A33"/>
    <mergeCell ref="A9:A11"/>
    <mergeCell ref="B9:B11"/>
    <mergeCell ref="C9:C11"/>
    <mergeCell ref="A16:A18"/>
    <mergeCell ref="B16:B18"/>
    <mergeCell ref="A556:A557"/>
    <mergeCell ref="B19:B21"/>
    <mergeCell ref="C19:C21"/>
    <mergeCell ref="B92:O92"/>
    <mergeCell ref="B93:O93"/>
    <mergeCell ref="C662:C666"/>
    <mergeCell ref="B700:O700"/>
    <mergeCell ref="B699:O699"/>
    <mergeCell ref="C639:C643"/>
    <mergeCell ref="B639:B643"/>
    <mergeCell ref="M631:M632"/>
    <mergeCell ref="N631:N632"/>
    <mergeCell ref="B634:B638"/>
    <mergeCell ref="D631:D632"/>
    <mergeCell ref="A628:O628"/>
    <mergeCell ref="O556:O557"/>
    <mergeCell ref="M556:M557"/>
    <mergeCell ref="A559:A563"/>
    <mergeCell ref="A564:A568"/>
    <mergeCell ref="C588:C592"/>
    <mergeCell ref="C559:C563"/>
    <mergeCell ref="C576:C580"/>
    <mergeCell ref="O6:O7"/>
    <mergeCell ref="C454:C458"/>
    <mergeCell ref="D439:D440"/>
    <mergeCell ref="B95:O95"/>
    <mergeCell ref="C108:C111"/>
    <mergeCell ref="B113:B116"/>
    <mergeCell ref="C104:C107"/>
    <mergeCell ref="B100:B101"/>
    <mergeCell ref="B104:B107"/>
    <mergeCell ref="B194:O194"/>
    <mergeCell ref="C712:C716"/>
    <mergeCell ref="A1:O1"/>
    <mergeCell ref="A3:O3"/>
    <mergeCell ref="A6:A7"/>
    <mergeCell ref="B6:B7"/>
    <mergeCell ref="C6:C7"/>
    <mergeCell ref="D6:D7"/>
    <mergeCell ref="E6:L6"/>
    <mergeCell ref="M6:M7"/>
    <mergeCell ref="N6:N7"/>
    <mergeCell ref="B576:B580"/>
    <mergeCell ref="C737:C741"/>
    <mergeCell ref="A707:A711"/>
    <mergeCell ref="A719:A723"/>
    <mergeCell ref="B719:B723"/>
    <mergeCell ref="A724:A728"/>
    <mergeCell ref="C724:C728"/>
    <mergeCell ref="B724:B728"/>
    <mergeCell ref="B737:B741"/>
    <mergeCell ref="B707:B711"/>
    <mergeCell ref="A712:A716"/>
    <mergeCell ref="C719:C723"/>
    <mergeCell ref="B662:B666"/>
    <mergeCell ref="A645:A649"/>
    <mergeCell ref="A631:A632"/>
    <mergeCell ref="A662:A666"/>
    <mergeCell ref="C650:C654"/>
    <mergeCell ref="A639:A643"/>
    <mergeCell ref="C631:C632"/>
    <mergeCell ref="B712:B716"/>
    <mergeCell ref="B559:B563"/>
    <mergeCell ref="A650:A654"/>
    <mergeCell ref="B650:B654"/>
    <mergeCell ref="B625:O625"/>
    <mergeCell ref="C634:C638"/>
    <mergeCell ref="B631:B632"/>
    <mergeCell ref="C645:C649"/>
    <mergeCell ref="A634:A638"/>
    <mergeCell ref="B624:O624"/>
    <mergeCell ref="A576:A580"/>
    <mergeCell ref="D495:D496"/>
    <mergeCell ref="B556:B557"/>
    <mergeCell ref="C556:C557"/>
    <mergeCell ref="B550:O550"/>
    <mergeCell ref="D556:D557"/>
    <mergeCell ref="E556:L556"/>
    <mergeCell ref="O495:O496"/>
    <mergeCell ref="B552:O552"/>
    <mergeCell ref="A553:O553"/>
    <mergeCell ref="B551:O551"/>
    <mergeCell ref="N495:N496"/>
    <mergeCell ref="M495:M496"/>
    <mergeCell ref="M259:M260"/>
    <mergeCell ref="N259:N260"/>
    <mergeCell ref="B373:O373"/>
    <mergeCell ref="A375:O375"/>
    <mergeCell ref="A378:A379"/>
    <mergeCell ref="A495:A496"/>
    <mergeCell ref="B495:B496"/>
    <mergeCell ref="C495:C496"/>
    <mergeCell ref="E378:L378"/>
    <mergeCell ref="M704:M705"/>
    <mergeCell ref="N704:N705"/>
    <mergeCell ref="B626:O626"/>
    <mergeCell ref="O631:O632"/>
    <mergeCell ref="E631:L631"/>
    <mergeCell ref="B645:B649"/>
    <mergeCell ref="N556:N557"/>
    <mergeCell ref="B549:O549"/>
    <mergeCell ref="E495:L495"/>
    <mergeCell ref="B432:O432"/>
    <mergeCell ref="B564:B568"/>
    <mergeCell ref="C564:C568"/>
    <mergeCell ref="A436:O436"/>
    <mergeCell ref="O439:O440"/>
    <mergeCell ref="C378:C379"/>
    <mergeCell ref="O378:O379"/>
    <mergeCell ref="M378:M379"/>
    <mergeCell ref="N439:N440"/>
    <mergeCell ref="D378:D379"/>
    <mergeCell ref="B378:B379"/>
    <mergeCell ref="B774:O774"/>
    <mergeCell ref="A256:O256"/>
    <mergeCell ref="A259:A260"/>
    <mergeCell ref="B259:B260"/>
    <mergeCell ref="C259:C260"/>
    <mergeCell ref="D259:D260"/>
    <mergeCell ref="B433:O433"/>
    <mergeCell ref="B434:O434"/>
    <mergeCell ref="B435:O435"/>
  </mergeCells>
  <phoneticPr fontId="45" type="noConversion"/>
  <printOptions horizontalCentered="1"/>
  <pageMargins left="0.52" right="0.2" top="0.45" bottom="0.55000000000000004" header="0.26" footer="0.39370078740157499"/>
  <pageSetup paperSize="9" scale="70" firstPageNumber="110" fitToHeight="0" orientation="landscape" useFirstPageNumber="1" r:id="rId1"/>
  <headerFooter alignWithMargins="0">
    <oddFooter>&amp;C&amp;P</oddFooter>
  </headerFooter>
  <rowBreaks count="8" manualBreakCount="8">
    <brk id="96" max="16383" man="1"/>
    <brk id="197" max="16383" man="1"/>
    <brk id="317" max="16383" man="1"/>
    <brk id="435" max="16383" man="1"/>
    <brk id="492" max="16383" man="1"/>
    <brk id="552" max="16383" man="1"/>
    <brk id="627" max="16383" man="1"/>
    <brk id="700" max="16383" man="1"/>
  </rowBreaks>
  <ignoredErrors>
    <ignoredError sqref="L16"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He so chung</vt:lpstr>
      <vt:lpstr>LUONGNGAY</vt:lpstr>
      <vt:lpstr>BanggiaTB</vt:lpstr>
      <vt:lpstr>BanggiaVL</vt:lpstr>
      <vt:lpstr>BanggiaDC</vt:lpstr>
      <vt:lpstr>TRICH DO-DT</vt:lpstr>
      <vt:lpstr>TRICH DO-NT</vt:lpstr>
      <vt:lpstr>Bang gia</vt:lpstr>
      <vt:lpstr>1,DG-capmoi</vt:lpstr>
      <vt:lpstr>2,DG-capdoi (2)</vt:lpstr>
      <vt:lpstr>2,DG-capdoi</vt:lpstr>
      <vt:lpstr>3,DG-dangkybiendong</vt:lpstr>
      <vt:lpstr>4,DG-trichlucHSDC</vt:lpstr>
      <vt:lpstr>NC_DKDD</vt:lpstr>
      <vt:lpstr>Dcu-DKDD</vt:lpstr>
      <vt:lpstr>VL-DKDD</vt:lpstr>
      <vt:lpstr>TB-DKDD</vt:lpstr>
      <vt:lpstr>NL-DKDD</vt:lpstr>
      <vt:lpstr>Sheet1</vt:lpstr>
      <vt:lpstr>'1,DG-capmoi'!Print_Titles</vt:lpstr>
      <vt:lpstr>'4,DG-trichlucHSDC'!Print_Titles</vt:lpstr>
      <vt:lpstr>BanggiaDC!Print_Titles</vt:lpstr>
      <vt:lpstr>BanggiaVL!Print_Titles</vt:lpstr>
    </vt:vector>
  </TitlesOfParts>
  <Company>TTKT TN&amp;MT QUANG TRI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ANH TUAN</dc:creator>
  <cp:lastModifiedBy>HOAI ANH</cp:lastModifiedBy>
  <cp:lastPrinted>2018-08-07T07:27:45Z</cp:lastPrinted>
  <dcterms:created xsi:type="dcterms:W3CDTF">2006-05-07T14:00:12Z</dcterms:created>
  <dcterms:modified xsi:type="dcterms:W3CDTF">2018-11-05T02:23:16Z</dcterms:modified>
</cp:coreProperties>
</file>