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8700" tabRatio="834" activeTab="8"/>
  </bookViews>
  <sheets>
    <sheet name="He so chung" sheetId="43" r:id="rId1"/>
    <sheet name="LUONGNGAY" sheetId="3" r:id="rId2"/>
    <sheet name="Gia-DC" sheetId="48" r:id="rId3"/>
    <sheet name="Gia-VL" sheetId="47" r:id="rId4"/>
    <sheet name="Gia-TB" sheetId="49" r:id="rId5"/>
    <sheet name="DONGIA-NT-TH" sheetId="46" state="hidden" r:id="rId6"/>
    <sheet name="DONGIA-DT-TH" sheetId="45" state="hidden" r:id="rId7"/>
    <sheet name="DGTH" sheetId="51" r:id="rId8"/>
    <sheet name="IV. DONGIA CHỈNH LÝ" sheetId="37" r:id="rId9"/>
    <sheet name="NC-CLBD" sheetId="35" r:id="rId10"/>
    <sheet name="NL-CLBD" sheetId="52" r:id="rId11"/>
    <sheet name="DCu-CLBD" sheetId="30" r:id="rId12"/>
    <sheet name="VL-CLBD" sheetId="31" r:id="rId13"/>
    <sheet name="TBI-CLBD" sheetId="32" r:id="rId14"/>
  </sheets>
  <externalReferences>
    <externalReference r:id="rId15"/>
  </externalReferences>
  <definedNames>
    <definedName name="_xlnm.Print_Titles" localSheetId="7">DGTH!$3:$4</definedName>
    <definedName name="_xlnm.Print_Titles" localSheetId="6">'DONGIA-DT-TH'!$3:$5</definedName>
    <definedName name="_xlnm.Print_Titles" localSheetId="5">'DONGIA-NT-TH'!$3:$4</definedName>
    <definedName name="_xlnm.Print_Titles" localSheetId="2">'Gia-DC'!$1:$3</definedName>
    <definedName name="_xlnm.Print_Titles" localSheetId="4">'Gia-TB'!$1:$3</definedName>
    <definedName name="_xlnm.Print_Titles" localSheetId="3">'Gia-VL'!$1:$3</definedName>
    <definedName name="_xlnm.Print_Titles" localSheetId="8">'IV. DONGIA CHỈNH LÝ'!$285:$286</definedName>
  </definedNames>
  <calcPr calcId="144525" fullCalcOnLoad="1"/>
</workbook>
</file>

<file path=xl/calcChain.xml><?xml version="1.0" encoding="utf-8"?>
<calcChain xmlns="http://schemas.openxmlformats.org/spreadsheetml/2006/main">
  <c r="I17" i="3" l="1"/>
  <c r="D19" i="43"/>
  <c r="T18" i="37"/>
  <c r="H2" i="35"/>
  <c r="E29" i="35"/>
  <c r="T22" i="37"/>
  <c r="U22" i="37"/>
  <c r="T23" i="37"/>
  <c r="U23" i="37"/>
  <c r="T24" i="37"/>
  <c r="U24" i="37"/>
  <c r="T25" i="37"/>
  <c r="U25" i="37"/>
  <c r="T26" i="37"/>
  <c r="U26" i="37"/>
  <c r="T27" i="37"/>
  <c r="T28" i="37"/>
  <c r="T29" i="37"/>
  <c r="T30" i="37"/>
  <c r="U30" i="37"/>
  <c r="T31" i="37"/>
  <c r="S31" i="37"/>
  <c r="T32" i="37"/>
  <c r="U32" i="37"/>
  <c r="T33" i="37"/>
  <c r="U33" i="37"/>
  <c r="T34" i="37"/>
  <c r="S34" i="37"/>
  <c r="T35" i="37"/>
  <c r="U35" i="37"/>
  <c r="T36" i="37"/>
  <c r="U36" i="37"/>
  <c r="S36" i="37"/>
  <c r="T37" i="37"/>
  <c r="U37" i="37"/>
  <c r="T38" i="37"/>
  <c r="S38" i="37"/>
  <c r="T39" i="37"/>
  <c r="U39" i="37"/>
  <c r="T40" i="37"/>
  <c r="U40" i="37"/>
  <c r="T41" i="37"/>
  <c r="U41" i="37"/>
  <c r="T42" i="37"/>
  <c r="U42" i="37"/>
  <c r="T43" i="37"/>
  <c r="T44" i="37"/>
  <c r="T45" i="37"/>
  <c r="T46" i="37"/>
  <c r="U46" i="37"/>
  <c r="T47" i="37"/>
  <c r="U47" i="37"/>
  <c r="T48" i="37"/>
  <c r="T49" i="37"/>
  <c r="U49" i="37"/>
  <c r="T50" i="37"/>
  <c r="S20" i="37"/>
  <c r="Q20" i="37"/>
  <c r="G20" i="37"/>
  <c r="T51" i="37"/>
  <c r="T52" i="37"/>
  <c r="U52" i="37"/>
  <c r="T53" i="37"/>
  <c r="U53" i="37"/>
  <c r="T59" i="37"/>
  <c r="U59" i="37"/>
  <c r="T60" i="37"/>
  <c r="U60" i="37"/>
  <c r="T61" i="37"/>
  <c r="T62" i="37"/>
  <c r="T63" i="37"/>
  <c r="U63" i="37"/>
  <c r="T64" i="37"/>
  <c r="U64" i="37"/>
  <c r="T65" i="37"/>
  <c r="U65" i="37"/>
  <c r="T66" i="37"/>
  <c r="T67" i="37"/>
  <c r="U67" i="37"/>
  <c r="T68" i="37"/>
  <c r="T69" i="37"/>
  <c r="T70" i="37"/>
  <c r="U70" i="37"/>
  <c r="T71" i="37"/>
  <c r="U71" i="37"/>
  <c r="T72" i="37"/>
  <c r="T73" i="37"/>
  <c r="T74" i="37"/>
  <c r="U74" i="37"/>
  <c r="T75" i="37"/>
  <c r="T76" i="37"/>
  <c r="E45" i="35"/>
  <c r="T77" i="37"/>
  <c r="U77" i="37"/>
  <c r="T78" i="37"/>
  <c r="U78" i="37"/>
  <c r="T79" i="37"/>
  <c r="U79" i="37"/>
  <c r="T80" i="37"/>
  <c r="U80" i="37"/>
  <c r="T81" i="37"/>
  <c r="U81" i="37"/>
  <c r="T82" i="37"/>
  <c r="T83" i="37"/>
  <c r="T84" i="37"/>
  <c r="U84" i="37"/>
  <c r="T85" i="37"/>
  <c r="U85" i="37"/>
  <c r="T86" i="37"/>
  <c r="U86" i="37"/>
  <c r="T87" i="37"/>
  <c r="U87" i="37"/>
  <c r="S87" i="37"/>
  <c r="T88" i="37"/>
  <c r="U88" i="37"/>
  <c r="T89" i="37"/>
  <c r="U89" i="37"/>
  <c r="T90" i="37"/>
  <c r="S90" i="37"/>
  <c r="T91" i="37"/>
  <c r="U91" i="37"/>
  <c r="T92" i="37"/>
  <c r="S92" i="37"/>
  <c r="T93" i="37"/>
  <c r="U93" i="37"/>
  <c r="T94" i="37"/>
  <c r="S94" i="37"/>
  <c r="T95" i="37"/>
  <c r="U95" i="37"/>
  <c r="T96" i="37"/>
  <c r="T97" i="37"/>
  <c r="U97" i="37"/>
  <c r="T98" i="37"/>
  <c r="U98" i="37"/>
  <c r="T99" i="37"/>
  <c r="U99" i="37"/>
  <c r="T100" i="37"/>
  <c r="U100" i="37"/>
  <c r="T101" i="37"/>
  <c r="T102" i="37"/>
  <c r="T103" i="37"/>
  <c r="T104" i="37"/>
  <c r="U104" i="37"/>
  <c r="T105" i="37"/>
  <c r="U105" i="37"/>
  <c r="T106" i="37"/>
  <c r="U106" i="37"/>
  <c r="T107" i="37"/>
  <c r="U107" i="37"/>
  <c r="T108" i="37"/>
  <c r="T109" i="37"/>
  <c r="T110" i="37"/>
  <c r="T111" i="37"/>
  <c r="U111" i="37"/>
  <c r="T117" i="37"/>
  <c r="U117" i="37"/>
  <c r="T118" i="37"/>
  <c r="U118" i="37"/>
  <c r="T119" i="37"/>
  <c r="T120" i="37"/>
  <c r="T121" i="37"/>
  <c r="U121" i="37"/>
  <c r="S121" i="37"/>
  <c r="Q121" i="37"/>
  <c r="G121" i="37"/>
  <c r="T122" i="37"/>
  <c r="U122" i="37"/>
  <c r="T123" i="37"/>
  <c r="U123" i="37"/>
  <c r="T124" i="37"/>
  <c r="T125" i="37"/>
  <c r="T126" i="37"/>
  <c r="T127" i="37"/>
  <c r="T128" i="37"/>
  <c r="T129" i="37"/>
  <c r="U129" i="37"/>
  <c r="T130" i="37"/>
  <c r="T131" i="37"/>
  <c r="T132" i="37"/>
  <c r="U132" i="37"/>
  <c r="T133" i="37"/>
  <c r="U133" i="37"/>
  <c r="T134" i="37"/>
  <c r="T135" i="37"/>
  <c r="U135" i="37"/>
  <c r="T136" i="37"/>
  <c r="U136" i="37"/>
  <c r="T137" i="37"/>
  <c r="U137" i="37"/>
  <c r="T138" i="37"/>
  <c r="U138" i="37"/>
  <c r="T139" i="37"/>
  <c r="T140" i="37"/>
  <c r="U140" i="37"/>
  <c r="S140" i="37"/>
  <c r="T141" i="37"/>
  <c r="T142" i="37"/>
  <c r="T143" i="37"/>
  <c r="S143" i="37"/>
  <c r="T144" i="37"/>
  <c r="U144" i="37"/>
  <c r="T145" i="37"/>
  <c r="S145" i="37"/>
  <c r="T146" i="37"/>
  <c r="U146" i="37"/>
  <c r="T147" i="37"/>
  <c r="U147" i="37"/>
  <c r="T148" i="37"/>
  <c r="S148" i="37"/>
  <c r="T149" i="37"/>
  <c r="U149" i="37"/>
  <c r="T150" i="37"/>
  <c r="S150" i="37"/>
  <c r="T151" i="37"/>
  <c r="U151" i="37"/>
  <c r="T152" i="37"/>
  <c r="S152" i="37"/>
  <c r="T153" i="37"/>
  <c r="U153" i="37"/>
  <c r="T154" i="37"/>
  <c r="T155" i="37"/>
  <c r="U155" i="37"/>
  <c r="T156" i="37"/>
  <c r="U156" i="37"/>
  <c r="T157" i="37"/>
  <c r="U157" i="37"/>
  <c r="T158" i="37"/>
  <c r="U158" i="37"/>
  <c r="T159" i="37"/>
  <c r="T160" i="37"/>
  <c r="T161" i="37"/>
  <c r="U161" i="37"/>
  <c r="T162" i="37"/>
  <c r="T163" i="37"/>
  <c r="U163" i="37"/>
  <c r="T164" i="37"/>
  <c r="U164" i="37"/>
  <c r="T165" i="37"/>
  <c r="U165" i="37"/>
  <c r="T166" i="37"/>
  <c r="T167" i="37"/>
  <c r="T168" i="37"/>
  <c r="T169" i="37"/>
  <c r="U169" i="37"/>
  <c r="T170" i="37"/>
  <c r="U170" i="37"/>
  <c r="T176" i="37"/>
  <c r="U176" i="37"/>
  <c r="T177" i="37"/>
  <c r="T178" i="37"/>
  <c r="T179" i="37"/>
  <c r="U179" i="37"/>
  <c r="S179" i="37"/>
  <c r="Q179" i="37"/>
  <c r="G179" i="37"/>
  <c r="T180" i="37"/>
  <c r="U180" i="37"/>
  <c r="S180" i="37"/>
  <c r="Q180" i="37"/>
  <c r="G180" i="37"/>
  <c r="T181" i="37"/>
  <c r="U181" i="37"/>
  <c r="T182" i="37"/>
  <c r="U182" i="37"/>
  <c r="T183" i="37"/>
  <c r="T184" i="37"/>
  <c r="U184" i="37"/>
  <c r="T185" i="37"/>
  <c r="T186" i="37"/>
  <c r="T187" i="37"/>
  <c r="U187" i="37"/>
  <c r="Q187" i="37"/>
  <c r="G187" i="37"/>
  <c r="T188" i="37"/>
  <c r="U188" i="37"/>
  <c r="T189" i="37"/>
  <c r="U189" i="37"/>
  <c r="M29" i="35"/>
  <c r="F189" i="37"/>
  <c r="S189" i="37"/>
  <c r="Q189" i="37"/>
  <c r="G189" i="37"/>
  <c r="T190" i="37"/>
  <c r="T191" i="37"/>
  <c r="U191" i="37"/>
  <c r="S191" i="37"/>
  <c r="Q191" i="37"/>
  <c r="G191" i="37"/>
  <c r="T192" i="37"/>
  <c r="T193" i="37"/>
  <c r="U193" i="37"/>
  <c r="S193" i="37"/>
  <c r="Q193" i="37"/>
  <c r="G193" i="37"/>
  <c r="T194" i="37"/>
  <c r="U194" i="37"/>
  <c r="T195" i="37"/>
  <c r="U195" i="37"/>
  <c r="T196" i="37"/>
  <c r="U196" i="37"/>
  <c r="T197" i="37"/>
  <c r="U197" i="37"/>
  <c r="T198" i="37"/>
  <c r="U198" i="37"/>
  <c r="T199" i="37"/>
  <c r="T200" i="37"/>
  <c r="T201" i="37"/>
  <c r="T202" i="37"/>
  <c r="U202" i="37"/>
  <c r="T203" i="37"/>
  <c r="U203" i="37"/>
  <c r="T204" i="37"/>
  <c r="U204" i="37"/>
  <c r="S204" i="37"/>
  <c r="T205" i="37"/>
  <c r="U205" i="37"/>
  <c r="T206" i="37"/>
  <c r="U206" i="37"/>
  <c r="T207" i="37"/>
  <c r="S207" i="37"/>
  <c r="T208" i="37"/>
  <c r="U208" i="37"/>
  <c r="T209" i="37"/>
  <c r="S209" i="37"/>
  <c r="T210" i="37"/>
  <c r="U210" i="37"/>
  <c r="T211" i="37"/>
  <c r="S211" i="37"/>
  <c r="T212" i="37"/>
  <c r="U212" i="37"/>
  <c r="T213" i="37"/>
  <c r="S213" i="37"/>
  <c r="T214" i="37"/>
  <c r="U214" i="37"/>
  <c r="T215" i="37"/>
  <c r="U215" i="37"/>
  <c r="T216" i="37"/>
  <c r="U216" i="37"/>
  <c r="T217" i="37"/>
  <c r="T218" i="37"/>
  <c r="T219" i="37"/>
  <c r="T220" i="37"/>
  <c r="U220" i="37"/>
  <c r="T221" i="37"/>
  <c r="T222" i="37"/>
  <c r="U222" i="37"/>
  <c r="T223" i="37"/>
  <c r="U223" i="37"/>
  <c r="T224" i="37"/>
  <c r="T225" i="37"/>
  <c r="T226" i="37"/>
  <c r="U226" i="37"/>
  <c r="T227" i="37"/>
  <c r="U227" i="37"/>
  <c r="T228" i="37"/>
  <c r="U228" i="37"/>
  <c r="T235" i="37"/>
  <c r="U235" i="37"/>
  <c r="T236" i="37"/>
  <c r="T237" i="37"/>
  <c r="G237" i="37"/>
  <c r="T238" i="37"/>
  <c r="U238" i="37"/>
  <c r="G238" i="37"/>
  <c r="T239" i="37"/>
  <c r="T240" i="37"/>
  <c r="U240" i="37"/>
  <c r="T241" i="37"/>
  <c r="T242" i="37"/>
  <c r="T243" i="37"/>
  <c r="S243" i="37"/>
  <c r="T244" i="37"/>
  <c r="T245" i="37"/>
  <c r="U245" i="37"/>
  <c r="T246" i="37"/>
  <c r="U246" i="37"/>
  <c r="O29" i="35"/>
  <c r="F246" i="37"/>
  <c r="T247" i="37"/>
  <c r="U247" i="37"/>
  <c r="S247" i="37"/>
  <c r="Q247" i="37"/>
  <c r="G247" i="37"/>
  <c r="T248" i="37"/>
  <c r="T249" i="37"/>
  <c r="U249" i="37"/>
  <c r="Q249" i="37"/>
  <c r="G249" i="37"/>
  <c r="T250" i="37"/>
  <c r="U250" i="37"/>
  <c r="T251" i="37"/>
  <c r="U251" i="37"/>
  <c r="T252" i="37"/>
  <c r="U252" i="37"/>
  <c r="T253" i="37"/>
  <c r="U253" i="37"/>
  <c r="T254" i="37"/>
  <c r="T255" i="37"/>
  <c r="T256" i="37"/>
  <c r="T257" i="37"/>
  <c r="T258" i="37"/>
  <c r="U258" i="37"/>
  <c r="T259" i="37"/>
  <c r="S259" i="37"/>
  <c r="Q259" i="37"/>
  <c r="G259" i="37"/>
  <c r="T260" i="37"/>
  <c r="U260" i="37"/>
  <c r="T261" i="37"/>
  <c r="U261" i="37"/>
  <c r="T262" i="37"/>
  <c r="S262" i="37"/>
  <c r="T263" i="37"/>
  <c r="U263" i="37"/>
  <c r="T264" i="37"/>
  <c r="S264" i="37"/>
  <c r="T265" i="37"/>
  <c r="U265" i="37"/>
  <c r="T266" i="37"/>
  <c r="S266" i="37"/>
  <c r="T267" i="37"/>
  <c r="U267" i="37"/>
  <c r="T268" i="37"/>
  <c r="T269" i="37"/>
  <c r="U269" i="37"/>
  <c r="T270" i="37"/>
  <c r="U270" i="37"/>
  <c r="T271" i="37"/>
  <c r="U271" i="37"/>
  <c r="T272" i="37"/>
  <c r="T273" i="37"/>
  <c r="T274" i="37"/>
  <c r="T275" i="37"/>
  <c r="U275" i="37"/>
  <c r="T276" i="37"/>
  <c r="U276" i="37"/>
  <c r="T277" i="37"/>
  <c r="T278" i="37"/>
  <c r="T279" i="37"/>
  <c r="U279" i="37"/>
  <c r="T280" i="37"/>
  <c r="T281" i="37"/>
  <c r="U281" i="37"/>
  <c r="T282" i="37"/>
  <c r="U282" i="37"/>
  <c r="T288" i="37"/>
  <c r="U288" i="37"/>
  <c r="T289" i="37"/>
  <c r="U289" i="37"/>
  <c r="T290" i="37"/>
  <c r="T291" i="37"/>
  <c r="T292" i="37"/>
  <c r="T293" i="37"/>
  <c r="U293" i="37"/>
  <c r="T294" i="37"/>
  <c r="T295" i="37"/>
  <c r="T296" i="37"/>
  <c r="U296" i="37"/>
  <c r="T297" i="37"/>
  <c r="G297" i="37"/>
  <c r="T298" i="37"/>
  <c r="U298" i="37"/>
  <c r="T299" i="37"/>
  <c r="Q29" i="35"/>
  <c r="F299" i="37"/>
  <c r="T300" i="37"/>
  <c r="U300" i="37"/>
  <c r="T301" i="37"/>
  <c r="T302" i="37"/>
  <c r="S302" i="37"/>
  <c r="Q302" i="37"/>
  <c r="G302" i="37"/>
  <c r="T303" i="37"/>
  <c r="U303" i="37"/>
  <c r="T304" i="37"/>
  <c r="U304" i="37"/>
  <c r="T305" i="37"/>
  <c r="U305" i="37"/>
  <c r="T306" i="37"/>
  <c r="U306" i="37"/>
  <c r="T307" i="37"/>
  <c r="T308" i="37"/>
  <c r="T309" i="37"/>
  <c r="T310" i="37"/>
  <c r="S310" i="37"/>
  <c r="T311" i="37"/>
  <c r="U311" i="37"/>
  <c r="T312" i="37"/>
  <c r="S312" i="37"/>
  <c r="T313" i="37"/>
  <c r="U313" i="37"/>
  <c r="T314" i="37"/>
  <c r="U314" i="37"/>
  <c r="T315" i="37"/>
  <c r="S315" i="37"/>
  <c r="T316" i="37"/>
  <c r="U316" i="37"/>
  <c r="T317" i="37"/>
  <c r="U317" i="37"/>
  <c r="S317" i="37"/>
  <c r="T318" i="37"/>
  <c r="U318" i="37"/>
  <c r="T319" i="37"/>
  <c r="S319" i="37"/>
  <c r="T320" i="37"/>
  <c r="U320" i="37"/>
  <c r="T321" i="37"/>
  <c r="S321" i="37"/>
  <c r="T322" i="37"/>
  <c r="U322" i="37"/>
  <c r="T323" i="37"/>
  <c r="U323" i="37"/>
  <c r="T324" i="37"/>
  <c r="U324" i="37"/>
  <c r="T325" i="37"/>
  <c r="U325" i="37"/>
  <c r="T326" i="37"/>
  <c r="T327" i="37"/>
  <c r="T328" i="37"/>
  <c r="T329" i="37"/>
  <c r="U329" i="37"/>
  <c r="T330" i="37"/>
  <c r="T331" i="37"/>
  <c r="T332" i="37"/>
  <c r="U332" i="37"/>
  <c r="T333" i="37"/>
  <c r="T9" i="37"/>
  <c r="T10" i="37"/>
  <c r="T11" i="37"/>
  <c r="T12" i="37"/>
  <c r="U12" i="37"/>
  <c r="T13" i="37"/>
  <c r="T14" i="37"/>
  <c r="T15" i="37"/>
  <c r="T16" i="37"/>
  <c r="T17" i="37"/>
  <c r="U17" i="37"/>
  <c r="T19" i="37"/>
  <c r="U19" i="37"/>
  <c r="T20" i="37"/>
  <c r="T21" i="37"/>
  <c r="T8" i="37"/>
  <c r="U8" i="37"/>
  <c r="T55" i="37"/>
  <c r="T57" i="37"/>
  <c r="T58" i="37"/>
  <c r="T113" i="37"/>
  <c r="T115" i="37"/>
  <c r="T116" i="37"/>
  <c r="T172" i="37"/>
  <c r="T174" i="37"/>
  <c r="T175" i="37"/>
  <c r="T229" i="37"/>
  <c r="T231" i="37"/>
  <c r="T233" i="37"/>
  <c r="T234" i="37"/>
  <c r="T286" i="37"/>
  <c r="T287" i="37"/>
  <c r="D20" i="43"/>
  <c r="D18" i="43"/>
  <c r="F158" i="32"/>
  <c r="D100" i="31"/>
  <c r="F100" i="31"/>
  <c r="D101" i="31"/>
  <c r="F101" i="31"/>
  <c r="D102" i="31"/>
  <c r="F102" i="31"/>
  <c r="D103" i="31"/>
  <c r="F103" i="31"/>
  <c r="D104" i="31"/>
  <c r="F104" i="31"/>
  <c r="D105" i="31"/>
  <c r="F105" i="31"/>
  <c r="D106" i="31"/>
  <c r="F106" i="31"/>
  <c r="D107" i="31"/>
  <c r="F107" i="31"/>
  <c r="D108" i="31"/>
  <c r="F108" i="31"/>
  <c r="D22" i="31"/>
  <c r="P22" i="31"/>
  <c r="D23" i="31"/>
  <c r="P23" i="31"/>
  <c r="D24" i="31"/>
  <c r="P24" i="31"/>
  <c r="D25" i="31"/>
  <c r="P25" i="31"/>
  <c r="D26" i="31"/>
  <c r="P26" i="31"/>
  <c r="D27" i="31"/>
  <c r="P27" i="31"/>
  <c r="D28" i="31"/>
  <c r="P28" i="31"/>
  <c r="D29" i="31"/>
  <c r="P29" i="31"/>
  <c r="D30" i="31"/>
  <c r="P30" i="31"/>
  <c r="D31" i="31"/>
  <c r="P31" i="31"/>
  <c r="D32" i="31"/>
  <c r="P32" i="31"/>
  <c r="D33" i="31"/>
  <c r="P33" i="31"/>
  <c r="D34" i="31"/>
  <c r="D35" i="31"/>
  <c r="N35" i="31"/>
  <c r="P35" i="31"/>
  <c r="N22" i="31"/>
  <c r="N23" i="31"/>
  <c r="N25" i="31"/>
  <c r="N26" i="31"/>
  <c r="N27" i="31"/>
  <c r="N29" i="31"/>
  <c r="N30" i="31"/>
  <c r="N31" i="31"/>
  <c r="N33" i="31"/>
  <c r="N34" i="31"/>
  <c r="L23" i="31"/>
  <c r="L24" i="31"/>
  <c r="L25" i="31"/>
  <c r="L27" i="31"/>
  <c r="L28" i="31"/>
  <c r="L29" i="31"/>
  <c r="L31" i="31"/>
  <c r="L32" i="31"/>
  <c r="L33" i="31"/>
  <c r="L35" i="31"/>
  <c r="J22" i="31"/>
  <c r="J23" i="31"/>
  <c r="J25" i="31"/>
  <c r="J26" i="31"/>
  <c r="J27" i="31"/>
  <c r="J29" i="31"/>
  <c r="J30" i="31"/>
  <c r="J31" i="31"/>
  <c r="J33" i="31"/>
  <c r="H23" i="31"/>
  <c r="H24" i="31"/>
  <c r="H25" i="31"/>
  <c r="H27" i="31"/>
  <c r="H28" i="31"/>
  <c r="H29" i="31"/>
  <c r="H31" i="31"/>
  <c r="H32" i="31"/>
  <c r="H33" i="31"/>
  <c r="H35" i="31"/>
  <c r="F22" i="31"/>
  <c r="F23" i="31"/>
  <c r="F25" i="31"/>
  <c r="F26" i="31"/>
  <c r="F27" i="31"/>
  <c r="F29" i="31"/>
  <c r="F30" i="31"/>
  <c r="F31" i="31"/>
  <c r="F33" i="31"/>
  <c r="F34" i="31"/>
  <c r="E192" i="30"/>
  <c r="F192" i="30"/>
  <c r="H192" i="30"/>
  <c r="E193" i="30"/>
  <c r="F193" i="30"/>
  <c r="H193" i="30"/>
  <c r="E194" i="30"/>
  <c r="F194" i="30"/>
  <c r="H194" i="30"/>
  <c r="E195" i="30"/>
  <c r="F195" i="30"/>
  <c r="E196" i="30"/>
  <c r="F196" i="30"/>
  <c r="E197" i="30"/>
  <c r="F197" i="30"/>
  <c r="H197" i="30"/>
  <c r="E198" i="30"/>
  <c r="F198" i="30"/>
  <c r="H198" i="30"/>
  <c r="E199" i="30"/>
  <c r="F199" i="30"/>
  <c r="E200" i="30"/>
  <c r="F200" i="30"/>
  <c r="H200" i="30"/>
  <c r="E201" i="30"/>
  <c r="F201" i="30"/>
  <c r="H201" i="30"/>
  <c r="E202" i="30"/>
  <c r="F202" i="30"/>
  <c r="H202" i="30"/>
  <c r="E203" i="30"/>
  <c r="F203" i="30"/>
  <c r="E204" i="30"/>
  <c r="F204" i="30"/>
  <c r="H204" i="30"/>
  <c r="E205" i="30"/>
  <c r="F205" i="30"/>
  <c r="H205" i="30"/>
  <c r="T205" i="30"/>
  <c r="U205" i="30"/>
  <c r="T193" i="30"/>
  <c r="U193" i="30"/>
  <c r="T194" i="30"/>
  <c r="U194" i="30"/>
  <c r="T195" i="30"/>
  <c r="U195" i="30"/>
  <c r="T196" i="30"/>
  <c r="U196" i="30"/>
  <c r="T197" i="30"/>
  <c r="U197" i="30"/>
  <c r="T198" i="30"/>
  <c r="U198" i="30"/>
  <c r="T199" i="30"/>
  <c r="U199" i="30"/>
  <c r="T200" i="30"/>
  <c r="U200" i="30"/>
  <c r="T201" i="30"/>
  <c r="U201" i="30"/>
  <c r="T202" i="30"/>
  <c r="U202" i="30"/>
  <c r="T203" i="30"/>
  <c r="U203" i="30"/>
  <c r="T204" i="30"/>
  <c r="U204" i="30"/>
  <c r="U192" i="30"/>
  <c r="T192" i="30"/>
  <c r="S193" i="30"/>
  <c r="S194" i="30"/>
  <c r="S195" i="30"/>
  <c r="S196" i="30"/>
  <c r="S197" i="30"/>
  <c r="S198" i="30"/>
  <c r="S199" i="30"/>
  <c r="S200" i="30"/>
  <c r="S201" i="30"/>
  <c r="S202" i="30"/>
  <c r="S203" i="30"/>
  <c r="S204" i="30"/>
  <c r="S205" i="30"/>
  <c r="S192" i="30"/>
  <c r="T171" i="30"/>
  <c r="U171" i="30"/>
  <c r="V171" i="30"/>
  <c r="T172" i="30"/>
  <c r="U172" i="30"/>
  <c r="V172" i="30"/>
  <c r="T173" i="30"/>
  <c r="U173" i="30"/>
  <c r="V173" i="30"/>
  <c r="T174" i="30"/>
  <c r="U174" i="30"/>
  <c r="V174" i="30"/>
  <c r="T175" i="30"/>
  <c r="U175" i="30"/>
  <c r="V175" i="30"/>
  <c r="T176" i="30"/>
  <c r="U176" i="30"/>
  <c r="V176" i="30"/>
  <c r="T177" i="30"/>
  <c r="U177" i="30"/>
  <c r="V177" i="30"/>
  <c r="T178" i="30"/>
  <c r="U178" i="30"/>
  <c r="V178" i="30"/>
  <c r="T179" i="30"/>
  <c r="U179" i="30"/>
  <c r="V179" i="30"/>
  <c r="T180" i="30"/>
  <c r="U180" i="30"/>
  <c r="V180" i="30"/>
  <c r="T181" i="30"/>
  <c r="U181" i="30"/>
  <c r="V181" i="30"/>
  <c r="T182" i="30"/>
  <c r="U182" i="30"/>
  <c r="V182" i="30"/>
  <c r="V170" i="30"/>
  <c r="U170" i="30"/>
  <c r="T170" i="30"/>
  <c r="E130" i="30"/>
  <c r="F130" i="30"/>
  <c r="E131" i="30"/>
  <c r="F131" i="30"/>
  <c r="E132" i="30"/>
  <c r="F132" i="30"/>
  <c r="E133" i="30"/>
  <c r="F133" i="30"/>
  <c r="R133" i="30"/>
  <c r="E134" i="30"/>
  <c r="F134" i="30"/>
  <c r="E135" i="30"/>
  <c r="F135" i="30"/>
  <c r="E136" i="30"/>
  <c r="F136" i="30"/>
  <c r="E137" i="30"/>
  <c r="F137" i="30"/>
  <c r="E138" i="30"/>
  <c r="F138" i="30"/>
  <c r="E139" i="30"/>
  <c r="F139" i="30"/>
  <c r="R139" i="30"/>
  <c r="E140" i="30"/>
  <c r="F140" i="30"/>
  <c r="E141" i="30"/>
  <c r="F141" i="30"/>
  <c r="R141" i="30"/>
  <c r="E142" i="30"/>
  <c r="F142" i="30"/>
  <c r="E143" i="30"/>
  <c r="F143" i="30"/>
  <c r="E144" i="30"/>
  <c r="F144" i="30"/>
  <c r="E145" i="30"/>
  <c r="F145" i="30"/>
  <c r="R145" i="30"/>
  <c r="E146" i="30"/>
  <c r="F146" i="30"/>
  <c r="E147" i="30"/>
  <c r="F147" i="30"/>
  <c r="R147" i="30"/>
  <c r="E148" i="30"/>
  <c r="F148" i="30"/>
  <c r="E149" i="30"/>
  <c r="F149" i="30"/>
  <c r="R149" i="30"/>
  <c r="E150" i="30"/>
  <c r="F150" i="30"/>
  <c r="P133" i="30"/>
  <c r="P139" i="30"/>
  <c r="P145" i="30"/>
  <c r="P147" i="30"/>
  <c r="N133" i="30"/>
  <c r="N139" i="30"/>
  <c r="N145" i="30"/>
  <c r="N147" i="30"/>
  <c r="L133" i="30"/>
  <c r="L139" i="30"/>
  <c r="L145" i="30"/>
  <c r="L147" i="30"/>
  <c r="J131" i="30"/>
  <c r="J133" i="30"/>
  <c r="J139" i="30"/>
  <c r="J143" i="30"/>
  <c r="J145" i="30"/>
  <c r="J147" i="30"/>
  <c r="H133" i="30"/>
  <c r="H139" i="30"/>
  <c r="H145" i="30"/>
  <c r="H147" i="30"/>
  <c r="T131" i="30"/>
  <c r="U131" i="30"/>
  <c r="V131" i="30"/>
  <c r="T132" i="30"/>
  <c r="U132" i="30"/>
  <c r="V132" i="30"/>
  <c r="T133" i="30"/>
  <c r="U133" i="30"/>
  <c r="V133" i="30"/>
  <c r="T134" i="30"/>
  <c r="U134" i="30"/>
  <c r="V134" i="30"/>
  <c r="T135" i="30"/>
  <c r="U135" i="30"/>
  <c r="V135" i="30"/>
  <c r="T136" i="30"/>
  <c r="U136" i="30"/>
  <c r="V136" i="30"/>
  <c r="T137" i="30"/>
  <c r="U137" i="30"/>
  <c r="V137" i="30"/>
  <c r="T138" i="30"/>
  <c r="U138" i="30"/>
  <c r="V138" i="30"/>
  <c r="T139" i="30"/>
  <c r="U139" i="30"/>
  <c r="V139" i="30"/>
  <c r="T140" i="30"/>
  <c r="U140" i="30"/>
  <c r="V140" i="30"/>
  <c r="T141" i="30"/>
  <c r="U141" i="30"/>
  <c r="V141" i="30"/>
  <c r="T142" i="30"/>
  <c r="U142" i="30"/>
  <c r="V142" i="30"/>
  <c r="T143" i="30"/>
  <c r="U143" i="30"/>
  <c r="V143" i="30"/>
  <c r="T144" i="30"/>
  <c r="U144" i="30"/>
  <c r="V144" i="30"/>
  <c r="T145" i="30"/>
  <c r="U145" i="30"/>
  <c r="V145" i="30"/>
  <c r="T146" i="30"/>
  <c r="U146" i="30"/>
  <c r="V146" i="30"/>
  <c r="T147" i="30"/>
  <c r="U147" i="30"/>
  <c r="V147" i="30"/>
  <c r="T148" i="30"/>
  <c r="U148" i="30"/>
  <c r="V148" i="30"/>
  <c r="T149" i="30"/>
  <c r="U149" i="30"/>
  <c r="V149" i="30"/>
  <c r="T150" i="30"/>
  <c r="U150" i="30"/>
  <c r="V150" i="30"/>
  <c r="V130" i="30"/>
  <c r="U130" i="30"/>
  <c r="T130" i="30"/>
  <c r="E83" i="30"/>
  <c r="F83" i="30"/>
  <c r="E84" i="30"/>
  <c r="F84" i="30"/>
  <c r="E85" i="30"/>
  <c r="F85" i="30"/>
  <c r="E86" i="30"/>
  <c r="F86" i="30"/>
  <c r="E87" i="30"/>
  <c r="F87" i="30"/>
  <c r="E88" i="30"/>
  <c r="F88" i="30"/>
  <c r="E89" i="30"/>
  <c r="F89" i="30"/>
  <c r="R89" i="30"/>
  <c r="E90" i="30"/>
  <c r="F90" i="30"/>
  <c r="E91" i="30"/>
  <c r="F91" i="30"/>
  <c r="E92" i="30"/>
  <c r="F92" i="30"/>
  <c r="E93" i="30"/>
  <c r="F93" i="30"/>
  <c r="E94" i="30"/>
  <c r="F94" i="30"/>
  <c r="E95" i="30"/>
  <c r="F95" i="30"/>
  <c r="E96" i="30"/>
  <c r="F96" i="30"/>
  <c r="E97" i="30"/>
  <c r="F97" i="30"/>
  <c r="R97" i="30"/>
  <c r="E98" i="30"/>
  <c r="F98" i="30"/>
  <c r="E99" i="30"/>
  <c r="F99" i="30"/>
  <c r="E100" i="30"/>
  <c r="F100" i="30"/>
  <c r="E101" i="30"/>
  <c r="F101" i="30"/>
  <c r="R101" i="30"/>
  <c r="E102" i="30"/>
  <c r="F102" i="30"/>
  <c r="E103" i="30"/>
  <c r="F103" i="30"/>
  <c r="E104" i="30"/>
  <c r="F104" i="30"/>
  <c r="E105" i="30"/>
  <c r="F105" i="30"/>
  <c r="E106" i="30"/>
  <c r="F106" i="30"/>
  <c r="P89" i="30"/>
  <c r="P97" i="30"/>
  <c r="N89" i="30"/>
  <c r="N97" i="30"/>
  <c r="L89" i="30"/>
  <c r="L97" i="30"/>
  <c r="J89" i="30"/>
  <c r="J97" i="30"/>
  <c r="H89" i="30"/>
  <c r="H97" i="30"/>
  <c r="E35" i="30"/>
  <c r="F35" i="30"/>
  <c r="E36" i="30"/>
  <c r="F36" i="30"/>
  <c r="E37" i="30"/>
  <c r="F37" i="30"/>
  <c r="E38" i="30"/>
  <c r="F38" i="30"/>
  <c r="J38" i="30"/>
  <c r="E39" i="30"/>
  <c r="F39" i="30"/>
  <c r="E40" i="30"/>
  <c r="F40" i="30"/>
  <c r="E41" i="30"/>
  <c r="F41" i="30"/>
  <c r="E42" i="30"/>
  <c r="F42" i="30"/>
  <c r="J42" i="30"/>
  <c r="E43" i="30"/>
  <c r="F43" i="30"/>
  <c r="E44" i="30"/>
  <c r="F44" i="30"/>
  <c r="E45" i="30"/>
  <c r="F45" i="30"/>
  <c r="R45" i="30"/>
  <c r="E46" i="30"/>
  <c r="F46" i="30"/>
  <c r="J46" i="30"/>
  <c r="E47" i="30"/>
  <c r="F47" i="30"/>
  <c r="E48" i="30"/>
  <c r="F48" i="30"/>
  <c r="J48" i="30"/>
  <c r="E49" i="30"/>
  <c r="F49" i="30"/>
  <c r="E50" i="30"/>
  <c r="F50" i="30"/>
  <c r="J50" i="30"/>
  <c r="E51" i="30"/>
  <c r="F51" i="30"/>
  <c r="E52" i="30"/>
  <c r="F52" i="30"/>
  <c r="H52" i="30"/>
  <c r="E53" i="30"/>
  <c r="F53" i="30"/>
  <c r="H53" i="30"/>
  <c r="E54" i="30"/>
  <c r="F54" i="30"/>
  <c r="J54" i="30"/>
  <c r="E55" i="30"/>
  <c r="F55" i="30"/>
  <c r="R55" i="30"/>
  <c r="E56" i="30"/>
  <c r="F56" i="30"/>
  <c r="H56" i="30"/>
  <c r="E57" i="30"/>
  <c r="F57" i="30"/>
  <c r="P57" i="30"/>
  <c r="R57" i="30"/>
  <c r="E58" i="30"/>
  <c r="F58" i="30"/>
  <c r="J58" i="30"/>
  <c r="P45" i="30"/>
  <c r="P49" i="30"/>
  <c r="N43" i="30"/>
  <c r="N45" i="30"/>
  <c r="N57" i="30"/>
  <c r="L43" i="30"/>
  <c r="L45" i="30"/>
  <c r="J36" i="30"/>
  <c r="J40" i="30"/>
  <c r="J45" i="30"/>
  <c r="J49" i="30"/>
  <c r="J52" i="30"/>
  <c r="J56" i="30"/>
  <c r="J57" i="30"/>
  <c r="H36" i="30"/>
  <c r="H38" i="30"/>
  <c r="H40" i="30"/>
  <c r="H42" i="30"/>
  <c r="H45" i="30"/>
  <c r="H46" i="30"/>
  <c r="H48" i="30"/>
  <c r="H49" i="30"/>
  <c r="H50" i="30"/>
  <c r="H54" i="30"/>
  <c r="H58" i="30"/>
  <c r="E7" i="30"/>
  <c r="F7" i="30"/>
  <c r="E8" i="30"/>
  <c r="F8" i="30"/>
  <c r="E9" i="30"/>
  <c r="F9" i="30"/>
  <c r="E10" i="30"/>
  <c r="F10" i="30"/>
  <c r="E11" i="30"/>
  <c r="F11" i="30"/>
  <c r="E12" i="30"/>
  <c r="F12" i="30"/>
  <c r="E13" i="30"/>
  <c r="F13" i="30"/>
  <c r="E14" i="30"/>
  <c r="F14" i="30"/>
  <c r="E15" i="30"/>
  <c r="F15" i="30"/>
  <c r="R15" i="30"/>
  <c r="E16" i="30"/>
  <c r="F16" i="30"/>
  <c r="E17" i="30"/>
  <c r="F17" i="30"/>
  <c r="R17" i="30"/>
  <c r="L17" i="30"/>
  <c r="J13" i="30"/>
  <c r="H17" i="30"/>
  <c r="F54" i="35"/>
  <c r="P73" i="35"/>
  <c r="N73" i="35"/>
  <c r="L73" i="35"/>
  <c r="J73" i="35"/>
  <c r="H73" i="35"/>
  <c r="P60" i="35"/>
  <c r="P58" i="35"/>
  <c r="S309" i="37"/>
  <c r="P56" i="35"/>
  <c r="S308" i="37"/>
  <c r="N60" i="35"/>
  <c r="S257" i="37"/>
  <c r="N58" i="35"/>
  <c r="S256" i="37"/>
  <c r="N56" i="35"/>
  <c r="N54" i="35"/>
  <c r="S254" i="37"/>
  <c r="L62" i="35"/>
  <c r="L60" i="35"/>
  <c r="S201" i="37"/>
  <c r="L56" i="35"/>
  <c r="L54" i="35"/>
  <c r="J62" i="35"/>
  <c r="J60" i="35"/>
  <c r="J58" i="35"/>
  <c r="J56" i="35"/>
  <c r="J54" i="35"/>
  <c r="S139" i="37"/>
  <c r="H62" i="35"/>
  <c r="H60" i="35"/>
  <c r="H58" i="35"/>
  <c r="H56" i="35"/>
  <c r="H54" i="35"/>
  <c r="F60" i="35"/>
  <c r="F58" i="35"/>
  <c r="F56" i="35"/>
  <c r="L44" i="35"/>
  <c r="J44" i="35"/>
  <c r="H44" i="35"/>
  <c r="P40" i="35"/>
  <c r="N40" i="35"/>
  <c r="S249" i="37"/>
  <c r="L40" i="35"/>
  <c r="J40" i="35"/>
  <c r="H40" i="35"/>
  <c r="F40" i="35"/>
  <c r="P36" i="35"/>
  <c r="N36" i="35"/>
  <c r="S248" i="37"/>
  <c r="Q248" i="37"/>
  <c r="G248" i="37"/>
  <c r="L36" i="35"/>
  <c r="J36" i="35"/>
  <c r="H36" i="35"/>
  <c r="F36" i="35"/>
  <c r="P32" i="35"/>
  <c r="S300" i="37"/>
  <c r="Q300" i="37"/>
  <c r="G300" i="37"/>
  <c r="N32" i="35"/>
  <c r="L32" i="35"/>
  <c r="J32" i="35"/>
  <c r="H32" i="35"/>
  <c r="F32" i="35"/>
  <c r="H28" i="35"/>
  <c r="F28" i="35"/>
  <c r="P23" i="35"/>
  <c r="S297" i="37"/>
  <c r="Q297" i="37"/>
  <c r="P21" i="35"/>
  <c r="P19" i="35"/>
  <c r="P17" i="35"/>
  <c r="N23" i="35"/>
  <c r="S244" i="37"/>
  <c r="Q244" i="37"/>
  <c r="G244" i="37"/>
  <c r="N21" i="35"/>
  <c r="N19" i="35"/>
  <c r="N17" i="35"/>
  <c r="L17" i="35"/>
  <c r="L25" i="35"/>
  <c r="S187" i="37"/>
  <c r="L23" i="35"/>
  <c r="L21" i="35"/>
  <c r="S185" i="37"/>
  <c r="Q185" i="37"/>
  <c r="G185" i="37"/>
  <c r="L19" i="35"/>
  <c r="J25" i="35"/>
  <c r="J23" i="35"/>
  <c r="J21" i="35"/>
  <c r="J19" i="35"/>
  <c r="J17" i="35"/>
  <c r="H25" i="35"/>
  <c r="H23" i="35"/>
  <c r="H21" i="35"/>
  <c r="H19" i="35"/>
  <c r="H17" i="35"/>
  <c r="F23" i="35"/>
  <c r="F21" i="35"/>
  <c r="F19" i="35"/>
  <c r="F17" i="35"/>
  <c r="P11" i="35"/>
  <c r="P9" i="35"/>
  <c r="S291" i="37"/>
  <c r="Q291" i="37"/>
  <c r="G291" i="37"/>
  <c r="P7" i="35"/>
  <c r="S290" i="37"/>
  <c r="Q290" i="37"/>
  <c r="G290" i="37"/>
  <c r="P5" i="35"/>
  <c r="N11" i="35"/>
  <c r="S239" i="37"/>
  <c r="Q239" i="37"/>
  <c r="G239" i="37"/>
  <c r="N9" i="35"/>
  <c r="S238" i="37"/>
  <c r="Q238" i="37"/>
  <c r="N5" i="35"/>
  <c r="S236" i="37"/>
  <c r="Q236" i="37"/>
  <c r="G236" i="37"/>
  <c r="L13" i="35"/>
  <c r="L11" i="35"/>
  <c r="L9" i="35"/>
  <c r="L7" i="35"/>
  <c r="L5" i="35"/>
  <c r="J13" i="35"/>
  <c r="J11" i="35"/>
  <c r="J9" i="35"/>
  <c r="J7" i="35"/>
  <c r="J5" i="35"/>
  <c r="H13" i="35"/>
  <c r="H11" i="35"/>
  <c r="H9" i="35"/>
  <c r="H7" i="35"/>
  <c r="H5" i="35"/>
  <c r="F11" i="35"/>
  <c r="F9" i="35"/>
  <c r="F7" i="35"/>
  <c r="F5" i="35"/>
  <c r="N2" i="35"/>
  <c r="E30" i="35"/>
  <c r="M11" i="51"/>
  <c r="M16" i="51"/>
  <c r="J193" i="30"/>
  <c r="J194" i="30"/>
  <c r="J197" i="30"/>
  <c r="J198" i="30"/>
  <c r="J200" i="30"/>
  <c r="J201" i="30"/>
  <c r="J202" i="30"/>
  <c r="J204" i="30"/>
  <c r="J205" i="30"/>
  <c r="D10" i="52"/>
  <c r="J10" i="52"/>
  <c r="J9" i="52"/>
  <c r="K15" i="37"/>
  <c r="J95" i="52"/>
  <c r="J94" i="52"/>
  <c r="H87" i="52"/>
  <c r="H86" i="52"/>
  <c r="N87" i="52"/>
  <c r="N86" i="52"/>
  <c r="J60" i="52"/>
  <c r="J59" i="52"/>
  <c r="K28" i="37"/>
  <c r="F34" i="52"/>
  <c r="F33" i="52"/>
  <c r="K18" i="37"/>
  <c r="J34" i="52"/>
  <c r="J33" i="52"/>
  <c r="K20" i="37"/>
  <c r="D37" i="52"/>
  <c r="D40" i="52"/>
  <c r="J40" i="52"/>
  <c r="F357" i="51"/>
  <c r="F356" i="51"/>
  <c r="F355" i="51"/>
  <c r="F354" i="51"/>
  <c r="G350" i="51"/>
  <c r="T349" i="51"/>
  <c r="S349" i="51"/>
  <c r="G349" i="51"/>
  <c r="T347" i="51"/>
  <c r="S347" i="51"/>
  <c r="G347" i="51"/>
  <c r="T345" i="51"/>
  <c r="S345" i="51"/>
  <c r="G345" i="51"/>
  <c r="G344" i="51"/>
  <c r="T343" i="51"/>
  <c r="S343" i="51"/>
  <c r="G343" i="51"/>
  <c r="T342" i="51"/>
  <c r="S342" i="51"/>
  <c r="G342" i="51"/>
  <c r="T337" i="51"/>
  <c r="S337" i="51"/>
  <c r="G337" i="51"/>
  <c r="G335" i="51"/>
  <c r="I334" i="51"/>
  <c r="I335" i="51"/>
  <c r="I336" i="51"/>
  <c r="G330" i="51"/>
  <c r="G329" i="51"/>
  <c r="T324" i="51"/>
  <c r="S324" i="51"/>
  <c r="G324" i="51"/>
  <c r="T319" i="51"/>
  <c r="S319" i="51"/>
  <c r="G319" i="51"/>
  <c r="F299" i="51"/>
  <c r="F298" i="51"/>
  <c r="F297" i="51"/>
  <c r="F296" i="51"/>
  <c r="G292" i="51"/>
  <c r="T291" i="51"/>
  <c r="S291" i="51"/>
  <c r="G291" i="51"/>
  <c r="T289" i="51"/>
  <c r="S289" i="51"/>
  <c r="G289" i="51"/>
  <c r="T287" i="51"/>
  <c r="S287" i="51"/>
  <c r="G287" i="51"/>
  <c r="T285" i="51"/>
  <c r="S285" i="51"/>
  <c r="G285" i="51"/>
  <c r="T284" i="51"/>
  <c r="S284" i="51"/>
  <c r="G284" i="51"/>
  <c r="T279" i="51"/>
  <c r="S279" i="51"/>
  <c r="G279" i="51"/>
  <c r="G278" i="51"/>
  <c r="I276" i="51"/>
  <c r="I277" i="51"/>
  <c r="I278" i="51"/>
  <c r="G272" i="51"/>
  <c r="G271" i="51"/>
  <c r="I268" i="51"/>
  <c r="I269" i="51"/>
  <c r="T266" i="51"/>
  <c r="S266" i="51"/>
  <c r="G266" i="51"/>
  <c r="I301" i="51"/>
  <c r="T261" i="51"/>
  <c r="S261" i="51"/>
  <c r="G261" i="51"/>
  <c r="F242" i="51"/>
  <c r="F241" i="51"/>
  <c r="F240" i="51"/>
  <c r="F239" i="51"/>
  <c r="F238" i="51"/>
  <c r="T233" i="51"/>
  <c r="S233" i="51"/>
  <c r="T231" i="51"/>
  <c r="S231" i="51"/>
  <c r="K242" i="51"/>
  <c r="T229" i="51"/>
  <c r="S229" i="51"/>
  <c r="T227" i="51"/>
  <c r="S227" i="51"/>
  <c r="T226" i="51"/>
  <c r="S226" i="51"/>
  <c r="T221" i="51"/>
  <c r="S221" i="51"/>
  <c r="G219" i="51"/>
  <c r="I217" i="51"/>
  <c r="I218" i="51"/>
  <c r="I219" i="51"/>
  <c r="T215" i="51"/>
  <c r="T206" i="51"/>
  <c r="S206" i="51"/>
  <c r="H248" i="51"/>
  <c r="T200" i="51"/>
  <c r="S200" i="51"/>
  <c r="I196" i="51"/>
  <c r="F180" i="51"/>
  <c r="F179" i="51"/>
  <c r="F178" i="51"/>
  <c r="F177" i="51"/>
  <c r="F176" i="51"/>
  <c r="G172" i="51"/>
  <c r="T171" i="51"/>
  <c r="S171" i="51"/>
  <c r="T169" i="51"/>
  <c r="S169" i="51"/>
  <c r="T167" i="51"/>
  <c r="S167" i="51"/>
  <c r="G166" i="51"/>
  <c r="T165" i="51"/>
  <c r="S165" i="51"/>
  <c r="T164" i="51"/>
  <c r="S164" i="51"/>
  <c r="T159" i="51"/>
  <c r="S159" i="51"/>
  <c r="G155" i="51"/>
  <c r="I156" i="51"/>
  <c r="T153" i="51"/>
  <c r="K185" i="51"/>
  <c r="T144" i="51"/>
  <c r="S144" i="51"/>
  <c r="T138" i="51"/>
  <c r="S138" i="51"/>
  <c r="F117" i="51"/>
  <c r="K116" i="51"/>
  <c r="F116" i="51"/>
  <c r="F115" i="51"/>
  <c r="F114" i="51"/>
  <c r="F113" i="51"/>
  <c r="T108" i="51"/>
  <c r="T106" i="51"/>
  <c r="K114" i="51"/>
  <c r="J117" i="51"/>
  <c r="J116" i="51"/>
  <c r="T104" i="51"/>
  <c r="G103" i="51"/>
  <c r="T102" i="51"/>
  <c r="S102" i="51"/>
  <c r="T101" i="51"/>
  <c r="S101" i="51"/>
  <c r="G100" i="51"/>
  <c r="T96" i="51"/>
  <c r="S96" i="51"/>
  <c r="G95" i="51"/>
  <c r="I95" i="51"/>
  <c r="T90" i="51"/>
  <c r="G86" i="51"/>
  <c r="T81" i="51"/>
  <c r="S81" i="51"/>
  <c r="K123" i="51"/>
  <c r="K121" i="51"/>
  <c r="K120" i="51"/>
  <c r="K119" i="51"/>
  <c r="T75" i="51"/>
  <c r="T54" i="51"/>
  <c r="S54" i="51"/>
  <c r="F49" i="51"/>
  <c r="F48" i="51"/>
  <c r="F47" i="51"/>
  <c r="F46" i="51"/>
  <c r="G42" i="51"/>
  <c r="G38" i="51"/>
  <c r="K48" i="51"/>
  <c r="J48" i="51"/>
  <c r="G36" i="51"/>
  <c r="G27" i="51"/>
  <c r="G26" i="51"/>
  <c r="G25" i="51"/>
  <c r="G17" i="51"/>
  <c r="K53" i="51"/>
  <c r="K51" i="51"/>
  <c r="I203" i="32"/>
  <c r="I197" i="32"/>
  <c r="I185" i="32"/>
  <c r="I173" i="32"/>
  <c r="I179" i="32"/>
  <c r="Q159" i="32"/>
  <c r="O159" i="32"/>
  <c r="M159" i="32"/>
  <c r="K159" i="32"/>
  <c r="I159" i="32"/>
  <c r="G145" i="32"/>
  <c r="I145" i="32"/>
  <c r="G139" i="32"/>
  <c r="O139" i="32"/>
  <c r="G133" i="32"/>
  <c r="M133" i="32"/>
  <c r="G127" i="32"/>
  <c r="O127" i="32"/>
  <c r="G121" i="32"/>
  <c r="O121" i="32"/>
  <c r="G115" i="32"/>
  <c r="M115" i="32"/>
  <c r="G99" i="32"/>
  <c r="M99" i="32"/>
  <c r="G92" i="32"/>
  <c r="G85" i="32"/>
  <c r="O85" i="32"/>
  <c r="G78" i="32"/>
  <c r="Q78" i="32"/>
  <c r="G71" i="32"/>
  <c r="M71" i="32"/>
  <c r="G64" i="32"/>
  <c r="O64" i="32"/>
  <c r="G49" i="32"/>
  <c r="K49" i="32"/>
  <c r="G42" i="32"/>
  <c r="O42" i="32"/>
  <c r="G35" i="32"/>
  <c r="M35" i="32"/>
  <c r="G28" i="32"/>
  <c r="G21" i="32"/>
  <c r="Q21" i="32"/>
  <c r="G14" i="32"/>
  <c r="K14" i="32"/>
  <c r="F11" i="32"/>
  <c r="F18" i="32"/>
  <c r="F25" i="32"/>
  <c r="F32" i="32"/>
  <c r="F39" i="32"/>
  <c r="F46" i="32"/>
  <c r="F12" i="32"/>
  <c r="F19" i="32"/>
  <c r="F26" i="32"/>
  <c r="F33" i="32"/>
  <c r="F40" i="32"/>
  <c r="F47" i="32"/>
  <c r="F13" i="32"/>
  <c r="F20" i="32"/>
  <c r="F27" i="32"/>
  <c r="F34" i="32"/>
  <c r="F41" i="32"/>
  <c r="F48" i="32"/>
  <c r="F61" i="32"/>
  <c r="F68" i="32"/>
  <c r="F75" i="32"/>
  <c r="F82" i="32"/>
  <c r="F89" i="32"/>
  <c r="F96" i="32"/>
  <c r="F62" i="32"/>
  <c r="F69" i="32"/>
  <c r="F76" i="32"/>
  <c r="F83" i="32"/>
  <c r="F90" i="32"/>
  <c r="F97" i="32"/>
  <c r="F63" i="32"/>
  <c r="F70" i="32"/>
  <c r="F77" i="32"/>
  <c r="F84" i="32"/>
  <c r="F91" i="32"/>
  <c r="F98" i="32"/>
  <c r="F112" i="32"/>
  <c r="F118" i="32"/>
  <c r="F124" i="32"/>
  <c r="F130" i="32"/>
  <c r="F136" i="32"/>
  <c r="F142" i="32"/>
  <c r="F113" i="32"/>
  <c r="F119" i="32"/>
  <c r="F125" i="32"/>
  <c r="F131" i="32"/>
  <c r="F137" i="32"/>
  <c r="F143" i="32"/>
  <c r="F114" i="32"/>
  <c r="F120" i="32"/>
  <c r="F126" i="32"/>
  <c r="F132" i="32"/>
  <c r="F138" i="32"/>
  <c r="F144" i="32"/>
  <c r="F157" i="32"/>
  <c r="F170" i="32"/>
  <c r="F176" i="32"/>
  <c r="F182" i="32"/>
  <c r="F188" i="32"/>
  <c r="F194" i="32"/>
  <c r="F200" i="32"/>
  <c r="F171" i="32"/>
  <c r="F177" i="32"/>
  <c r="F183" i="32"/>
  <c r="F189" i="32"/>
  <c r="F195" i="32"/>
  <c r="F201" i="32"/>
  <c r="F172" i="32"/>
  <c r="F178" i="32"/>
  <c r="F184" i="32"/>
  <c r="F190" i="32"/>
  <c r="F196" i="32"/>
  <c r="F202" i="32"/>
  <c r="D7" i="31"/>
  <c r="F7" i="31"/>
  <c r="L7" i="31"/>
  <c r="L13" i="31"/>
  <c r="N7" i="31"/>
  <c r="D8" i="31"/>
  <c r="L8" i="31"/>
  <c r="F8" i="31"/>
  <c r="H8" i="31"/>
  <c r="P8" i="31"/>
  <c r="D9" i="31"/>
  <c r="F9" i="31"/>
  <c r="L9" i="31"/>
  <c r="N9" i="31"/>
  <c r="D10" i="31"/>
  <c r="L10" i="31"/>
  <c r="F10" i="31"/>
  <c r="H10" i="31"/>
  <c r="P10" i="31"/>
  <c r="D11" i="31"/>
  <c r="F11" i="31"/>
  <c r="L11" i="31"/>
  <c r="N11" i="31"/>
  <c r="D12" i="31"/>
  <c r="L12" i="31"/>
  <c r="F12" i="31"/>
  <c r="H12" i="31"/>
  <c r="P12" i="31"/>
  <c r="D56" i="31"/>
  <c r="F56" i="31"/>
  <c r="D57" i="31"/>
  <c r="L57" i="31"/>
  <c r="F57" i="31"/>
  <c r="H57" i="31"/>
  <c r="P57" i="31"/>
  <c r="D58" i="31"/>
  <c r="F58" i="31"/>
  <c r="D59" i="31"/>
  <c r="L59" i="31"/>
  <c r="F59" i="31"/>
  <c r="H59" i="31"/>
  <c r="P59" i="31"/>
  <c r="D60" i="31"/>
  <c r="F60" i="31"/>
  <c r="D61" i="31"/>
  <c r="L61" i="31"/>
  <c r="F61" i="31"/>
  <c r="H61" i="31"/>
  <c r="P61" i="31"/>
  <c r="D62" i="31"/>
  <c r="F62" i="31"/>
  <c r="D63" i="31"/>
  <c r="L63" i="31"/>
  <c r="F63" i="31"/>
  <c r="H63" i="31"/>
  <c r="P63" i="31"/>
  <c r="D64" i="31"/>
  <c r="F64" i="31"/>
  <c r="D65" i="31"/>
  <c r="L65" i="31"/>
  <c r="F65" i="31"/>
  <c r="H65" i="31"/>
  <c r="P65" i="31"/>
  <c r="D66" i="31"/>
  <c r="F66" i="31"/>
  <c r="D67" i="31"/>
  <c r="L67" i="31"/>
  <c r="F67" i="31"/>
  <c r="H67" i="31"/>
  <c r="P67" i="31"/>
  <c r="D81" i="31"/>
  <c r="F81" i="31"/>
  <c r="L81" i="31"/>
  <c r="L89" i="31"/>
  <c r="N81" i="31"/>
  <c r="D82" i="31"/>
  <c r="L82" i="31"/>
  <c r="F82" i="31"/>
  <c r="H82" i="31"/>
  <c r="P82" i="31"/>
  <c r="D83" i="31"/>
  <c r="F83" i="31"/>
  <c r="L83" i="31"/>
  <c r="N83" i="31"/>
  <c r="D84" i="31"/>
  <c r="L84" i="31"/>
  <c r="F84" i="31"/>
  <c r="H84" i="31"/>
  <c r="P84" i="31"/>
  <c r="D85" i="31"/>
  <c r="F85" i="31"/>
  <c r="L85" i="31"/>
  <c r="N85" i="31"/>
  <c r="D86" i="31"/>
  <c r="L86" i="31"/>
  <c r="F86" i="31"/>
  <c r="H86" i="31"/>
  <c r="P86" i="31"/>
  <c r="D87" i="31"/>
  <c r="F87" i="31"/>
  <c r="L87" i="31"/>
  <c r="N87" i="31"/>
  <c r="D88" i="31"/>
  <c r="L88" i="31"/>
  <c r="F88" i="31"/>
  <c r="H88" i="31"/>
  <c r="P88" i="31"/>
  <c r="H100" i="31"/>
  <c r="J100" i="31"/>
  <c r="J109" i="31"/>
  <c r="L100" i="31"/>
  <c r="N100" i="31"/>
  <c r="P100" i="31"/>
  <c r="H101" i="31"/>
  <c r="J101" i="31"/>
  <c r="L101" i="31"/>
  <c r="N101" i="31"/>
  <c r="P101" i="31"/>
  <c r="H102" i="31"/>
  <c r="J102" i="31"/>
  <c r="L102" i="31"/>
  <c r="N102" i="31"/>
  <c r="P102" i="31"/>
  <c r="H103" i="31"/>
  <c r="J103" i="31"/>
  <c r="L103" i="31"/>
  <c r="N103" i="31"/>
  <c r="P103" i="31"/>
  <c r="H104" i="31"/>
  <c r="J104" i="31"/>
  <c r="L104" i="31"/>
  <c r="N104" i="31"/>
  <c r="N109" i="31"/>
  <c r="P104" i="31"/>
  <c r="H105" i="31"/>
  <c r="J105" i="31"/>
  <c r="L105" i="31"/>
  <c r="N105" i="31"/>
  <c r="P105" i="31"/>
  <c r="H106" i="31"/>
  <c r="J106" i="31"/>
  <c r="L106" i="31"/>
  <c r="N106" i="31"/>
  <c r="P106" i="31"/>
  <c r="H107" i="31"/>
  <c r="J107" i="31"/>
  <c r="L107" i="31"/>
  <c r="N107" i="31"/>
  <c r="P107" i="31"/>
  <c r="H108" i="31"/>
  <c r="J108" i="31"/>
  <c r="L108" i="31"/>
  <c r="N108" i="31"/>
  <c r="P108" i="31"/>
  <c r="E170" i="30"/>
  <c r="F170" i="30"/>
  <c r="E171" i="30"/>
  <c r="F171" i="30"/>
  <c r="H171" i="30"/>
  <c r="E172" i="30"/>
  <c r="F172" i="30"/>
  <c r="E173" i="30"/>
  <c r="F173" i="30"/>
  <c r="N173" i="30"/>
  <c r="E174" i="30"/>
  <c r="F174" i="30"/>
  <c r="J174" i="30"/>
  <c r="N174" i="30"/>
  <c r="E175" i="30"/>
  <c r="F175" i="30"/>
  <c r="N175" i="30"/>
  <c r="E176" i="30"/>
  <c r="F176" i="30"/>
  <c r="J176" i="30"/>
  <c r="R176" i="30"/>
  <c r="E177" i="30"/>
  <c r="F177" i="30"/>
  <c r="N177" i="30"/>
  <c r="E178" i="30"/>
  <c r="F178" i="30"/>
  <c r="P178" i="30"/>
  <c r="E179" i="30"/>
  <c r="F179" i="30"/>
  <c r="N179" i="30"/>
  <c r="E180" i="30"/>
  <c r="F180" i="30"/>
  <c r="P180" i="30"/>
  <c r="E181" i="30"/>
  <c r="F181" i="30"/>
  <c r="N181" i="30"/>
  <c r="E182" i="30"/>
  <c r="F182" i="30"/>
  <c r="J182" i="30"/>
  <c r="N182" i="30"/>
  <c r="R193" i="30"/>
  <c r="N194" i="30"/>
  <c r="R197" i="30"/>
  <c r="N198" i="30"/>
  <c r="N200" i="30"/>
  <c r="R201" i="30"/>
  <c r="N202" i="30"/>
  <c r="N204" i="30"/>
  <c r="R205" i="30"/>
  <c r="M6" i="35"/>
  <c r="O6" i="35"/>
  <c r="Q6" i="35"/>
  <c r="N7" i="35"/>
  <c r="S237" i="37"/>
  <c r="Q237" i="37"/>
  <c r="M8" i="35"/>
  <c r="O8" i="35"/>
  <c r="Q8" i="35"/>
  <c r="M10" i="35"/>
  <c r="O10" i="35"/>
  <c r="Q10" i="35"/>
  <c r="G12" i="35"/>
  <c r="M12" i="35"/>
  <c r="O12" i="35"/>
  <c r="Q12" i="35"/>
  <c r="G14" i="35"/>
  <c r="I14" i="35"/>
  <c r="K14" i="35"/>
  <c r="M14" i="35"/>
  <c r="O14" i="35"/>
  <c r="Q14" i="35"/>
  <c r="G15" i="35"/>
  <c r="I15" i="35"/>
  <c r="K15" i="35"/>
  <c r="E156" i="45"/>
  <c r="M15" i="35"/>
  <c r="O15" i="35"/>
  <c r="Q15" i="35"/>
  <c r="G16" i="35"/>
  <c r="I16" i="35"/>
  <c r="K16" i="35"/>
  <c r="M16" i="35"/>
  <c r="O16" i="35"/>
  <c r="Q16" i="35"/>
  <c r="G18" i="35"/>
  <c r="I18" i="35"/>
  <c r="K18" i="35"/>
  <c r="M18" i="35"/>
  <c r="O18" i="35"/>
  <c r="Q18" i="35"/>
  <c r="G20" i="35"/>
  <c r="I20" i="35"/>
  <c r="K20" i="35"/>
  <c r="M20" i="35"/>
  <c r="O20" i="35"/>
  <c r="Q20" i="35"/>
  <c r="G22" i="35"/>
  <c r="I22" i="35"/>
  <c r="K22" i="35"/>
  <c r="M22" i="35"/>
  <c r="O22" i="35"/>
  <c r="Q22" i="35"/>
  <c r="G24" i="35"/>
  <c r="I24" i="35"/>
  <c r="K24" i="35"/>
  <c r="M24" i="35"/>
  <c r="O24" i="35"/>
  <c r="Q24" i="35"/>
  <c r="G26" i="35"/>
  <c r="I26" i="35"/>
  <c r="K26" i="35"/>
  <c r="M26" i="35"/>
  <c r="O26" i="35"/>
  <c r="Q26" i="35"/>
  <c r="G27" i="35"/>
  <c r="I27" i="35"/>
  <c r="K27" i="35"/>
  <c r="M27" i="35"/>
  <c r="O27" i="35"/>
  <c r="Q27" i="35"/>
  <c r="J28" i="35"/>
  <c r="L28" i="35"/>
  <c r="N28" i="35"/>
  <c r="P28" i="35"/>
  <c r="S299" i="37"/>
  <c r="Q299" i="37"/>
  <c r="G299" i="37"/>
  <c r="G31" i="35"/>
  <c r="I31" i="35"/>
  <c r="K31" i="35"/>
  <c r="M31" i="35"/>
  <c r="O31" i="35"/>
  <c r="Q31" i="35"/>
  <c r="G35" i="35"/>
  <c r="I35" i="35"/>
  <c r="K35" i="35"/>
  <c r="M35" i="35"/>
  <c r="O35" i="35"/>
  <c r="Q35" i="35"/>
  <c r="G39" i="35"/>
  <c r="I39" i="35"/>
  <c r="K39" i="35"/>
  <c r="M39" i="35"/>
  <c r="O39" i="35"/>
  <c r="Q39" i="35"/>
  <c r="G43" i="35"/>
  <c r="I43" i="35"/>
  <c r="K43" i="35"/>
  <c r="M43" i="35"/>
  <c r="P54" i="35"/>
  <c r="S307" i="37"/>
  <c r="Q55" i="35"/>
  <c r="Q57" i="35"/>
  <c r="L58" i="35"/>
  <c r="Q59" i="35"/>
  <c r="F73" i="35"/>
  <c r="F43" i="37"/>
  <c r="F44" i="37"/>
  <c r="F45" i="37"/>
  <c r="F46" i="37"/>
  <c r="F100" i="37"/>
  <c r="F101" i="37"/>
  <c r="F102" i="37"/>
  <c r="F103" i="37"/>
  <c r="F104" i="37"/>
  <c r="F158" i="37"/>
  <c r="F159" i="37"/>
  <c r="F160" i="37"/>
  <c r="F161" i="37"/>
  <c r="F162" i="37"/>
  <c r="F217" i="37"/>
  <c r="F218" i="37"/>
  <c r="F219" i="37"/>
  <c r="F220" i="37"/>
  <c r="F221" i="37"/>
  <c r="G240" i="37"/>
  <c r="G245" i="37"/>
  <c r="G250" i="37"/>
  <c r="G251" i="37"/>
  <c r="G258" i="37"/>
  <c r="G260" i="37"/>
  <c r="G261" i="37"/>
  <c r="G263" i="37"/>
  <c r="G265" i="37"/>
  <c r="G267" i="37"/>
  <c r="F272" i="37"/>
  <c r="F273" i="37"/>
  <c r="F274" i="37"/>
  <c r="F275" i="37"/>
  <c r="G293" i="37"/>
  <c r="G298" i="37"/>
  <c r="G303" i="37"/>
  <c r="G304" i="37"/>
  <c r="G311" i="37"/>
  <c r="G313" i="37"/>
  <c r="G314" i="37"/>
  <c r="G316" i="37"/>
  <c r="G318" i="37"/>
  <c r="G320" i="37"/>
  <c r="F325" i="37"/>
  <c r="F326" i="37"/>
  <c r="F327" i="37"/>
  <c r="F328" i="37"/>
  <c r="R7" i="45"/>
  <c r="R10" i="45"/>
  <c r="R13" i="45"/>
  <c r="R14" i="45"/>
  <c r="R15" i="45"/>
  <c r="R18" i="45"/>
  <c r="R61" i="45"/>
  <c r="R20" i="45"/>
  <c r="E25" i="45"/>
  <c r="H25" i="45"/>
  <c r="I25" i="45"/>
  <c r="J25" i="45"/>
  <c r="K25" i="45"/>
  <c r="L25" i="45"/>
  <c r="M25" i="45"/>
  <c r="N25" i="45"/>
  <c r="R25" i="45"/>
  <c r="E26" i="45"/>
  <c r="H26" i="45"/>
  <c r="I26" i="45"/>
  <c r="J26" i="45"/>
  <c r="K26" i="45"/>
  <c r="L26" i="45"/>
  <c r="M26" i="45"/>
  <c r="N26" i="45"/>
  <c r="R26" i="45"/>
  <c r="E27" i="45"/>
  <c r="L27" i="45"/>
  <c r="M27" i="45"/>
  <c r="N27" i="45"/>
  <c r="H27" i="45"/>
  <c r="I27" i="45"/>
  <c r="J27" i="45"/>
  <c r="K27" i="45"/>
  <c r="R27" i="45"/>
  <c r="E28" i="45"/>
  <c r="L28" i="45"/>
  <c r="M28" i="45"/>
  <c r="H28" i="45"/>
  <c r="I28" i="45"/>
  <c r="J28" i="45"/>
  <c r="K28" i="45"/>
  <c r="N28" i="45"/>
  <c r="R28" i="45"/>
  <c r="E30" i="45"/>
  <c r="L30" i="45"/>
  <c r="M30" i="45"/>
  <c r="N30" i="45"/>
  <c r="R30" i="45"/>
  <c r="K37" i="45"/>
  <c r="R37" i="45"/>
  <c r="K38" i="45"/>
  <c r="R38" i="45"/>
  <c r="K39" i="45"/>
  <c r="R39" i="45"/>
  <c r="K40" i="45"/>
  <c r="R42" i="45"/>
  <c r="K45" i="45"/>
  <c r="R45" i="45"/>
  <c r="K47" i="45"/>
  <c r="R47" i="45"/>
  <c r="R55" i="45"/>
  <c r="K49" i="45"/>
  <c r="R49" i="45"/>
  <c r="K51" i="45"/>
  <c r="K56" i="45"/>
  <c r="R51" i="45"/>
  <c r="F55" i="45"/>
  <c r="F56" i="45"/>
  <c r="F57" i="45"/>
  <c r="F58" i="45"/>
  <c r="R72" i="45"/>
  <c r="R74" i="45"/>
  <c r="R75" i="45"/>
  <c r="R76" i="45"/>
  <c r="H77" i="45"/>
  <c r="R77" i="45"/>
  <c r="R80" i="45"/>
  <c r="R81" i="45"/>
  <c r="R82" i="45"/>
  <c r="E84" i="45"/>
  <c r="H84" i="45"/>
  <c r="J84" i="45"/>
  <c r="K84" i="45"/>
  <c r="L84" i="45"/>
  <c r="R84" i="45"/>
  <c r="R143" i="45"/>
  <c r="R87" i="45"/>
  <c r="R89" i="45"/>
  <c r="R90" i="45"/>
  <c r="E91" i="45"/>
  <c r="F91" i="45"/>
  <c r="H91" i="45"/>
  <c r="J91" i="45"/>
  <c r="K91" i="45"/>
  <c r="L91" i="45"/>
  <c r="M91" i="45"/>
  <c r="R91" i="45"/>
  <c r="E96" i="45"/>
  <c r="H96" i="45"/>
  <c r="I96" i="45"/>
  <c r="J96" i="45"/>
  <c r="K96" i="45"/>
  <c r="L96" i="45"/>
  <c r="M96" i="45"/>
  <c r="N96" i="45"/>
  <c r="R96" i="45"/>
  <c r="E97" i="45"/>
  <c r="H97" i="45"/>
  <c r="J97" i="45"/>
  <c r="K97" i="45"/>
  <c r="L97" i="45"/>
  <c r="M97" i="45"/>
  <c r="N97" i="45"/>
  <c r="R97" i="45"/>
  <c r="E98" i="45"/>
  <c r="H98" i="45"/>
  <c r="J98" i="45"/>
  <c r="K98" i="45"/>
  <c r="L98" i="45"/>
  <c r="M98" i="45"/>
  <c r="N98" i="45"/>
  <c r="R98" i="45"/>
  <c r="E99" i="45"/>
  <c r="L99" i="45"/>
  <c r="M99" i="45"/>
  <c r="H99" i="45"/>
  <c r="J99" i="45"/>
  <c r="K99" i="45"/>
  <c r="N99" i="45"/>
  <c r="R99" i="45"/>
  <c r="E100" i="45"/>
  <c r="H100" i="45"/>
  <c r="J100" i="45"/>
  <c r="K100" i="45"/>
  <c r="L100" i="45"/>
  <c r="M100" i="45"/>
  <c r="N100" i="45"/>
  <c r="R100" i="45"/>
  <c r="E101" i="45"/>
  <c r="H101" i="45"/>
  <c r="J101" i="45"/>
  <c r="K101" i="45"/>
  <c r="L101" i="45"/>
  <c r="M101" i="45"/>
  <c r="N101" i="45"/>
  <c r="R101" i="45"/>
  <c r="E108" i="45"/>
  <c r="L108" i="45"/>
  <c r="M108" i="45"/>
  <c r="N108" i="45"/>
  <c r="R108" i="45"/>
  <c r="K111" i="45"/>
  <c r="R111" i="45"/>
  <c r="K112" i="45"/>
  <c r="R112" i="45"/>
  <c r="K113" i="45"/>
  <c r="K114" i="45"/>
  <c r="R114" i="45"/>
  <c r="K115" i="45"/>
  <c r="R115" i="45"/>
  <c r="E116" i="45"/>
  <c r="H116" i="45"/>
  <c r="J116" i="45"/>
  <c r="K116" i="45"/>
  <c r="L116" i="45"/>
  <c r="M116" i="45"/>
  <c r="N116" i="45"/>
  <c r="R116" i="45"/>
  <c r="R118" i="45"/>
  <c r="K121" i="45"/>
  <c r="R121" i="45"/>
  <c r="K123" i="45"/>
  <c r="R123" i="45"/>
  <c r="K125" i="45"/>
  <c r="R125" i="45"/>
  <c r="K127" i="45"/>
  <c r="R127" i="45"/>
  <c r="F131" i="45"/>
  <c r="F132" i="45"/>
  <c r="F133" i="45"/>
  <c r="F134" i="45"/>
  <c r="F135" i="45"/>
  <c r="F136" i="45"/>
  <c r="F143" i="45"/>
  <c r="R151" i="45"/>
  <c r="R153" i="45"/>
  <c r="R154" i="45"/>
  <c r="R155" i="45"/>
  <c r="H156" i="45"/>
  <c r="R156" i="45"/>
  <c r="R158" i="45"/>
  <c r="R159" i="45"/>
  <c r="R162" i="45"/>
  <c r="E163" i="45"/>
  <c r="H163" i="45"/>
  <c r="J163" i="45"/>
  <c r="K163" i="45"/>
  <c r="K221" i="45"/>
  <c r="L163" i="45"/>
  <c r="M163" i="45"/>
  <c r="N163" i="45"/>
  <c r="R163" i="45"/>
  <c r="R165" i="45"/>
  <c r="R166" i="45"/>
  <c r="R167" i="45"/>
  <c r="R168" i="45"/>
  <c r="E170" i="45"/>
  <c r="L170" i="45"/>
  <c r="M170" i="45"/>
  <c r="N170" i="45"/>
  <c r="F170" i="45"/>
  <c r="H170" i="45"/>
  <c r="J170" i="45"/>
  <c r="K170" i="45"/>
  <c r="R170" i="45"/>
  <c r="E175" i="45"/>
  <c r="L175" i="45"/>
  <c r="M175" i="45"/>
  <c r="H175" i="45"/>
  <c r="I175" i="45"/>
  <c r="J175" i="45"/>
  <c r="K175" i="45"/>
  <c r="R175" i="45"/>
  <c r="E176" i="45"/>
  <c r="L176" i="45"/>
  <c r="M176" i="45"/>
  <c r="N176" i="45"/>
  <c r="H176" i="45"/>
  <c r="I176" i="45"/>
  <c r="J176" i="45"/>
  <c r="K176" i="45"/>
  <c r="K217" i="45"/>
  <c r="R176" i="45"/>
  <c r="E177" i="45"/>
  <c r="H177" i="45"/>
  <c r="I177" i="45"/>
  <c r="J177" i="45"/>
  <c r="K177" i="45"/>
  <c r="L177" i="45"/>
  <c r="M177" i="45"/>
  <c r="N177" i="45"/>
  <c r="R177" i="45"/>
  <c r="E178" i="45"/>
  <c r="H178" i="45"/>
  <c r="I178" i="45"/>
  <c r="J178" i="45"/>
  <c r="K178" i="45"/>
  <c r="L178" i="45"/>
  <c r="M178" i="45"/>
  <c r="R178" i="45"/>
  <c r="E179" i="45"/>
  <c r="H179" i="45"/>
  <c r="I179" i="45"/>
  <c r="J179" i="45"/>
  <c r="K179" i="45"/>
  <c r="L179" i="45"/>
  <c r="M179" i="45"/>
  <c r="R179" i="45"/>
  <c r="E180" i="45"/>
  <c r="H180" i="45"/>
  <c r="I180" i="45"/>
  <c r="J180" i="45"/>
  <c r="K180" i="45"/>
  <c r="L180" i="45"/>
  <c r="M180" i="45"/>
  <c r="N180" i="45"/>
  <c r="R180" i="45"/>
  <c r="E186" i="45"/>
  <c r="L186" i="45"/>
  <c r="M186" i="45"/>
  <c r="N186" i="45"/>
  <c r="R186" i="45"/>
  <c r="K189" i="45"/>
  <c r="R189" i="45"/>
  <c r="K190" i="45"/>
  <c r="R190" i="45"/>
  <c r="K191" i="45"/>
  <c r="K192" i="45"/>
  <c r="R192" i="45"/>
  <c r="K193" i="45"/>
  <c r="R193" i="45"/>
  <c r="E194" i="45"/>
  <c r="L194" i="45"/>
  <c r="M194" i="45"/>
  <c r="H194" i="45"/>
  <c r="J194" i="45"/>
  <c r="K194" i="45"/>
  <c r="R194" i="45"/>
  <c r="R196" i="45"/>
  <c r="K199" i="45"/>
  <c r="R199" i="45"/>
  <c r="K201" i="45"/>
  <c r="R201" i="45"/>
  <c r="K203" i="45"/>
  <c r="K210" i="45"/>
  <c r="R203" i="45"/>
  <c r="R211" i="45"/>
  <c r="K205" i="45"/>
  <c r="K212" i="45"/>
  <c r="R205" i="45"/>
  <c r="F209" i="45"/>
  <c r="F210" i="45"/>
  <c r="F211" i="45"/>
  <c r="F212" i="45"/>
  <c r="R212" i="45"/>
  <c r="F213" i="45"/>
  <c r="F214" i="45"/>
  <c r="R214" i="45"/>
  <c r="F221" i="45"/>
  <c r="R221" i="45"/>
  <c r="R230" i="45"/>
  <c r="R231" i="45"/>
  <c r="R232" i="45"/>
  <c r="E234" i="45"/>
  <c r="H234" i="45"/>
  <c r="R234" i="45"/>
  <c r="R236" i="45"/>
  <c r="R237" i="45"/>
  <c r="R238" i="45"/>
  <c r="R240" i="45"/>
  <c r="E241" i="45"/>
  <c r="H241" i="45"/>
  <c r="J241" i="45"/>
  <c r="K241" i="45"/>
  <c r="L241" i="45"/>
  <c r="M241" i="45"/>
  <c r="N241" i="45"/>
  <c r="R241" i="45"/>
  <c r="R244" i="45"/>
  <c r="R245" i="45"/>
  <c r="R247" i="45"/>
  <c r="E248" i="45"/>
  <c r="L248" i="45"/>
  <c r="M248" i="45"/>
  <c r="N248" i="45"/>
  <c r="F248" i="45"/>
  <c r="H248" i="45"/>
  <c r="J248" i="45"/>
  <c r="K248" i="45"/>
  <c r="R248" i="45"/>
  <c r="E253" i="45"/>
  <c r="H253" i="45"/>
  <c r="I253" i="45"/>
  <c r="J253" i="45"/>
  <c r="K253" i="45"/>
  <c r="L253" i="45"/>
  <c r="M253" i="45"/>
  <c r="N253" i="45"/>
  <c r="R253" i="45"/>
  <c r="E254" i="45"/>
  <c r="L254" i="45"/>
  <c r="M254" i="45"/>
  <c r="N254" i="45"/>
  <c r="H254" i="45"/>
  <c r="I254" i="45"/>
  <c r="I255" i="45"/>
  <c r="I256" i="45"/>
  <c r="I257" i="45"/>
  <c r="I258" i="45"/>
  <c r="J254" i="45"/>
  <c r="K254" i="45"/>
  <c r="R254" i="45"/>
  <c r="E255" i="45"/>
  <c r="H255" i="45"/>
  <c r="J255" i="45"/>
  <c r="K255" i="45"/>
  <c r="L255" i="45"/>
  <c r="M255" i="45"/>
  <c r="N255" i="45"/>
  <c r="R255" i="45"/>
  <c r="E256" i="45"/>
  <c r="H256" i="45"/>
  <c r="J256" i="45"/>
  <c r="K256" i="45"/>
  <c r="K298" i="45"/>
  <c r="L256" i="45"/>
  <c r="M256" i="45"/>
  <c r="N256" i="45"/>
  <c r="R256" i="45"/>
  <c r="E257" i="45"/>
  <c r="H257" i="45"/>
  <c r="J257" i="45"/>
  <c r="K257" i="45"/>
  <c r="L257" i="45"/>
  <c r="M257" i="45"/>
  <c r="R257" i="45"/>
  <c r="E258" i="45"/>
  <c r="H258" i="45"/>
  <c r="J258" i="45"/>
  <c r="K258" i="45"/>
  <c r="L258" i="45"/>
  <c r="M258" i="45"/>
  <c r="N258" i="45"/>
  <c r="R258" i="45"/>
  <c r="E265" i="45"/>
  <c r="L265" i="45"/>
  <c r="M265" i="45"/>
  <c r="H265" i="45"/>
  <c r="I265" i="45"/>
  <c r="J265" i="45"/>
  <c r="K265" i="45"/>
  <c r="N265" i="45"/>
  <c r="R265" i="45"/>
  <c r="R300" i="45"/>
  <c r="K268" i="45"/>
  <c r="R268" i="45"/>
  <c r="K269" i="45"/>
  <c r="K270" i="45"/>
  <c r="K271" i="45"/>
  <c r="R271" i="45"/>
  <c r="K272" i="45"/>
  <c r="R272" i="45"/>
  <c r="E273" i="45"/>
  <c r="L273" i="45"/>
  <c r="M273" i="45"/>
  <c r="H273" i="45"/>
  <c r="J273" i="45"/>
  <c r="K273" i="45"/>
  <c r="N273" i="45"/>
  <c r="R273" i="45"/>
  <c r="K275" i="45"/>
  <c r="R275" i="45"/>
  <c r="K278" i="45"/>
  <c r="R278" i="45"/>
  <c r="K280" i="45"/>
  <c r="R280" i="45"/>
  <c r="K282" i="45"/>
  <c r="R282" i="45"/>
  <c r="K284" i="45"/>
  <c r="R284" i="45"/>
  <c r="R290" i="45"/>
  <c r="F288" i="45"/>
  <c r="F289" i="45"/>
  <c r="F290" i="45"/>
  <c r="F291" i="45"/>
  <c r="R291" i="45"/>
  <c r="F292" i="45"/>
  <c r="F293" i="45"/>
  <c r="R293" i="45"/>
  <c r="F300" i="45"/>
  <c r="R308" i="45"/>
  <c r="R357" i="45"/>
  <c r="R309" i="45"/>
  <c r="R310" i="45"/>
  <c r="R311" i="45"/>
  <c r="R360" i="45"/>
  <c r="G312" i="45"/>
  <c r="R315" i="45"/>
  <c r="R316" i="45"/>
  <c r="G317" i="45"/>
  <c r="R318" i="45"/>
  <c r="R319" i="45"/>
  <c r="R320" i="45"/>
  <c r="P320" i="45"/>
  <c r="G320" i="45"/>
  <c r="R321" i="45"/>
  <c r="G322" i="45"/>
  <c r="G323" i="45"/>
  <c r="E326" i="45"/>
  <c r="L326" i="45"/>
  <c r="M326" i="45"/>
  <c r="N326" i="45"/>
  <c r="H326" i="45"/>
  <c r="I326" i="45"/>
  <c r="I327" i="45"/>
  <c r="I328" i="45"/>
  <c r="I329" i="45"/>
  <c r="J326" i="45"/>
  <c r="K326" i="45"/>
  <c r="R326" i="45"/>
  <c r="E327" i="45"/>
  <c r="H327" i="45"/>
  <c r="J327" i="45"/>
  <c r="K327" i="45"/>
  <c r="L327" i="45"/>
  <c r="M327" i="45"/>
  <c r="N327" i="45"/>
  <c r="R327" i="45"/>
  <c r="E328" i="45"/>
  <c r="H328" i="45"/>
  <c r="J328" i="45"/>
  <c r="K328" i="45"/>
  <c r="L328" i="45"/>
  <c r="M328" i="45"/>
  <c r="N328" i="45"/>
  <c r="R328" i="45"/>
  <c r="E329" i="45"/>
  <c r="H329" i="45"/>
  <c r="J329" i="45"/>
  <c r="K329" i="45"/>
  <c r="L329" i="45"/>
  <c r="M329" i="45"/>
  <c r="N329" i="45"/>
  <c r="R329" i="45"/>
  <c r="E336" i="45"/>
  <c r="L336" i="45"/>
  <c r="M336" i="45"/>
  <c r="N336" i="45"/>
  <c r="R336" i="45"/>
  <c r="R365" i="45"/>
  <c r="G338" i="45"/>
  <c r="K339" i="45"/>
  <c r="R339" i="45"/>
  <c r="K340" i="45"/>
  <c r="K341" i="45"/>
  <c r="R341" i="45"/>
  <c r="K342" i="45"/>
  <c r="R342" i="45"/>
  <c r="G343" i="45"/>
  <c r="R344" i="45"/>
  <c r="G345" i="45"/>
  <c r="G346" i="45"/>
  <c r="K347" i="45"/>
  <c r="R347" i="45"/>
  <c r="G348" i="45"/>
  <c r="K349" i="45"/>
  <c r="R349" i="45"/>
  <c r="R358" i="45"/>
  <c r="G350" i="45"/>
  <c r="K351" i="45"/>
  <c r="R351" i="45"/>
  <c r="G352" i="45"/>
  <c r="K353" i="45"/>
  <c r="R353" i="45"/>
  <c r="F357" i="45"/>
  <c r="F358" i="45"/>
  <c r="F359" i="45"/>
  <c r="F360" i="45"/>
  <c r="R7" i="46"/>
  <c r="R10" i="46"/>
  <c r="R13" i="46"/>
  <c r="R14" i="46"/>
  <c r="R15" i="46"/>
  <c r="R18" i="46"/>
  <c r="R61" i="46"/>
  <c r="R20" i="46"/>
  <c r="E25" i="46"/>
  <c r="H25" i="46"/>
  <c r="I25" i="46"/>
  <c r="J25" i="46"/>
  <c r="K25" i="46"/>
  <c r="L25" i="46"/>
  <c r="M25" i="46"/>
  <c r="N25" i="46"/>
  <c r="R25" i="46"/>
  <c r="E26" i="46"/>
  <c r="H26" i="46"/>
  <c r="I26" i="46"/>
  <c r="J26" i="46"/>
  <c r="K26" i="46"/>
  <c r="L26" i="46"/>
  <c r="M26" i="46"/>
  <c r="N26" i="46"/>
  <c r="R26" i="46"/>
  <c r="E27" i="46"/>
  <c r="L27" i="46"/>
  <c r="M27" i="46"/>
  <c r="N27" i="46"/>
  <c r="H27" i="46"/>
  <c r="I27" i="46"/>
  <c r="J27" i="46"/>
  <c r="K27" i="46"/>
  <c r="R27" i="46"/>
  <c r="E28" i="46"/>
  <c r="L28" i="46"/>
  <c r="M28" i="46"/>
  <c r="H28" i="46"/>
  <c r="I28" i="46"/>
  <c r="J28" i="46"/>
  <c r="K28" i="46"/>
  <c r="N28" i="46"/>
  <c r="R28" i="46"/>
  <c r="E30" i="46"/>
  <c r="L30" i="46"/>
  <c r="M30" i="46"/>
  <c r="N30" i="46"/>
  <c r="R30" i="46"/>
  <c r="K37" i="46"/>
  <c r="R37" i="46"/>
  <c r="K38" i="46"/>
  <c r="R38" i="46"/>
  <c r="K39" i="46"/>
  <c r="R39" i="46"/>
  <c r="K40" i="46"/>
  <c r="R42" i="46"/>
  <c r="K45" i="46"/>
  <c r="R45" i="46"/>
  <c r="K47" i="46"/>
  <c r="R47" i="46"/>
  <c r="K49" i="46"/>
  <c r="R49" i="46"/>
  <c r="K51" i="46"/>
  <c r="R51" i="46"/>
  <c r="F55" i="46"/>
  <c r="F56" i="46"/>
  <c r="F57" i="46"/>
  <c r="F58" i="46"/>
  <c r="R72" i="46"/>
  <c r="R75" i="46"/>
  <c r="R76" i="46"/>
  <c r="H77" i="46"/>
  <c r="R77" i="46"/>
  <c r="R80" i="46"/>
  <c r="R81" i="46"/>
  <c r="R82" i="46"/>
  <c r="O82" i="46"/>
  <c r="E84" i="46"/>
  <c r="H84" i="46"/>
  <c r="J84" i="46"/>
  <c r="K84" i="46"/>
  <c r="L84" i="46"/>
  <c r="M84" i="46"/>
  <c r="N84" i="46"/>
  <c r="R84" i="46"/>
  <c r="R86" i="46"/>
  <c r="R87" i="46"/>
  <c r="R88" i="46"/>
  <c r="R89" i="46"/>
  <c r="R90" i="46"/>
  <c r="E91" i="46"/>
  <c r="L91" i="46"/>
  <c r="M91" i="46"/>
  <c r="N91" i="46"/>
  <c r="F91" i="46"/>
  <c r="H91" i="46"/>
  <c r="J91" i="46"/>
  <c r="K91" i="46"/>
  <c r="K143" i="46"/>
  <c r="R91" i="46"/>
  <c r="E96" i="46"/>
  <c r="H96" i="46"/>
  <c r="I96" i="46"/>
  <c r="J96" i="46"/>
  <c r="K96" i="46"/>
  <c r="L96" i="46"/>
  <c r="M96" i="46"/>
  <c r="N96" i="46"/>
  <c r="R96" i="46"/>
  <c r="E97" i="46"/>
  <c r="H97" i="46"/>
  <c r="J97" i="46"/>
  <c r="K97" i="46"/>
  <c r="L97" i="46"/>
  <c r="M97" i="46"/>
  <c r="N97" i="46"/>
  <c r="R97" i="46"/>
  <c r="E98" i="46"/>
  <c r="L98" i="46"/>
  <c r="M98" i="46"/>
  <c r="H98" i="46"/>
  <c r="J98" i="46"/>
  <c r="K98" i="46"/>
  <c r="N98" i="46"/>
  <c r="R98" i="46"/>
  <c r="E99" i="46"/>
  <c r="L99" i="46"/>
  <c r="H99" i="46"/>
  <c r="I99" i="46"/>
  <c r="J99" i="46"/>
  <c r="K99" i="46"/>
  <c r="M99" i="46"/>
  <c r="N99" i="46"/>
  <c r="R99" i="46"/>
  <c r="E100" i="46"/>
  <c r="H100" i="46"/>
  <c r="I100" i="46"/>
  <c r="J100" i="46"/>
  <c r="K100" i="46"/>
  <c r="L100" i="46"/>
  <c r="M100" i="46"/>
  <c r="N100" i="46"/>
  <c r="R100" i="46"/>
  <c r="E101" i="46"/>
  <c r="H101" i="46"/>
  <c r="J101" i="46"/>
  <c r="K101" i="46"/>
  <c r="L101" i="46"/>
  <c r="M101" i="46"/>
  <c r="N101" i="46"/>
  <c r="R101" i="46"/>
  <c r="E108" i="46"/>
  <c r="L108" i="46"/>
  <c r="M108" i="46"/>
  <c r="N108" i="46"/>
  <c r="R108" i="46"/>
  <c r="K111" i="46"/>
  <c r="R111" i="46"/>
  <c r="K112" i="46"/>
  <c r="R112" i="46"/>
  <c r="K113" i="46"/>
  <c r="K114" i="46"/>
  <c r="R114" i="46"/>
  <c r="K115" i="46"/>
  <c r="R115" i="46"/>
  <c r="E116" i="46"/>
  <c r="L116" i="46"/>
  <c r="M116" i="46"/>
  <c r="H116" i="46"/>
  <c r="J116" i="46"/>
  <c r="K116" i="46"/>
  <c r="N116" i="46"/>
  <c r="R116" i="46"/>
  <c r="R118" i="46"/>
  <c r="K121" i="46"/>
  <c r="R121" i="46"/>
  <c r="K123" i="46"/>
  <c r="R123" i="46"/>
  <c r="K125" i="46"/>
  <c r="R125" i="46"/>
  <c r="K127" i="46"/>
  <c r="R127" i="46"/>
  <c r="F131" i="46"/>
  <c r="F132" i="46"/>
  <c r="F133" i="46"/>
  <c r="F134" i="46"/>
  <c r="F135" i="46"/>
  <c r="F136" i="46"/>
  <c r="R141" i="46"/>
  <c r="F143" i="46"/>
  <c r="R151" i="46"/>
  <c r="R152" i="46"/>
  <c r="O152" i="46"/>
  <c r="R153" i="46"/>
  <c r="R154" i="46"/>
  <c r="R155" i="46"/>
  <c r="R213" i="46"/>
  <c r="E156" i="46"/>
  <c r="H156" i="46"/>
  <c r="R156" i="46"/>
  <c r="R158" i="46"/>
  <c r="P158" i="46"/>
  <c r="R159" i="46"/>
  <c r="R160" i="46"/>
  <c r="R162" i="46"/>
  <c r="E163" i="46"/>
  <c r="H163" i="46"/>
  <c r="J163" i="46"/>
  <c r="K163" i="46"/>
  <c r="L163" i="46"/>
  <c r="M163" i="46"/>
  <c r="N163" i="46"/>
  <c r="R163" i="46"/>
  <c r="R221" i="46"/>
  <c r="R165" i="46"/>
  <c r="R166" i="46"/>
  <c r="R167" i="46"/>
  <c r="R168" i="46"/>
  <c r="E170" i="46"/>
  <c r="L170" i="46"/>
  <c r="M170" i="46"/>
  <c r="N170" i="46"/>
  <c r="F170" i="46"/>
  <c r="H170" i="46"/>
  <c r="J170" i="46"/>
  <c r="K170" i="46"/>
  <c r="K221" i="46"/>
  <c r="R170" i="46"/>
  <c r="E175" i="46"/>
  <c r="H175" i="46"/>
  <c r="I175" i="46"/>
  <c r="J175" i="46"/>
  <c r="K175" i="46"/>
  <c r="L175" i="46"/>
  <c r="M175" i="46"/>
  <c r="N175" i="46"/>
  <c r="R175" i="46"/>
  <c r="E176" i="46"/>
  <c r="H176" i="46"/>
  <c r="J176" i="46"/>
  <c r="K176" i="46"/>
  <c r="L176" i="46"/>
  <c r="M176" i="46"/>
  <c r="N176" i="46"/>
  <c r="R176" i="46"/>
  <c r="E177" i="46"/>
  <c r="H177" i="46"/>
  <c r="J177" i="46"/>
  <c r="K177" i="46"/>
  <c r="L177" i="46"/>
  <c r="M177" i="46"/>
  <c r="N177" i="46"/>
  <c r="R177" i="46"/>
  <c r="E178" i="46"/>
  <c r="L178" i="46"/>
  <c r="M178" i="46"/>
  <c r="H178" i="46"/>
  <c r="J178" i="46"/>
  <c r="K178" i="46"/>
  <c r="N178" i="46"/>
  <c r="R178" i="46"/>
  <c r="E179" i="46"/>
  <c r="H179" i="46"/>
  <c r="J179" i="46"/>
  <c r="K179" i="46"/>
  <c r="L179" i="46"/>
  <c r="M179" i="46"/>
  <c r="N179" i="46"/>
  <c r="R179" i="46"/>
  <c r="E180" i="46"/>
  <c r="H180" i="46"/>
  <c r="J180" i="46"/>
  <c r="K180" i="46"/>
  <c r="L180" i="46"/>
  <c r="M180" i="46"/>
  <c r="N180" i="46"/>
  <c r="R180" i="46"/>
  <c r="E186" i="46"/>
  <c r="L186" i="46"/>
  <c r="M186" i="46"/>
  <c r="N186" i="46"/>
  <c r="R186" i="46"/>
  <c r="K189" i="46"/>
  <c r="R189" i="46"/>
  <c r="K190" i="46"/>
  <c r="R190" i="46"/>
  <c r="K191" i="46"/>
  <c r="K192" i="46"/>
  <c r="R192" i="46"/>
  <c r="K193" i="46"/>
  <c r="R193" i="46"/>
  <c r="E194" i="46"/>
  <c r="H194" i="46"/>
  <c r="J194" i="46"/>
  <c r="K194" i="46"/>
  <c r="L194" i="46"/>
  <c r="M194" i="46"/>
  <c r="N194" i="46"/>
  <c r="R194" i="46"/>
  <c r="R196" i="46"/>
  <c r="K199" i="46"/>
  <c r="R199" i="46"/>
  <c r="K201" i="46"/>
  <c r="R201" i="46"/>
  <c r="K203" i="46"/>
  <c r="R203" i="46"/>
  <c r="K205" i="46"/>
  <c r="R205" i="46"/>
  <c r="F209" i="46"/>
  <c r="F210" i="46"/>
  <c r="F211" i="46"/>
  <c r="F212" i="46"/>
  <c r="F213" i="46"/>
  <c r="F214" i="46"/>
  <c r="R216" i="46"/>
  <c r="F221" i="46"/>
  <c r="R229" i="46"/>
  <c r="R230" i="46"/>
  <c r="R231" i="46"/>
  <c r="R232" i="46"/>
  <c r="R233" i="46"/>
  <c r="E234" i="46"/>
  <c r="H234" i="46"/>
  <c r="R234" i="46"/>
  <c r="R236" i="46"/>
  <c r="R237" i="46"/>
  <c r="R238" i="46"/>
  <c r="R239" i="46"/>
  <c r="R240" i="46"/>
  <c r="E241" i="46"/>
  <c r="H241" i="46"/>
  <c r="J241" i="46"/>
  <c r="K241" i="46"/>
  <c r="L241" i="46"/>
  <c r="M241" i="46"/>
  <c r="N241" i="46"/>
  <c r="R241" i="46"/>
  <c r="R245" i="46"/>
  <c r="R246" i="46"/>
  <c r="R247" i="46"/>
  <c r="E248" i="46"/>
  <c r="L248" i="46"/>
  <c r="M248" i="46"/>
  <c r="N248" i="46"/>
  <c r="F248" i="46"/>
  <c r="F300" i="46"/>
  <c r="H248" i="46"/>
  <c r="J248" i="46"/>
  <c r="K248" i="46"/>
  <c r="R248" i="46"/>
  <c r="E253" i="46"/>
  <c r="H253" i="46"/>
  <c r="I253" i="46"/>
  <c r="I254" i="46"/>
  <c r="I255" i="46"/>
  <c r="I256" i="46"/>
  <c r="J253" i="46"/>
  <c r="K253" i="46"/>
  <c r="L253" i="46"/>
  <c r="M253" i="46"/>
  <c r="N253" i="46"/>
  <c r="R253" i="46"/>
  <c r="E254" i="46"/>
  <c r="H254" i="46"/>
  <c r="I257" i="46"/>
  <c r="I258" i="46"/>
  <c r="J254" i="46"/>
  <c r="K254" i="46"/>
  <c r="L254" i="46"/>
  <c r="M254" i="46"/>
  <c r="N254" i="46"/>
  <c r="R254" i="46"/>
  <c r="E255" i="46"/>
  <c r="H255" i="46"/>
  <c r="J255" i="46"/>
  <c r="K255" i="46"/>
  <c r="L255" i="46"/>
  <c r="M255" i="46"/>
  <c r="N255" i="46"/>
  <c r="R255" i="46"/>
  <c r="E256" i="46"/>
  <c r="H256" i="46"/>
  <c r="J256" i="46"/>
  <c r="K256" i="46"/>
  <c r="L256" i="46"/>
  <c r="M256" i="46"/>
  <c r="N256" i="46"/>
  <c r="R256" i="46"/>
  <c r="E257" i="46"/>
  <c r="H257" i="46"/>
  <c r="J257" i="46"/>
  <c r="K257" i="46"/>
  <c r="L257" i="46"/>
  <c r="M257" i="46"/>
  <c r="N257" i="46"/>
  <c r="R257" i="46"/>
  <c r="E258" i="46"/>
  <c r="H258" i="46"/>
  <c r="J258" i="46"/>
  <c r="K258" i="46"/>
  <c r="L258" i="46"/>
  <c r="M258" i="46"/>
  <c r="N258" i="46"/>
  <c r="R258" i="46"/>
  <c r="E265" i="46"/>
  <c r="H265" i="46"/>
  <c r="I265" i="46"/>
  <c r="J265" i="46"/>
  <c r="K265" i="46"/>
  <c r="L265" i="46"/>
  <c r="M265" i="46"/>
  <c r="N265" i="46"/>
  <c r="R265" i="46"/>
  <c r="R300" i="46"/>
  <c r="K268" i="46"/>
  <c r="R268" i="46"/>
  <c r="K269" i="46"/>
  <c r="K270" i="46"/>
  <c r="R270" i="46"/>
  <c r="P270" i="46"/>
  <c r="G270" i="46"/>
  <c r="K271" i="46"/>
  <c r="R271" i="46"/>
  <c r="K272" i="46"/>
  <c r="R272" i="46"/>
  <c r="E273" i="46"/>
  <c r="H273" i="46"/>
  <c r="J273" i="46"/>
  <c r="K273" i="46"/>
  <c r="K300" i="46"/>
  <c r="L273" i="46"/>
  <c r="M273" i="46"/>
  <c r="N273" i="46"/>
  <c r="R273" i="46"/>
  <c r="K275" i="46"/>
  <c r="R275" i="46"/>
  <c r="K278" i="46"/>
  <c r="R278" i="46"/>
  <c r="K280" i="46"/>
  <c r="R280" i="46"/>
  <c r="K282" i="46"/>
  <c r="R282" i="46"/>
  <c r="K284" i="46"/>
  <c r="R284" i="46"/>
  <c r="F288" i="46"/>
  <c r="F289" i="46"/>
  <c r="R289" i="46"/>
  <c r="F290" i="46"/>
  <c r="F291" i="46"/>
  <c r="F292" i="46"/>
  <c r="F293" i="46"/>
  <c r="R298" i="46"/>
  <c r="R308" i="46"/>
  <c r="R357" i="46"/>
  <c r="R309" i="46"/>
  <c r="R310" i="46"/>
  <c r="R311" i="46"/>
  <c r="G312" i="46"/>
  <c r="R313" i="46"/>
  <c r="R315" i="46"/>
  <c r="R316" i="46"/>
  <c r="G317" i="46"/>
  <c r="R318" i="46"/>
  <c r="R319" i="46"/>
  <c r="O319" i="46"/>
  <c r="R320" i="46"/>
  <c r="R321" i="46"/>
  <c r="G322" i="46"/>
  <c r="G323" i="46"/>
  <c r="E326" i="46"/>
  <c r="H326" i="46"/>
  <c r="I326" i="46"/>
  <c r="I327" i="46"/>
  <c r="I328" i="46"/>
  <c r="I329" i="46"/>
  <c r="J326" i="46"/>
  <c r="K326" i="46"/>
  <c r="L326" i="46"/>
  <c r="M326" i="46"/>
  <c r="N326" i="46"/>
  <c r="R326" i="46"/>
  <c r="E327" i="46"/>
  <c r="H327" i="46"/>
  <c r="J327" i="46"/>
  <c r="K327" i="46"/>
  <c r="L327" i="46"/>
  <c r="M327" i="46"/>
  <c r="R327" i="46"/>
  <c r="E328" i="46"/>
  <c r="H328" i="46"/>
  <c r="J328" i="46"/>
  <c r="K328" i="46"/>
  <c r="L328" i="46"/>
  <c r="M328" i="46"/>
  <c r="N328" i="46"/>
  <c r="R328" i="46"/>
  <c r="E329" i="46"/>
  <c r="H329" i="46"/>
  <c r="J329" i="46"/>
  <c r="K329" i="46"/>
  <c r="L329" i="46"/>
  <c r="M329" i="46"/>
  <c r="N329" i="46"/>
  <c r="R329" i="46"/>
  <c r="E336" i="46"/>
  <c r="L336" i="46"/>
  <c r="M336" i="46"/>
  <c r="N336" i="46"/>
  <c r="R336" i="46"/>
  <c r="P336" i="46"/>
  <c r="G338" i="46"/>
  <c r="K339" i="46"/>
  <c r="R339" i="46"/>
  <c r="K340" i="46"/>
  <c r="R340" i="46"/>
  <c r="K341" i="46"/>
  <c r="R341" i="46"/>
  <c r="K342" i="46"/>
  <c r="R342" i="46"/>
  <c r="G343" i="46"/>
  <c r="R344" i="46"/>
  <c r="G345" i="46"/>
  <c r="G346" i="46"/>
  <c r="K347" i="46"/>
  <c r="R347" i="46"/>
  <c r="G348" i="46"/>
  <c r="K349" i="46"/>
  <c r="R349" i="46"/>
  <c r="G350" i="46"/>
  <c r="K351" i="46"/>
  <c r="R351" i="46"/>
  <c r="G352" i="46"/>
  <c r="K353" i="46"/>
  <c r="R353" i="46"/>
  <c r="F357" i="46"/>
  <c r="F358" i="46"/>
  <c r="F359" i="46"/>
  <c r="F360" i="46"/>
  <c r="F4" i="49"/>
  <c r="F5" i="49"/>
  <c r="F6" i="49"/>
  <c r="F7" i="49"/>
  <c r="F8" i="49"/>
  <c r="G171" i="32"/>
  <c r="F9" i="49"/>
  <c r="F10" i="49"/>
  <c r="F11" i="49"/>
  <c r="F12" i="49"/>
  <c r="F13" i="49"/>
  <c r="F14" i="49"/>
  <c r="F15" i="49"/>
  <c r="F16" i="49"/>
  <c r="F17" i="49"/>
  <c r="G113" i="32"/>
  <c r="K113" i="32"/>
  <c r="F4" i="48"/>
  <c r="F5" i="48"/>
  <c r="F6" i="48"/>
  <c r="F7" i="48"/>
  <c r="F8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30" i="48"/>
  <c r="F31" i="48"/>
  <c r="F32" i="48"/>
  <c r="F33" i="48"/>
  <c r="F34" i="48"/>
  <c r="F35" i="48"/>
  <c r="F36" i="48"/>
  <c r="F37" i="48"/>
  <c r="F38" i="48"/>
  <c r="F39" i="48"/>
  <c r="F40" i="48"/>
  <c r="F41" i="48"/>
  <c r="F42" i="48"/>
  <c r="F43" i="48"/>
  <c r="F44" i="48"/>
  <c r="F45" i="48"/>
  <c r="F46" i="48"/>
  <c r="F47" i="48"/>
  <c r="F48" i="48"/>
  <c r="F49" i="48"/>
  <c r="F50" i="48"/>
  <c r="F51" i="48"/>
  <c r="F52" i="48"/>
  <c r="F53" i="48"/>
  <c r="F54" i="48"/>
  <c r="F55" i="48"/>
  <c r="F56" i="48"/>
  <c r="F57" i="48"/>
  <c r="F58" i="48"/>
  <c r="F59" i="48"/>
  <c r="F60" i="48"/>
  <c r="F61" i="48"/>
  <c r="F62" i="48"/>
  <c r="F63" i="48"/>
  <c r="F64" i="48"/>
  <c r="F65" i="48"/>
  <c r="F66" i="48"/>
  <c r="F67" i="48"/>
  <c r="F68" i="48"/>
  <c r="F69" i="48"/>
  <c r="F70" i="48"/>
  <c r="F71" i="48"/>
  <c r="F72" i="48"/>
  <c r="F73" i="48"/>
  <c r="F74" i="48"/>
  <c r="F75" i="48"/>
  <c r="F76" i="48"/>
  <c r="F77" i="48"/>
  <c r="F78" i="48"/>
  <c r="F79" i="48"/>
  <c r="F80" i="48"/>
  <c r="F81" i="48"/>
  <c r="F82" i="48"/>
  <c r="F83" i="48"/>
  <c r="F84" i="48"/>
  <c r="F85" i="48"/>
  <c r="F86" i="48"/>
  <c r="F87" i="48"/>
  <c r="F88" i="48"/>
  <c r="J2" i="3"/>
  <c r="D7" i="3"/>
  <c r="F7" i="3"/>
  <c r="G8" i="3"/>
  <c r="F9" i="3"/>
  <c r="G10" i="3"/>
  <c r="F11" i="3"/>
  <c r="G11" i="3"/>
  <c r="D12" i="3"/>
  <c r="E12" i="3"/>
  <c r="J12" i="3"/>
  <c r="K12" i="3"/>
  <c r="F12" i="3"/>
  <c r="G12" i="3"/>
  <c r="I12" i="3"/>
  <c r="D13" i="3"/>
  <c r="F13" i="3"/>
  <c r="G13" i="3"/>
  <c r="D14" i="3"/>
  <c r="E14" i="3"/>
  <c r="F14" i="3"/>
  <c r="G14" i="3"/>
  <c r="I14" i="3"/>
  <c r="J14" i="3"/>
  <c r="K14" i="3"/>
  <c r="E15" i="3"/>
  <c r="I15" i="3"/>
  <c r="K15" i="3"/>
  <c r="D16" i="3"/>
  <c r="F16" i="3"/>
  <c r="G16" i="3"/>
  <c r="D17" i="3"/>
  <c r="F17" i="3"/>
  <c r="G17" i="3"/>
  <c r="D18" i="3"/>
  <c r="F18" i="3"/>
  <c r="G18" i="3"/>
  <c r="D19" i="3"/>
  <c r="F19" i="3"/>
  <c r="G19" i="3"/>
  <c r="D20" i="3"/>
  <c r="F20" i="3"/>
  <c r="G20" i="3"/>
  <c r="D21" i="3"/>
  <c r="E21" i="3"/>
  <c r="F21" i="3"/>
  <c r="G21" i="3"/>
  <c r="J21" i="3"/>
  <c r="K21" i="3"/>
  <c r="D22" i="3"/>
  <c r="E22" i="3"/>
  <c r="F22" i="3"/>
  <c r="G22" i="3"/>
  <c r="I22" i="3"/>
  <c r="D23" i="3"/>
  <c r="E23" i="3"/>
  <c r="F23" i="3"/>
  <c r="G23" i="3"/>
  <c r="D24" i="3"/>
  <c r="E24" i="3"/>
  <c r="J24" i="3"/>
  <c r="F24" i="3"/>
  <c r="G24" i="3"/>
  <c r="I24" i="3"/>
  <c r="D25" i="3"/>
  <c r="E25" i="3"/>
  <c r="F25" i="3"/>
  <c r="G25" i="3"/>
  <c r="E26" i="3"/>
  <c r="I26" i="3"/>
  <c r="K26" i="3"/>
  <c r="D27" i="3"/>
  <c r="E27" i="3"/>
  <c r="F27" i="3"/>
  <c r="D32" i="3"/>
  <c r="E32" i="3"/>
  <c r="G32" i="3"/>
  <c r="D33" i="3"/>
  <c r="G33" i="3"/>
  <c r="D34" i="3"/>
  <c r="E34" i="3"/>
  <c r="G34" i="3"/>
  <c r="D35" i="3"/>
  <c r="G35" i="3"/>
  <c r="D36" i="3"/>
  <c r="E36" i="3"/>
  <c r="J36" i="3"/>
  <c r="G36" i="3"/>
  <c r="D37" i="3"/>
  <c r="E37" i="3"/>
  <c r="G37" i="3"/>
  <c r="D38" i="3"/>
  <c r="E38" i="3"/>
  <c r="G38" i="3"/>
  <c r="D39" i="3"/>
  <c r="G39" i="3"/>
  <c r="D41" i="3"/>
  <c r="E41" i="3"/>
  <c r="J41" i="3"/>
  <c r="K41" i="3"/>
  <c r="G41" i="3"/>
  <c r="D42" i="3"/>
  <c r="E42" i="3"/>
  <c r="G42" i="3"/>
  <c r="D43" i="3"/>
  <c r="G43" i="3"/>
  <c r="D44" i="3"/>
  <c r="E44" i="3"/>
  <c r="G44" i="3"/>
  <c r="D45" i="3"/>
  <c r="E45" i="3"/>
  <c r="G45" i="3"/>
  <c r="J45" i="3"/>
  <c r="K45" i="3"/>
  <c r="D46" i="3"/>
  <c r="G46" i="3"/>
  <c r="D47" i="3"/>
  <c r="E47" i="3"/>
  <c r="G47" i="3"/>
  <c r="D48" i="3"/>
  <c r="E48" i="3"/>
  <c r="G48" i="3"/>
  <c r="D49" i="3"/>
  <c r="E49" i="3"/>
  <c r="G49" i="3"/>
  <c r="D50" i="3"/>
  <c r="G50" i="3"/>
  <c r="D52" i="3"/>
  <c r="E52" i="3"/>
  <c r="J52" i="3"/>
  <c r="D22" i="43"/>
  <c r="D23" i="43"/>
  <c r="Q13" i="46"/>
  <c r="Q18" i="46"/>
  <c r="K213" i="45"/>
  <c r="K211" i="45"/>
  <c r="K209" i="45"/>
  <c r="K213" i="46"/>
  <c r="K58" i="46"/>
  <c r="K359" i="45"/>
  <c r="K214" i="45"/>
  <c r="Q127" i="32"/>
  <c r="I133" i="32"/>
  <c r="I127" i="32"/>
  <c r="O133" i="32"/>
  <c r="K127" i="32"/>
  <c r="Q133" i="32"/>
  <c r="K115" i="32"/>
  <c r="O113" i="32"/>
  <c r="I121" i="32"/>
  <c r="M127" i="32"/>
  <c r="K133" i="32"/>
  <c r="O145" i="32"/>
  <c r="M113" i="32"/>
  <c r="K121" i="32"/>
  <c r="M121" i="32"/>
  <c r="Q121" i="32"/>
  <c r="K139" i="32"/>
  <c r="M145" i="32"/>
  <c r="O115" i="32"/>
  <c r="M139" i="32"/>
  <c r="K145" i="32"/>
  <c r="K64" i="32"/>
  <c r="M42" i="32"/>
  <c r="O71" i="32"/>
  <c r="Q71" i="32"/>
  <c r="K99" i="32"/>
  <c r="K42" i="32"/>
  <c r="I64" i="32"/>
  <c r="I71" i="32"/>
  <c r="I99" i="32"/>
  <c r="M14" i="32"/>
  <c r="M64" i="32"/>
  <c r="K71" i="32"/>
  <c r="K78" i="32"/>
  <c r="I85" i="32"/>
  <c r="O99" i="32"/>
  <c r="O14" i="32"/>
  <c r="I42" i="32"/>
  <c r="M78" i="32"/>
  <c r="K85" i="32"/>
  <c r="M85" i="32"/>
  <c r="I78" i="32"/>
  <c r="K21" i="32"/>
  <c r="O35" i="32"/>
  <c r="M49" i="32"/>
  <c r="M21" i="32"/>
  <c r="I35" i="32"/>
  <c r="Q35" i="32"/>
  <c r="O49" i="32"/>
  <c r="O21" i="32"/>
  <c r="K35" i="32"/>
  <c r="I49" i="32"/>
  <c r="I21" i="32"/>
  <c r="K167" i="46"/>
  <c r="K167" i="45"/>
  <c r="K86" i="46"/>
  <c r="K86" i="45"/>
  <c r="K18" i="45"/>
  <c r="K18" i="46"/>
  <c r="K90" i="46"/>
  <c r="K90" i="45"/>
  <c r="K142" i="45"/>
  <c r="K87" i="45"/>
  <c r="K87" i="46"/>
  <c r="K17" i="46"/>
  <c r="K17" i="45"/>
  <c r="K60" i="45"/>
  <c r="K168" i="45"/>
  <c r="K168" i="46"/>
  <c r="K89" i="45"/>
  <c r="K89" i="46"/>
  <c r="K141" i="46"/>
  <c r="K20" i="45"/>
  <c r="K20" i="46"/>
  <c r="K166" i="45"/>
  <c r="K166" i="46"/>
  <c r="K88" i="46"/>
  <c r="K88" i="45"/>
  <c r="K19" i="46"/>
  <c r="K19" i="45"/>
  <c r="K15" i="46"/>
  <c r="K63" i="46"/>
  <c r="K15" i="45"/>
  <c r="K63" i="45"/>
  <c r="K13" i="45"/>
  <c r="K61" i="45"/>
  <c r="K13" i="46"/>
  <c r="K61" i="46"/>
  <c r="K12" i="45"/>
  <c r="K12" i="46"/>
  <c r="K60" i="46"/>
  <c r="M84" i="45"/>
  <c r="N84" i="45"/>
  <c r="G119" i="32"/>
  <c r="K119" i="32"/>
  <c r="I113" i="32"/>
  <c r="I119" i="32"/>
  <c r="O119" i="32"/>
  <c r="M119" i="32"/>
  <c r="K169" i="46"/>
  <c r="K169" i="45"/>
  <c r="K165" i="46"/>
  <c r="K165" i="45"/>
  <c r="K14" i="46"/>
  <c r="K62" i="46"/>
  <c r="K14" i="45"/>
  <c r="G125" i="32"/>
  <c r="K247" i="45"/>
  <c r="K299" i="45"/>
  <c r="K247" i="46"/>
  <c r="K243" i="45"/>
  <c r="K243" i="46"/>
  <c r="K246" i="46"/>
  <c r="K246" i="45"/>
  <c r="K244" i="46"/>
  <c r="K244" i="45"/>
  <c r="K296" i="45"/>
  <c r="K245" i="45"/>
  <c r="K297" i="45"/>
  <c r="K245" i="46"/>
  <c r="K80" i="46"/>
  <c r="K80" i="45"/>
  <c r="K139" i="45"/>
  <c r="K82" i="46"/>
  <c r="K82" i="45"/>
  <c r="K141" i="45"/>
  <c r="K83" i="45"/>
  <c r="K83" i="46"/>
  <c r="K142" i="46"/>
  <c r="K81" i="46"/>
  <c r="K81" i="45"/>
  <c r="K140" i="45"/>
  <c r="K79" i="45"/>
  <c r="K138" i="45"/>
  <c r="K79" i="46"/>
  <c r="K138" i="46"/>
  <c r="I125" i="32"/>
  <c r="M125" i="32"/>
  <c r="K319" i="45"/>
  <c r="K363" i="45"/>
  <c r="K319" i="46"/>
  <c r="K320" i="46"/>
  <c r="K364" i="46"/>
  <c r="K320" i="45"/>
  <c r="K321" i="45"/>
  <c r="K321" i="46"/>
  <c r="K318" i="46"/>
  <c r="K318" i="45"/>
  <c r="K158" i="45"/>
  <c r="K158" i="46"/>
  <c r="K159" i="45"/>
  <c r="K159" i="46"/>
  <c r="K162" i="45"/>
  <c r="K220" i="45"/>
  <c r="K162" i="46"/>
  <c r="K220" i="46"/>
  <c r="K160" i="45"/>
  <c r="K160" i="46"/>
  <c r="K161" i="46"/>
  <c r="K219" i="46"/>
  <c r="K161" i="45"/>
  <c r="K219" i="45"/>
  <c r="K236" i="46"/>
  <c r="K236" i="45"/>
  <c r="K295" i="45"/>
  <c r="K237" i="45"/>
  <c r="K237" i="46"/>
  <c r="K296" i="46"/>
  <c r="K238" i="45"/>
  <c r="K238" i="46"/>
  <c r="K297" i="46"/>
  <c r="K239" i="45"/>
  <c r="K239" i="46"/>
  <c r="K298" i="46"/>
  <c r="K240" i="45"/>
  <c r="K240" i="46"/>
  <c r="K299" i="46"/>
  <c r="J284" i="45"/>
  <c r="J280" i="46"/>
  <c r="J291" i="46"/>
  <c r="J280" i="45"/>
  <c r="J290" i="45"/>
  <c r="J282" i="46"/>
  <c r="J282" i="45"/>
  <c r="J291" i="45"/>
  <c r="J284" i="46"/>
  <c r="K316" i="45"/>
  <c r="K316" i="46"/>
  <c r="K365" i="46"/>
  <c r="K314" i="46"/>
  <c r="K314" i="45"/>
  <c r="K315" i="45"/>
  <c r="K364" i="45"/>
  <c r="K315" i="46"/>
  <c r="K313" i="45"/>
  <c r="K362" i="45"/>
  <c r="K313" i="46"/>
  <c r="J289" i="45"/>
  <c r="J293" i="45"/>
  <c r="J289" i="46"/>
  <c r="J290" i="46"/>
  <c r="J293" i="46"/>
  <c r="L204" i="30"/>
  <c r="P204" i="30"/>
  <c r="R204" i="30"/>
  <c r="L202" i="30"/>
  <c r="P202" i="30"/>
  <c r="R202" i="30"/>
  <c r="L192" i="30"/>
  <c r="P192" i="30"/>
  <c r="R192" i="30"/>
  <c r="L175" i="30"/>
  <c r="H175" i="30"/>
  <c r="P175" i="30"/>
  <c r="R175" i="30"/>
  <c r="J175" i="30"/>
  <c r="L173" i="30"/>
  <c r="H173" i="30"/>
  <c r="P173" i="30"/>
  <c r="J173" i="30"/>
  <c r="R173" i="30"/>
  <c r="L196" i="30"/>
  <c r="P196" i="30"/>
  <c r="R196" i="30"/>
  <c r="L194" i="30"/>
  <c r="P194" i="30"/>
  <c r="R194" i="30"/>
  <c r="L179" i="30"/>
  <c r="H179" i="30"/>
  <c r="P179" i="30"/>
  <c r="R179" i="30"/>
  <c r="J179" i="30"/>
  <c r="L177" i="30"/>
  <c r="H177" i="30"/>
  <c r="P177" i="30"/>
  <c r="J177" i="30"/>
  <c r="R177" i="30"/>
  <c r="L200" i="30"/>
  <c r="P200" i="30"/>
  <c r="R200" i="30"/>
  <c r="L198" i="30"/>
  <c r="P198" i="30"/>
  <c r="R198" i="30"/>
  <c r="L181" i="30"/>
  <c r="H181" i="30"/>
  <c r="P181" i="30"/>
  <c r="J181" i="30"/>
  <c r="R181" i="30"/>
  <c r="L171" i="30"/>
  <c r="P171" i="30"/>
  <c r="N171" i="30"/>
  <c r="R171" i="30"/>
  <c r="L205" i="30"/>
  <c r="P205" i="30"/>
  <c r="L201" i="30"/>
  <c r="P201" i="30"/>
  <c r="L197" i="30"/>
  <c r="P197" i="30"/>
  <c r="L193" i="30"/>
  <c r="P193" i="30"/>
  <c r="L180" i="30"/>
  <c r="H180" i="30"/>
  <c r="L176" i="30"/>
  <c r="H176" i="30"/>
  <c r="P176" i="30"/>
  <c r="N205" i="30"/>
  <c r="P203" i="30"/>
  <c r="N201" i="30"/>
  <c r="L199" i="30"/>
  <c r="N197" i="30"/>
  <c r="L195" i="30"/>
  <c r="P195" i="30"/>
  <c r="N193" i="30"/>
  <c r="L182" i="30"/>
  <c r="H182" i="30"/>
  <c r="P182" i="30"/>
  <c r="N180" i="30"/>
  <c r="L178" i="30"/>
  <c r="H178" i="30"/>
  <c r="N176" i="30"/>
  <c r="L174" i="30"/>
  <c r="H174" i="30"/>
  <c r="P174" i="30"/>
  <c r="L170" i="30"/>
  <c r="H170" i="30"/>
  <c r="P7" i="46"/>
  <c r="P7" i="45"/>
  <c r="G7" i="45"/>
  <c r="G7" i="46"/>
  <c r="K54" i="51"/>
  <c r="J49" i="51"/>
  <c r="J47" i="51"/>
  <c r="J46" i="51"/>
  <c r="K46" i="51"/>
  <c r="K122" i="51"/>
  <c r="I94" i="51"/>
  <c r="J115" i="51"/>
  <c r="I93" i="51"/>
  <c r="L93" i="51"/>
  <c r="T93" i="51"/>
  <c r="I92" i="51"/>
  <c r="G107" i="51"/>
  <c r="J113" i="51"/>
  <c r="I135" i="51"/>
  <c r="I134" i="51"/>
  <c r="I177" i="51"/>
  <c r="K180" i="51"/>
  <c r="K179" i="51"/>
  <c r="K178" i="51"/>
  <c r="G105" i="51"/>
  <c r="G156" i="51"/>
  <c r="G157" i="51"/>
  <c r="G168" i="51"/>
  <c r="K182" i="51"/>
  <c r="I158" i="51"/>
  <c r="G220" i="51"/>
  <c r="G275" i="51"/>
  <c r="L275" i="51"/>
  <c r="T275" i="51"/>
  <c r="G232" i="51"/>
  <c r="G234" i="51"/>
  <c r="G216" i="51"/>
  <c r="G217" i="51"/>
  <c r="L217" i="51"/>
  <c r="G228" i="51"/>
  <c r="G276" i="51"/>
  <c r="G283" i="51"/>
  <c r="L283" i="51"/>
  <c r="T283" i="51"/>
  <c r="I258" i="51"/>
  <c r="G286" i="51"/>
  <c r="I198" i="51"/>
  <c r="K241" i="51"/>
  <c r="I263" i="51"/>
  <c r="K357" i="51"/>
  <c r="K354" i="51"/>
  <c r="K355" i="51"/>
  <c r="K356" i="51"/>
  <c r="K297" i="51"/>
  <c r="K298" i="51"/>
  <c r="I316" i="51"/>
  <c r="G333" i="51"/>
  <c r="G334" i="51"/>
  <c r="G341" i="51"/>
  <c r="L341" i="51"/>
  <c r="N341" i="51"/>
  <c r="S341" i="51"/>
  <c r="G8" i="51"/>
  <c r="G47" i="51"/>
  <c r="I317" i="51"/>
  <c r="I318" i="51"/>
  <c r="I357" i="51"/>
  <c r="F10" i="52"/>
  <c r="F9" i="52"/>
  <c r="K13" i="37"/>
  <c r="L37" i="52"/>
  <c r="L36" i="52"/>
  <c r="K75" i="37"/>
  <c r="J37" i="52"/>
  <c r="J36" i="52"/>
  <c r="K74" i="37"/>
  <c r="H37" i="52"/>
  <c r="H36" i="52"/>
  <c r="K73" i="37"/>
  <c r="N37" i="52"/>
  <c r="N36" i="52"/>
  <c r="K76" i="37"/>
  <c r="F37" i="52"/>
  <c r="F36" i="52"/>
  <c r="K72" i="37"/>
  <c r="L95" i="52"/>
  <c r="L94" i="52"/>
  <c r="L10" i="52"/>
  <c r="L9" i="52"/>
  <c r="K16" i="37"/>
  <c r="L34" i="52"/>
  <c r="L33" i="52"/>
  <c r="K21" i="37"/>
  <c r="L60" i="52"/>
  <c r="L59" i="52"/>
  <c r="K29" i="37"/>
  <c r="J87" i="52"/>
  <c r="J86" i="52"/>
  <c r="F95" i="52"/>
  <c r="F94" i="52"/>
  <c r="K36" i="37"/>
  <c r="L87" i="52"/>
  <c r="L86" i="52"/>
  <c r="H95" i="52"/>
  <c r="H94" i="52"/>
  <c r="D98" i="52"/>
  <c r="J98" i="52"/>
  <c r="J97" i="52"/>
  <c r="H10" i="52"/>
  <c r="H9" i="52"/>
  <c r="K14" i="37"/>
  <c r="H34" i="52"/>
  <c r="H33" i="52"/>
  <c r="K19" i="37"/>
  <c r="H60" i="52"/>
  <c r="H59" i="52"/>
  <c r="K27" i="37"/>
  <c r="F87" i="52"/>
  <c r="F86" i="52"/>
  <c r="K55" i="46"/>
  <c r="K56" i="46"/>
  <c r="K358" i="45"/>
  <c r="K133" i="45"/>
  <c r="K136" i="46"/>
  <c r="K135" i="45"/>
  <c r="K360" i="45"/>
  <c r="K134" i="45"/>
  <c r="P49" i="51"/>
  <c r="G10" i="51"/>
  <c r="G20" i="51"/>
  <c r="G40" i="51"/>
  <c r="P47" i="51"/>
  <c r="G91" i="51"/>
  <c r="L91" i="51"/>
  <c r="I270" i="51"/>
  <c r="P51" i="51"/>
  <c r="G12" i="51"/>
  <c r="G51" i="51"/>
  <c r="G30" i="51"/>
  <c r="G93" i="51"/>
  <c r="Q51" i="51"/>
  <c r="K49" i="51"/>
  <c r="Q48" i="51"/>
  <c r="K47" i="51"/>
  <c r="I197" i="51"/>
  <c r="K238" i="51"/>
  <c r="K240" i="51"/>
  <c r="K299" i="51"/>
  <c r="K296" i="51"/>
  <c r="K239" i="51"/>
  <c r="L98" i="52"/>
  <c r="L97" i="52"/>
  <c r="N40" i="52"/>
  <c r="N39" i="52"/>
  <c r="K134" i="37"/>
  <c r="F40" i="52"/>
  <c r="F39" i="52"/>
  <c r="K130" i="37"/>
  <c r="L40" i="52"/>
  <c r="L39" i="52"/>
  <c r="K133" i="37"/>
  <c r="D43" i="52"/>
  <c r="J39" i="52"/>
  <c r="K132" i="37"/>
  <c r="H40" i="52"/>
  <c r="H39" i="52"/>
  <c r="K131" i="37"/>
  <c r="F182" i="51"/>
  <c r="F244" i="51"/>
  <c r="F119" i="51"/>
  <c r="F359" i="51"/>
  <c r="F301" i="51"/>
  <c r="H246" i="51"/>
  <c r="H122" i="51"/>
  <c r="H361" i="51"/>
  <c r="H123" i="51"/>
  <c r="H245" i="51"/>
  <c r="G13" i="51"/>
  <c r="J51" i="51"/>
  <c r="K186" i="51"/>
  <c r="H304" i="51"/>
  <c r="H120" i="51"/>
  <c r="J54" i="51"/>
  <c r="K183" i="51"/>
  <c r="H247" i="51"/>
  <c r="H302" i="51"/>
  <c r="H362" i="51"/>
  <c r="H121" i="51"/>
  <c r="H360" i="51"/>
  <c r="H119" i="51"/>
  <c r="Q49" i="51"/>
  <c r="Q46" i="51"/>
  <c r="K184" i="51"/>
  <c r="H244" i="51"/>
  <c r="H303" i="51"/>
  <c r="H301" i="51"/>
  <c r="H359" i="51"/>
  <c r="H239" i="51"/>
  <c r="J52" i="51"/>
  <c r="G109" i="51"/>
  <c r="G117" i="51"/>
  <c r="D46" i="52"/>
  <c r="F120" i="51"/>
  <c r="F52" i="51"/>
  <c r="F360" i="51"/>
  <c r="F302" i="51"/>
  <c r="F183" i="51"/>
  <c r="F245" i="51"/>
  <c r="I242" i="51"/>
  <c r="I46" i="51"/>
  <c r="H179" i="51"/>
  <c r="H176" i="51"/>
  <c r="I116" i="51"/>
  <c r="I85" i="51"/>
  <c r="I326" i="51"/>
  <c r="I327" i="51"/>
  <c r="I328" i="51"/>
  <c r="L25" i="51"/>
  <c r="N25" i="51"/>
  <c r="N283" i="51"/>
  <c r="S283" i="51"/>
  <c r="L30" i="51"/>
  <c r="N30" i="51"/>
  <c r="K248" i="51"/>
  <c r="H184" i="51"/>
  <c r="I148" i="51"/>
  <c r="J121" i="51"/>
  <c r="I296" i="51"/>
  <c r="I356" i="51"/>
  <c r="K247" i="51"/>
  <c r="K246" i="51"/>
  <c r="H186" i="51"/>
  <c r="H182" i="51"/>
  <c r="J120" i="51"/>
  <c r="J176" i="51"/>
  <c r="K245" i="51"/>
  <c r="J53" i="51"/>
  <c r="H185" i="51"/>
  <c r="J119" i="51"/>
  <c r="I208" i="51"/>
  <c r="I209" i="51"/>
  <c r="I210" i="51"/>
  <c r="L100" i="51"/>
  <c r="N100" i="51"/>
  <c r="S100" i="51"/>
  <c r="K244" i="51"/>
  <c r="H183" i="51"/>
  <c r="J122" i="51"/>
  <c r="J123" i="51"/>
  <c r="L46" i="52"/>
  <c r="L45" i="52"/>
  <c r="K249" i="37"/>
  <c r="H46" i="52"/>
  <c r="H45" i="52"/>
  <c r="K247" i="37"/>
  <c r="F303" i="51"/>
  <c r="F184" i="51"/>
  <c r="F246" i="51"/>
  <c r="F121" i="51"/>
  <c r="F53" i="51"/>
  <c r="F361" i="51"/>
  <c r="H298" i="51"/>
  <c r="H113" i="51"/>
  <c r="L103" i="51"/>
  <c r="N103" i="51"/>
  <c r="S103" i="51"/>
  <c r="H241" i="51"/>
  <c r="L36" i="51"/>
  <c r="N36" i="51"/>
  <c r="L26" i="51"/>
  <c r="J247" i="51"/>
  <c r="K302" i="51"/>
  <c r="L166" i="51"/>
  <c r="N166" i="51"/>
  <c r="S166" i="51"/>
  <c r="L228" i="51"/>
  <c r="N228" i="51"/>
  <c r="S228" i="51"/>
  <c r="J184" i="51"/>
  <c r="I146" i="51"/>
  <c r="I149" i="51"/>
  <c r="I147" i="51"/>
  <c r="I84" i="51"/>
  <c r="I119" i="51"/>
  <c r="I115" i="51"/>
  <c r="I176" i="51"/>
  <c r="K304" i="51"/>
  <c r="J185" i="51"/>
  <c r="I244" i="51"/>
  <c r="K303" i="51"/>
  <c r="L286" i="51"/>
  <c r="T286" i="51"/>
  <c r="J182" i="51"/>
  <c r="H240" i="51"/>
  <c r="L276" i="51"/>
  <c r="T276" i="51"/>
  <c r="I321" i="51"/>
  <c r="I322" i="51"/>
  <c r="I54" i="51"/>
  <c r="I53" i="51"/>
  <c r="I51" i="51"/>
  <c r="H178" i="51"/>
  <c r="I48" i="51"/>
  <c r="I47" i="51"/>
  <c r="I241" i="51"/>
  <c r="I240" i="51"/>
  <c r="T100" i="51"/>
  <c r="K301" i="51"/>
  <c r="L344" i="51"/>
  <c r="J186" i="51"/>
  <c r="J183" i="51"/>
  <c r="J238" i="51"/>
  <c r="F122" i="51"/>
  <c r="F247" i="51"/>
  <c r="F362" i="51"/>
  <c r="F54" i="51"/>
  <c r="F304" i="51"/>
  <c r="F185" i="51"/>
  <c r="I359" i="51"/>
  <c r="I141" i="51"/>
  <c r="I184" i="51"/>
  <c r="I182" i="51"/>
  <c r="I143" i="51"/>
  <c r="I186" i="51"/>
  <c r="I140" i="51"/>
  <c r="I183" i="51"/>
  <c r="I142" i="51"/>
  <c r="K362" i="51"/>
  <c r="J246" i="51"/>
  <c r="T166" i="51"/>
  <c r="H355" i="51"/>
  <c r="H296" i="51"/>
  <c r="H297" i="51"/>
  <c r="H357" i="51"/>
  <c r="H354" i="51"/>
  <c r="H356" i="51"/>
  <c r="K359" i="51"/>
  <c r="I202" i="51"/>
  <c r="H116" i="51"/>
  <c r="H115" i="51"/>
  <c r="H114" i="51"/>
  <c r="H117" i="51"/>
  <c r="N93" i="51"/>
  <c r="S93" i="51"/>
  <c r="J240" i="51"/>
  <c r="J239" i="51"/>
  <c r="K360" i="51"/>
  <c r="J357" i="51"/>
  <c r="T103" i="51"/>
  <c r="L27" i="51"/>
  <c r="L216" i="51"/>
  <c r="L105" i="51"/>
  <c r="K361" i="51"/>
  <c r="T228" i="51"/>
  <c r="J245" i="51"/>
  <c r="F123" i="51"/>
  <c r="F186" i="51"/>
  <c r="F248" i="51"/>
  <c r="J302" i="51"/>
  <c r="L107" i="51"/>
  <c r="L232" i="51"/>
  <c r="N232" i="51"/>
  <c r="T232" i="51"/>
  <c r="L334" i="51"/>
  <c r="J304" i="51"/>
  <c r="I360" i="51"/>
  <c r="J355" i="51"/>
  <c r="J297" i="51"/>
  <c r="L278" i="51"/>
  <c r="T278" i="51"/>
  <c r="L350" i="51"/>
  <c r="L234" i="51"/>
  <c r="L333" i="51"/>
  <c r="T333" i="51"/>
  <c r="L95" i="51"/>
  <c r="N95" i="51"/>
  <c r="S95" i="51"/>
  <c r="L42" i="51"/>
  <c r="N42" i="51"/>
  <c r="J362" i="51"/>
  <c r="L292" i="51"/>
  <c r="J360" i="51"/>
  <c r="J359" i="51"/>
  <c r="L335" i="51"/>
  <c r="J301" i="51"/>
  <c r="L172" i="51"/>
  <c r="T172" i="51"/>
  <c r="L109" i="51"/>
  <c r="N172" i="51"/>
  <c r="S172" i="51"/>
  <c r="P113" i="51"/>
  <c r="E176" i="51"/>
  <c r="E296" i="51"/>
  <c r="G71" i="51"/>
  <c r="E177" i="51"/>
  <c r="P115" i="51"/>
  <c r="E178" i="51"/>
  <c r="E298" i="51"/>
  <c r="G73" i="51"/>
  <c r="E179" i="51"/>
  <c r="G198" i="51"/>
  <c r="L198" i="51"/>
  <c r="Q302" i="51"/>
  <c r="P123" i="51"/>
  <c r="G321" i="51"/>
  <c r="G209" i="51"/>
  <c r="G328" i="51"/>
  <c r="L328" i="51"/>
  <c r="N328" i="51"/>
  <c r="S328" i="51"/>
  <c r="E241" i="51"/>
  <c r="E116" i="51"/>
  <c r="E356" i="51"/>
  <c r="E240" i="51"/>
  <c r="E115" i="51"/>
  <c r="E114" i="51"/>
  <c r="E113" i="51"/>
  <c r="N194" i="45"/>
  <c r="N178" i="45"/>
  <c r="N327" i="46"/>
  <c r="N179" i="45"/>
  <c r="N257" i="45"/>
  <c r="N175" i="45"/>
  <c r="N91" i="45"/>
  <c r="K140" i="46"/>
  <c r="K136" i="45"/>
  <c r="K143" i="45"/>
  <c r="K58" i="45"/>
  <c r="K55" i="45"/>
  <c r="K139" i="46"/>
  <c r="K57" i="46"/>
  <c r="K300" i="45"/>
  <c r="K209" i="46"/>
  <c r="E357" i="51"/>
  <c r="E299" i="51"/>
  <c r="G270" i="51"/>
  <c r="L270" i="51"/>
  <c r="G148" i="51"/>
  <c r="G84" i="51"/>
  <c r="G268" i="51"/>
  <c r="L268" i="51"/>
  <c r="O123" i="51"/>
  <c r="Q304" i="51"/>
  <c r="Q360" i="51"/>
  <c r="O357" i="51"/>
  <c r="Q116" i="51"/>
  <c r="O116" i="51"/>
  <c r="O356" i="51"/>
  <c r="Q115" i="51"/>
  <c r="O115" i="51"/>
  <c r="O355" i="51"/>
  <c r="O114" i="51"/>
  <c r="O354" i="51"/>
  <c r="O113" i="51"/>
  <c r="E297" i="51"/>
  <c r="T344" i="51"/>
  <c r="N344" i="51"/>
  <c r="S344" i="51"/>
  <c r="G269" i="51"/>
  <c r="G83" i="51"/>
  <c r="L83" i="51"/>
  <c r="T83" i="51"/>
  <c r="Q247" i="51"/>
  <c r="G203" i="51"/>
  <c r="E120" i="51"/>
  <c r="O180" i="51"/>
  <c r="G211" i="51"/>
  <c r="G85" i="51"/>
  <c r="L85" i="51"/>
  <c r="Q246" i="51"/>
  <c r="G208" i="51"/>
  <c r="Q248" i="51"/>
  <c r="Q185" i="51"/>
  <c r="Q184" i="51"/>
  <c r="E245" i="51"/>
  <c r="P117" i="51"/>
  <c r="Q117" i="51"/>
  <c r="O299" i="51"/>
  <c r="O298" i="51"/>
  <c r="O178" i="51"/>
  <c r="O297" i="51"/>
  <c r="O296" i="51"/>
  <c r="E239" i="51"/>
  <c r="N275" i="51"/>
  <c r="S275" i="51"/>
  <c r="G149" i="51"/>
  <c r="G147" i="51"/>
  <c r="G326" i="51"/>
  <c r="G146" i="51"/>
  <c r="L146" i="51"/>
  <c r="Q186" i="51"/>
  <c r="O186" i="51"/>
  <c r="G322" i="51"/>
  <c r="E355" i="51"/>
  <c r="E354" i="51"/>
  <c r="E238" i="51"/>
  <c r="J354" i="51"/>
  <c r="J296" i="51"/>
  <c r="I239" i="51"/>
  <c r="I49" i="51"/>
  <c r="H180" i="51"/>
  <c r="H177" i="51"/>
  <c r="I122" i="51"/>
  <c r="I113" i="51"/>
  <c r="I114" i="51"/>
  <c r="J299" i="51"/>
  <c r="I178" i="51"/>
  <c r="J179" i="51"/>
  <c r="J177" i="51"/>
  <c r="J178" i="51"/>
  <c r="I83" i="51"/>
  <c r="I120" i="51"/>
  <c r="I86" i="51"/>
  <c r="I123" i="51"/>
  <c r="H238" i="51"/>
  <c r="H242" i="51"/>
  <c r="I354" i="51"/>
  <c r="G94" i="51"/>
  <c r="K176" i="51"/>
  <c r="K177" i="51"/>
  <c r="Q52" i="51"/>
  <c r="G163" i="51"/>
  <c r="L163" i="51"/>
  <c r="T163" i="51"/>
  <c r="O179" i="51"/>
  <c r="G230" i="51"/>
  <c r="L230" i="51"/>
  <c r="G92" i="51"/>
  <c r="L92" i="51"/>
  <c r="N92" i="51"/>
  <c r="K117" i="51"/>
  <c r="K115" i="51"/>
  <c r="K113" i="51"/>
  <c r="I136" i="51"/>
  <c r="I179" i="51"/>
  <c r="I137" i="51"/>
  <c r="I180" i="51"/>
  <c r="G154" i="51"/>
  <c r="L154" i="51"/>
  <c r="G158" i="51"/>
  <c r="L158" i="51"/>
  <c r="T158" i="51"/>
  <c r="G336" i="51"/>
  <c r="L336" i="51"/>
  <c r="K52" i="51"/>
  <c r="Q53" i="51"/>
  <c r="Q240" i="51"/>
  <c r="Q119" i="51"/>
  <c r="J114" i="51"/>
  <c r="I155" i="51"/>
  <c r="L155" i="51"/>
  <c r="Q178" i="51"/>
  <c r="G218" i="51"/>
  <c r="L218" i="51"/>
  <c r="G288" i="51"/>
  <c r="L288" i="51"/>
  <c r="N288" i="51"/>
  <c r="F60" i="52"/>
  <c r="F59" i="52"/>
  <c r="K26" i="37"/>
  <c r="D63" i="52"/>
  <c r="D66" i="52"/>
  <c r="E180" i="51"/>
  <c r="E242" i="51"/>
  <c r="L269" i="51"/>
  <c r="T269" i="51"/>
  <c r="L209" i="51"/>
  <c r="T209" i="51"/>
  <c r="O304" i="51"/>
  <c r="Q245" i="51"/>
  <c r="E117" i="51"/>
  <c r="G28" i="51"/>
  <c r="G19" i="51"/>
  <c r="G78" i="51"/>
  <c r="P121" i="51"/>
  <c r="G323" i="51"/>
  <c r="G362" i="51"/>
  <c r="P362" i="51"/>
  <c r="L86" i="51"/>
  <c r="G133" i="51"/>
  <c r="O120" i="51"/>
  <c r="P238" i="51"/>
  <c r="G195" i="51"/>
  <c r="G316" i="51"/>
  <c r="G355" i="51"/>
  <c r="G72" i="51"/>
  <c r="G115" i="51"/>
  <c r="E301" i="51"/>
  <c r="Q303" i="51"/>
  <c r="G267" i="51"/>
  <c r="L267" i="51"/>
  <c r="E302" i="51"/>
  <c r="N63" i="52"/>
  <c r="N62" i="52"/>
  <c r="K85" i="37"/>
  <c r="H63" i="52"/>
  <c r="H62" i="52"/>
  <c r="K82" i="37"/>
  <c r="E359" i="51"/>
  <c r="Q362" i="51"/>
  <c r="G82" i="51"/>
  <c r="O119" i="51"/>
  <c r="O177" i="51"/>
  <c r="G258" i="51"/>
  <c r="G135" i="51"/>
  <c r="Q120" i="51"/>
  <c r="G142" i="51"/>
  <c r="G185" i="51"/>
  <c r="P185" i="51"/>
  <c r="G145" i="51"/>
  <c r="L145" i="51"/>
  <c r="T145" i="51"/>
  <c r="G207" i="51"/>
  <c r="G70" i="51"/>
  <c r="P116" i="51"/>
  <c r="O183" i="51"/>
  <c r="G264" i="51"/>
  <c r="G327" i="51"/>
  <c r="O361" i="51"/>
  <c r="N209" i="51"/>
  <c r="S209" i="51"/>
  <c r="G18" i="51"/>
  <c r="P52" i="51"/>
  <c r="G260" i="51"/>
  <c r="L326" i="51"/>
  <c r="N326" i="51"/>
  <c r="S326" i="51"/>
  <c r="E244" i="51"/>
  <c r="G263" i="51"/>
  <c r="P302" i="51"/>
  <c r="L207" i="51"/>
  <c r="P114" i="51"/>
  <c r="G196" i="51"/>
  <c r="P239" i="51"/>
  <c r="G317" i="51"/>
  <c r="L317" i="51"/>
  <c r="O241" i="51"/>
  <c r="G318" i="51"/>
  <c r="G199" i="51"/>
  <c r="P242" i="51"/>
  <c r="Q183" i="51"/>
  <c r="P360" i="51"/>
  <c r="G80" i="51"/>
  <c r="E360" i="51"/>
  <c r="E246" i="51"/>
  <c r="E303" i="51"/>
  <c r="S92" i="51"/>
  <c r="N163" i="51"/>
  <c r="S163" i="51"/>
  <c r="G143" i="51"/>
  <c r="L143" i="51"/>
  <c r="P186" i="51"/>
  <c r="G325" i="51"/>
  <c r="L325" i="51"/>
  <c r="O176" i="51"/>
  <c r="G257" i="51"/>
  <c r="G134" i="51"/>
  <c r="G259" i="51"/>
  <c r="P179" i="51"/>
  <c r="G136" i="51"/>
  <c r="E182" i="51"/>
  <c r="O185" i="51"/>
  <c r="G204" i="51"/>
  <c r="O238" i="51"/>
  <c r="G315" i="51"/>
  <c r="L315" i="51"/>
  <c r="G197" i="51"/>
  <c r="L197" i="51"/>
  <c r="P240" i="51"/>
  <c r="P241" i="51"/>
  <c r="Q301" i="51"/>
  <c r="O301" i="51"/>
  <c r="G140" i="51"/>
  <c r="P183" i="51"/>
  <c r="O303" i="51"/>
  <c r="G265" i="51"/>
  <c r="P304" i="51"/>
  <c r="Q123" i="51"/>
  <c r="E185" i="51"/>
  <c r="E122" i="51"/>
  <c r="L136" i="51"/>
  <c r="T326" i="51"/>
  <c r="P182" i="51"/>
  <c r="G139" i="51"/>
  <c r="G182" i="51"/>
  <c r="Q359" i="51"/>
  <c r="L28" i="51"/>
  <c r="N28" i="51"/>
  <c r="E184" i="51"/>
  <c r="L134" i="51"/>
  <c r="L196" i="51"/>
  <c r="N196" i="51"/>
  <c r="S196" i="51"/>
  <c r="P361" i="51"/>
  <c r="G76" i="51"/>
  <c r="L76" i="51"/>
  <c r="P119" i="51"/>
  <c r="G52" i="51"/>
  <c r="G201" i="51"/>
  <c r="L201" i="51"/>
  <c r="L72" i="51"/>
  <c r="N72" i="51"/>
  <c r="P359" i="51"/>
  <c r="G320" i="51"/>
  <c r="L320" i="51"/>
  <c r="E362" i="51"/>
  <c r="P301" i="51"/>
  <c r="G262" i="51"/>
  <c r="N83" i="51"/>
  <c r="S83" i="51"/>
  <c r="Q244" i="51"/>
  <c r="L316" i="51"/>
  <c r="E361" i="51"/>
  <c r="E304" i="51"/>
  <c r="E247" i="51"/>
  <c r="G114" i="51"/>
  <c r="L71" i="51"/>
  <c r="O359" i="51"/>
  <c r="E123" i="51"/>
  <c r="E248" i="51"/>
  <c r="E186" i="51"/>
  <c r="T317" i="51"/>
  <c r="T198" i="51"/>
  <c r="L139" i="51"/>
  <c r="T71" i="51"/>
  <c r="T197" i="51"/>
  <c r="T196" i="51"/>
  <c r="N71" i="51"/>
  <c r="S72" i="51"/>
  <c r="N198" i="51"/>
  <c r="S198" i="51"/>
  <c r="T139" i="51"/>
  <c r="R312" i="37"/>
  <c r="R209" i="37"/>
  <c r="N27" i="51"/>
  <c r="N26" i="51"/>
  <c r="K131" i="45"/>
  <c r="K132" i="45"/>
  <c r="M123" i="51"/>
  <c r="N158" i="51"/>
  <c r="S158" i="51"/>
  <c r="E121" i="51"/>
  <c r="F63" i="52"/>
  <c r="F62" i="52"/>
  <c r="K81" i="37"/>
  <c r="J63" i="52"/>
  <c r="J62" i="52"/>
  <c r="K83" i="37"/>
  <c r="L78" i="51"/>
  <c r="O122" i="51"/>
  <c r="O240" i="51"/>
  <c r="G210" i="51"/>
  <c r="L210" i="51"/>
  <c r="P180" i="51"/>
  <c r="G137" i="51"/>
  <c r="O184" i="51"/>
  <c r="T335" i="51"/>
  <c r="N335" i="51"/>
  <c r="S335" i="51"/>
  <c r="N333" i="51"/>
  <c r="S333" i="51"/>
  <c r="N276" i="51"/>
  <c r="S276" i="51"/>
  <c r="E183" i="51"/>
  <c r="Q176" i="51"/>
  <c r="Q177" i="51"/>
  <c r="P178" i="51"/>
  <c r="Q179" i="51"/>
  <c r="O239" i="51"/>
  <c r="Q238" i="51"/>
  <c r="L63" i="52"/>
  <c r="L62" i="52"/>
  <c r="K84" i="37"/>
  <c r="Q241" i="51"/>
  <c r="N269" i="51"/>
  <c r="S269" i="51"/>
  <c r="O242" i="51"/>
  <c r="E119" i="51"/>
  <c r="P122" i="51"/>
  <c r="Q182" i="51"/>
  <c r="O182" i="51"/>
  <c r="Q122" i="51"/>
  <c r="Q180" i="51"/>
  <c r="Q242" i="51"/>
  <c r="T107" i="51"/>
  <c r="M114" i="51"/>
  <c r="G170" i="51"/>
  <c r="P176" i="51"/>
  <c r="P177" i="51"/>
  <c r="G202" i="51"/>
  <c r="Q239" i="51"/>
  <c r="T234" i="51"/>
  <c r="M239" i="51"/>
  <c r="G79" i="51"/>
  <c r="G74" i="51"/>
  <c r="Q361" i="51"/>
  <c r="O117" i="51"/>
  <c r="O362" i="51"/>
  <c r="O302" i="51"/>
  <c r="Q113" i="51"/>
  <c r="Q114" i="51"/>
  <c r="O360" i="51"/>
  <c r="T95" i="51"/>
  <c r="J361" i="51"/>
  <c r="J356" i="51"/>
  <c r="L38" i="51"/>
  <c r="N38" i="51"/>
  <c r="J242" i="51"/>
  <c r="L156" i="51"/>
  <c r="T156" i="51"/>
  <c r="J244" i="51"/>
  <c r="J248" i="51"/>
  <c r="Q121" i="51"/>
  <c r="J298" i="51"/>
  <c r="N286" i="51"/>
  <c r="S286" i="51"/>
  <c r="J241" i="51"/>
  <c r="J303" i="51"/>
  <c r="I52" i="51"/>
  <c r="H299" i="51"/>
  <c r="I238" i="51"/>
  <c r="I117" i="51"/>
  <c r="J180" i="51"/>
  <c r="I355" i="51"/>
  <c r="J43" i="52"/>
  <c r="J42" i="52"/>
  <c r="K191" i="37"/>
  <c r="Q47" i="51"/>
  <c r="Q54" i="51"/>
  <c r="O121" i="51"/>
  <c r="Q296" i="51"/>
  <c r="P296" i="51"/>
  <c r="G346" i="51"/>
  <c r="L346" i="51"/>
  <c r="G348" i="51"/>
  <c r="L348" i="51"/>
  <c r="I157" i="51"/>
  <c r="L157" i="51"/>
  <c r="N157" i="51"/>
  <c r="G14" i="51"/>
  <c r="P53" i="51"/>
  <c r="G277" i="51"/>
  <c r="L277" i="51"/>
  <c r="N277" i="51"/>
  <c r="P303" i="51"/>
  <c r="G15" i="51"/>
  <c r="P54" i="51"/>
  <c r="N201" i="51"/>
  <c r="S201" i="51"/>
  <c r="M301" i="51"/>
  <c r="M186" i="51"/>
  <c r="M182" i="51"/>
  <c r="O246" i="51"/>
  <c r="O244" i="51"/>
  <c r="O248" i="51"/>
  <c r="G9" i="51"/>
  <c r="P48" i="51"/>
  <c r="P248" i="51"/>
  <c r="G205" i="51"/>
  <c r="O247" i="51"/>
  <c r="M360" i="51"/>
  <c r="O245" i="51"/>
  <c r="M359" i="51"/>
  <c r="M119" i="51"/>
  <c r="M116" i="51"/>
  <c r="M361" i="51"/>
  <c r="M304" i="51"/>
  <c r="G225" i="51"/>
  <c r="P246" i="51"/>
  <c r="P244" i="51"/>
  <c r="G290" i="51"/>
  <c r="P356" i="51"/>
  <c r="P357" i="51"/>
  <c r="P354" i="51"/>
  <c r="P355" i="51"/>
  <c r="P299" i="51"/>
  <c r="P184" i="51"/>
  <c r="G141" i="51"/>
  <c r="L74" i="51"/>
  <c r="P298" i="51"/>
  <c r="P245" i="51"/>
  <c r="L170" i="51"/>
  <c r="G179" i="51"/>
  <c r="P297" i="51"/>
  <c r="P247" i="51"/>
  <c r="M362" i="51"/>
  <c r="M302" i="51"/>
  <c r="Q357" i="51"/>
  <c r="Q354" i="51"/>
  <c r="Q297" i="51"/>
  <c r="Q299" i="51"/>
  <c r="Q355" i="51"/>
  <c r="Q356" i="51"/>
  <c r="P46" i="51"/>
  <c r="G7" i="51"/>
  <c r="N156" i="51"/>
  <c r="S156" i="51"/>
  <c r="G77" i="51"/>
  <c r="P120" i="51"/>
  <c r="L79" i="51"/>
  <c r="M240" i="51"/>
  <c r="M241" i="51"/>
  <c r="N234" i="51"/>
  <c r="S234" i="51"/>
  <c r="M238" i="51"/>
  <c r="Q298" i="51"/>
  <c r="N107" i="51"/>
  <c r="S107" i="51"/>
  <c r="M115" i="51"/>
  <c r="M113" i="51"/>
  <c r="L137" i="51"/>
  <c r="M185" i="51"/>
  <c r="T137" i="51"/>
  <c r="T79" i="51"/>
  <c r="M242" i="51"/>
  <c r="G53" i="51"/>
  <c r="L205" i="51"/>
  <c r="M121" i="51"/>
  <c r="N78" i="51"/>
  <c r="G354" i="51"/>
  <c r="G356" i="51"/>
  <c r="G120" i="51"/>
  <c r="L77" i="51"/>
  <c r="G246" i="51"/>
  <c r="G54" i="51"/>
  <c r="M183" i="51"/>
  <c r="T77" i="51"/>
  <c r="M117" i="51"/>
  <c r="T277" i="51"/>
  <c r="T205" i="51"/>
  <c r="N137" i="51"/>
  <c r="M180" i="51"/>
  <c r="M177" i="51"/>
  <c r="M178" i="51"/>
  <c r="M176" i="51"/>
  <c r="M179" i="51"/>
  <c r="M122" i="51"/>
  <c r="N79" i="51"/>
  <c r="M357" i="51"/>
  <c r="M297" i="51"/>
  <c r="M298" i="51"/>
  <c r="M356" i="51"/>
  <c r="M354" i="51"/>
  <c r="M299" i="51"/>
  <c r="M355" i="51"/>
  <c r="M296" i="51"/>
  <c r="M246" i="51"/>
  <c r="M244" i="51"/>
  <c r="M248" i="51"/>
  <c r="N205" i="51"/>
  <c r="M245" i="51"/>
  <c r="S277" i="51"/>
  <c r="M303" i="51"/>
  <c r="M184" i="51"/>
  <c r="N77" i="51"/>
  <c r="M120" i="51"/>
  <c r="M247" i="51"/>
  <c r="S77" i="51"/>
  <c r="E46" i="35"/>
  <c r="E42" i="35"/>
  <c r="M42" i="35"/>
  <c r="Q30" i="35"/>
  <c r="E34" i="35"/>
  <c r="G30" i="35"/>
  <c r="F17" i="45"/>
  <c r="F60" i="45"/>
  <c r="M30" i="35"/>
  <c r="F243" i="45"/>
  <c r="F295" i="45"/>
  <c r="K30" i="35"/>
  <c r="F165" i="45"/>
  <c r="F216" i="45"/>
  <c r="I30" i="35"/>
  <c r="F86" i="45"/>
  <c r="F138" i="45"/>
  <c r="O30" i="35"/>
  <c r="F318" i="45"/>
  <c r="F362" i="45"/>
  <c r="E7" i="3"/>
  <c r="I7" i="3"/>
  <c r="I25" i="3"/>
  <c r="K24" i="3"/>
  <c r="J22" i="3"/>
  <c r="K22" i="3"/>
  <c r="I21" i="3"/>
  <c r="D11" i="3"/>
  <c r="F10" i="3"/>
  <c r="D10" i="3"/>
  <c r="G9" i="3"/>
  <c r="D9" i="3"/>
  <c r="F8" i="3"/>
  <c r="D8" i="3"/>
  <c r="G7" i="3"/>
  <c r="I52" i="3"/>
  <c r="S157" i="51"/>
  <c r="T157" i="51"/>
  <c r="N145" i="51"/>
  <c r="S145" i="51"/>
  <c r="I361" i="51"/>
  <c r="K43" i="37"/>
  <c r="L318" i="51"/>
  <c r="T288" i="51"/>
  <c r="G359" i="51"/>
  <c r="S232" i="51"/>
  <c r="N278" i="51"/>
  <c r="S278" i="51"/>
  <c r="J288" i="45"/>
  <c r="J292" i="45"/>
  <c r="P27" i="45"/>
  <c r="G27" i="45"/>
  <c r="P37" i="45"/>
  <c r="G37" i="45"/>
  <c r="P39" i="45"/>
  <c r="G39" i="45"/>
  <c r="P47" i="45"/>
  <c r="P49" i="45"/>
  <c r="G49" i="45"/>
  <c r="P96" i="45"/>
  <c r="G96" i="45"/>
  <c r="P100" i="45"/>
  <c r="G100" i="45"/>
  <c r="P111" i="45"/>
  <c r="G111" i="45"/>
  <c r="P115" i="45"/>
  <c r="G115" i="45"/>
  <c r="P121" i="45"/>
  <c r="G121" i="45"/>
  <c r="P176" i="45"/>
  <c r="G176" i="45"/>
  <c r="P194" i="45"/>
  <c r="G194" i="45"/>
  <c r="P255" i="45"/>
  <c r="G255" i="45"/>
  <c r="P257" i="45"/>
  <c r="G257" i="45"/>
  <c r="P268" i="45"/>
  <c r="G268" i="45"/>
  <c r="P272" i="45"/>
  <c r="G272" i="45"/>
  <c r="P329" i="45"/>
  <c r="G329" i="45"/>
  <c r="P342" i="45"/>
  <c r="G342" i="45"/>
  <c r="P347" i="45"/>
  <c r="G347" i="45"/>
  <c r="P28" i="45"/>
  <c r="G28" i="45"/>
  <c r="P45" i="45"/>
  <c r="G45" i="45"/>
  <c r="P99" i="45"/>
  <c r="G99" i="45"/>
  <c r="P116" i="45"/>
  <c r="G116" i="45"/>
  <c r="P177" i="45"/>
  <c r="G177" i="45"/>
  <c r="P179" i="45"/>
  <c r="G179" i="45"/>
  <c r="P189" i="45"/>
  <c r="G189" i="45"/>
  <c r="P193" i="45"/>
  <c r="G193" i="45"/>
  <c r="P199" i="45"/>
  <c r="G199" i="45"/>
  <c r="P203" i="45"/>
  <c r="G203" i="45"/>
  <c r="P254" i="45"/>
  <c r="G254" i="45"/>
  <c r="P273" i="45"/>
  <c r="G273" i="45"/>
  <c r="P278" i="45"/>
  <c r="G278" i="45"/>
  <c r="P282" i="45"/>
  <c r="G282" i="45"/>
  <c r="P326" i="45"/>
  <c r="G326" i="45"/>
  <c r="P336" i="45"/>
  <c r="G336" i="45"/>
  <c r="P351" i="45"/>
  <c r="G351" i="45"/>
  <c r="K52" i="3"/>
  <c r="I49" i="3"/>
  <c r="J49" i="3"/>
  <c r="K49" i="3"/>
  <c r="I47" i="3"/>
  <c r="J47" i="3"/>
  <c r="K47" i="3"/>
  <c r="I45" i="3"/>
  <c r="I43" i="3"/>
  <c r="I42" i="3"/>
  <c r="J42" i="3"/>
  <c r="K42" i="3"/>
  <c r="I41" i="3"/>
  <c r="I39" i="3"/>
  <c r="I38" i="3"/>
  <c r="J38" i="3"/>
  <c r="K38" i="3"/>
  <c r="I37" i="3"/>
  <c r="J37" i="3"/>
  <c r="K37" i="3"/>
  <c r="I36" i="3"/>
  <c r="K36" i="3"/>
  <c r="I35" i="3"/>
  <c r="I34" i="3"/>
  <c r="J34" i="3"/>
  <c r="K34" i="3"/>
  <c r="I32" i="3"/>
  <c r="J32" i="3"/>
  <c r="K32" i="3"/>
  <c r="I27" i="3"/>
  <c r="J25" i="3"/>
  <c r="K25" i="3"/>
  <c r="G158" i="32"/>
  <c r="G114" i="32"/>
  <c r="G172" i="32"/>
  <c r="G157" i="32"/>
  <c r="G112" i="32"/>
  <c r="G170" i="32"/>
  <c r="I170" i="32"/>
  <c r="R360" i="46"/>
  <c r="R359" i="46"/>
  <c r="R358" i="46"/>
  <c r="P347" i="46"/>
  <c r="G347" i="46"/>
  <c r="P342" i="46"/>
  <c r="G342" i="46"/>
  <c r="P340" i="46"/>
  <c r="G340" i="46"/>
  <c r="Q336" i="46"/>
  <c r="P329" i="46"/>
  <c r="G329" i="46"/>
  <c r="P327" i="46"/>
  <c r="G327" i="46"/>
  <c r="P320" i="46"/>
  <c r="G320" i="46"/>
  <c r="P318" i="46"/>
  <c r="G318" i="46"/>
  <c r="P316" i="46"/>
  <c r="P310" i="46"/>
  <c r="P308" i="46"/>
  <c r="P284" i="46"/>
  <c r="G284" i="46"/>
  <c r="P280" i="46"/>
  <c r="G280" i="46"/>
  <c r="P275" i="46"/>
  <c r="G275" i="46"/>
  <c r="Q272" i="46"/>
  <c r="P256" i="46"/>
  <c r="P254" i="46"/>
  <c r="G254" i="46"/>
  <c r="P248" i="46"/>
  <c r="G248" i="46"/>
  <c r="P247" i="46"/>
  <c r="G247" i="46"/>
  <c r="P245" i="46"/>
  <c r="G245" i="46"/>
  <c r="P240" i="46"/>
  <c r="P238" i="46"/>
  <c r="P236" i="46"/>
  <c r="G236" i="46"/>
  <c r="P233" i="46"/>
  <c r="R214" i="46"/>
  <c r="R212" i="46"/>
  <c r="R211" i="46"/>
  <c r="R210" i="46"/>
  <c r="P203" i="46"/>
  <c r="G203" i="46"/>
  <c r="P199" i="46"/>
  <c r="G199" i="46"/>
  <c r="P193" i="46"/>
  <c r="G193" i="46"/>
  <c r="P189" i="46"/>
  <c r="G189" i="46"/>
  <c r="Q175" i="46"/>
  <c r="P170" i="46"/>
  <c r="G170" i="46"/>
  <c r="P167" i="46"/>
  <c r="P165" i="46"/>
  <c r="G165" i="46"/>
  <c r="P162" i="46"/>
  <c r="P160" i="46"/>
  <c r="P155" i="46"/>
  <c r="P153" i="46"/>
  <c r="R135" i="46"/>
  <c r="P127" i="46"/>
  <c r="G127" i="46"/>
  <c r="P123" i="46"/>
  <c r="P116" i="46"/>
  <c r="G116" i="46"/>
  <c r="P101" i="46"/>
  <c r="G101" i="46"/>
  <c r="P91" i="46"/>
  <c r="G91" i="46"/>
  <c r="P90" i="46"/>
  <c r="G90" i="46"/>
  <c r="P88" i="46"/>
  <c r="G88" i="46"/>
  <c r="P86" i="46"/>
  <c r="G86" i="46"/>
  <c r="P81" i="46"/>
  <c r="P76" i="46"/>
  <c r="G76" i="46"/>
  <c r="P38" i="46"/>
  <c r="G38" i="46"/>
  <c r="P30" i="46"/>
  <c r="G30" i="46"/>
  <c r="P25" i="46"/>
  <c r="G25" i="46"/>
  <c r="P15" i="46"/>
  <c r="P13" i="46"/>
  <c r="P353" i="45"/>
  <c r="G353" i="45"/>
  <c r="R31" i="37"/>
  <c r="Q177" i="45"/>
  <c r="Q186" i="45"/>
  <c r="Q273" i="45"/>
  <c r="Q280" i="45"/>
  <c r="Q51" i="45"/>
  <c r="Q176" i="45"/>
  <c r="Q253" i="45"/>
  <c r="Q344" i="45"/>
  <c r="P14" i="45"/>
  <c r="P75" i="45"/>
  <c r="G75" i="45"/>
  <c r="P90" i="45"/>
  <c r="G90" i="45"/>
  <c r="P154" i="45"/>
  <c r="P156" i="45"/>
  <c r="P159" i="45"/>
  <c r="G159" i="45"/>
  <c r="P163" i="45"/>
  <c r="P166" i="45"/>
  <c r="G166" i="45"/>
  <c r="P230" i="45"/>
  <c r="P232" i="45"/>
  <c r="G232" i="45"/>
  <c r="P234" i="45"/>
  <c r="P237" i="45"/>
  <c r="P241" i="45"/>
  <c r="P309" i="45"/>
  <c r="P311" i="45"/>
  <c r="P315" i="45"/>
  <c r="G315" i="45"/>
  <c r="P319" i="45"/>
  <c r="G319" i="45"/>
  <c r="P321" i="45"/>
  <c r="P13" i="45"/>
  <c r="P15" i="45"/>
  <c r="G15" i="45"/>
  <c r="P18" i="45"/>
  <c r="G18" i="45"/>
  <c r="P20" i="45"/>
  <c r="G20" i="45"/>
  <c r="P72" i="45"/>
  <c r="P74" i="45"/>
  <c r="P76" i="45"/>
  <c r="P77" i="45"/>
  <c r="P80" i="45"/>
  <c r="P82" i="45"/>
  <c r="P84" i="45"/>
  <c r="P87" i="45"/>
  <c r="G87" i="45"/>
  <c r="P89" i="45"/>
  <c r="G89" i="45"/>
  <c r="P91" i="45"/>
  <c r="G91" i="45"/>
  <c r="P151" i="45"/>
  <c r="P153" i="45"/>
  <c r="P155" i="45"/>
  <c r="P158" i="45"/>
  <c r="P162" i="45"/>
  <c r="P165" i="45"/>
  <c r="G165" i="45"/>
  <c r="P167" i="45"/>
  <c r="G167" i="45"/>
  <c r="P170" i="45"/>
  <c r="G170" i="45"/>
  <c r="P231" i="45"/>
  <c r="P236" i="45"/>
  <c r="P238" i="45"/>
  <c r="P240" i="45"/>
  <c r="P245" i="45"/>
  <c r="G245" i="45"/>
  <c r="P247" i="45"/>
  <c r="G247" i="45"/>
  <c r="P248" i="45"/>
  <c r="G248" i="45"/>
  <c r="P308" i="45"/>
  <c r="P310" i="45"/>
  <c r="P316" i="45"/>
  <c r="P318" i="45"/>
  <c r="G318" i="45"/>
  <c r="P14" i="46"/>
  <c r="G12" i="32"/>
  <c r="G62" i="32"/>
  <c r="G11" i="32"/>
  <c r="G18" i="32"/>
  <c r="M18" i="32"/>
  <c r="G61" i="32"/>
  <c r="G68" i="32"/>
  <c r="Q349" i="46"/>
  <c r="Q342" i="46"/>
  <c r="G336" i="46"/>
  <c r="P321" i="46"/>
  <c r="G321" i="46"/>
  <c r="P319" i="46"/>
  <c r="G319" i="46"/>
  <c r="P313" i="46"/>
  <c r="G313" i="46"/>
  <c r="P311" i="46"/>
  <c r="P309" i="46"/>
  <c r="G309" i="46"/>
  <c r="P272" i="46"/>
  <c r="G272" i="46"/>
  <c r="P268" i="46"/>
  <c r="G268" i="46"/>
  <c r="P255" i="46"/>
  <c r="G255" i="46"/>
  <c r="P253" i="46"/>
  <c r="G253" i="46"/>
  <c r="P246" i="46"/>
  <c r="G246" i="46"/>
  <c r="P241" i="46"/>
  <c r="P239" i="46"/>
  <c r="P237" i="46"/>
  <c r="G237" i="46"/>
  <c r="P234" i="46"/>
  <c r="P232" i="46"/>
  <c r="P230" i="46"/>
  <c r="Q193" i="46"/>
  <c r="Q192" i="46"/>
  <c r="P179" i="46"/>
  <c r="G179" i="46"/>
  <c r="P168" i="46"/>
  <c r="G168" i="46"/>
  <c r="P163" i="46"/>
  <c r="P156" i="46"/>
  <c r="P154" i="46"/>
  <c r="P152" i="46"/>
  <c r="G152" i="46"/>
  <c r="P118" i="46"/>
  <c r="G118" i="46"/>
  <c r="P114" i="46"/>
  <c r="G114" i="46"/>
  <c r="P112" i="46"/>
  <c r="G112" i="46"/>
  <c r="P108" i="46"/>
  <c r="G108" i="46"/>
  <c r="P100" i="46"/>
  <c r="G100" i="46"/>
  <c r="Q97" i="46"/>
  <c r="P89" i="46"/>
  <c r="G89" i="46"/>
  <c r="P87" i="46"/>
  <c r="G87" i="46"/>
  <c r="P84" i="46"/>
  <c r="G84" i="46"/>
  <c r="P82" i="46"/>
  <c r="G82" i="46"/>
  <c r="P80" i="46"/>
  <c r="P77" i="46"/>
  <c r="P75" i="46"/>
  <c r="G75" i="46"/>
  <c r="P49" i="46"/>
  <c r="G49" i="46"/>
  <c r="P42" i="46"/>
  <c r="G42" i="46"/>
  <c r="P28" i="46"/>
  <c r="G28" i="46"/>
  <c r="P20" i="46"/>
  <c r="G20" i="46"/>
  <c r="P18" i="46"/>
  <c r="K357" i="45"/>
  <c r="R134" i="45"/>
  <c r="N178" i="30"/>
  <c r="J178" i="30"/>
  <c r="R178" i="30"/>
  <c r="N110" i="31"/>
  <c r="N111" i="31"/>
  <c r="N112" i="31"/>
  <c r="F89" i="31"/>
  <c r="F90" i="31"/>
  <c r="R16" i="30"/>
  <c r="N16" i="30"/>
  <c r="L16" i="30"/>
  <c r="H16" i="30"/>
  <c r="P16" i="30"/>
  <c r="J16" i="30"/>
  <c r="R12" i="30"/>
  <c r="N12" i="30"/>
  <c r="L12" i="30"/>
  <c r="H12" i="30"/>
  <c r="P12" i="30"/>
  <c r="J12" i="30"/>
  <c r="R8" i="30"/>
  <c r="N8" i="30"/>
  <c r="L8" i="30"/>
  <c r="H8" i="30"/>
  <c r="P8" i="30"/>
  <c r="J8" i="30"/>
  <c r="R180" i="30"/>
  <c r="J180" i="30"/>
  <c r="F13" i="31"/>
  <c r="R14" i="30"/>
  <c r="H14" i="30"/>
  <c r="P14" i="30"/>
  <c r="R10" i="30"/>
  <c r="N10" i="30"/>
  <c r="L10" i="30"/>
  <c r="H10" i="30"/>
  <c r="P10" i="30"/>
  <c r="J10" i="30"/>
  <c r="E38" i="35"/>
  <c r="N17" i="30"/>
  <c r="N15" i="30"/>
  <c r="N13" i="30"/>
  <c r="R56" i="30"/>
  <c r="P56" i="30"/>
  <c r="N56" i="30"/>
  <c r="L56" i="30"/>
  <c r="R52" i="30"/>
  <c r="P52" i="30"/>
  <c r="N52" i="30"/>
  <c r="L52" i="30"/>
  <c r="R48" i="30"/>
  <c r="P48" i="30"/>
  <c r="N48" i="30"/>
  <c r="L48" i="30"/>
  <c r="R44" i="30"/>
  <c r="P44" i="30"/>
  <c r="N44" i="30"/>
  <c r="L44" i="30"/>
  <c r="R40" i="30"/>
  <c r="P40" i="30"/>
  <c r="N40" i="30"/>
  <c r="L40" i="30"/>
  <c r="R36" i="30"/>
  <c r="P36" i="30"/>
  <c r="N36" i="30"/>
  <c r="L36" i="30"/>
  <c r="L104" i="30"/>
  <c r="H104" i="30"/>
  <c r="R104" i="30"/>
  <c r="P104" i="30"/>
  <c r="N104" i="30"/>
  <c r="J104" i="30"/>
  <c r="L100" i="30"/>
  <c r="H100" i="30"/>
  <c r="R100" i="30"/>
  <c r="P100" i="30"/>
  <c r="N100" i="30"/>
  <c r="J100" i="30"/>
  <c r="L96" i="30"/>
  <c r="H96" i="30"/>
  <c r="R96" i="30"/>
  <c r="P96" i="30"/>
  <c r="N96" i="30"/>
  <c r="J96" i="30"/>
  <c r="L92" i="30"/>
  <c r="H92" i="30"/>
  <c r="R92" i="30"/>
  <c r="P92" i="30"/>
  <c r="N92" i="30"/>
  <c r="J92" i="30"/>
  <c r="L88" i="30"/>
  <c r="H88" i="30"/>
  <c r="R88" i="30"/>
  <c r="P88" i="30"/>
  <c r="N88" i="30"/>
  <c r="J88" i="30"/>
  <c r="L84" i="30"/>
  <c r="H84" i="30"/>
  <c r="R84" i="30"/>
  <c r="P84" i="30"/>
  <c r="N84" i="30"/>
  <c r="J84" i="30"/>
  <c r="R150" i="30"/>
  <c r="N150" i="30"/>
  <c r="L150" i="30"/>
  <c r="J150" i="30"/>
  <c r="H150" i="30"/>
  <c r="P150" i="30"/>
  <c r="R146" i="30"/>
  <c r="N146" i="30"/>
  <c r="L146" i="30"/>
  <c r="J146" i="30"/>
  <c r="H146" i="30"/>
  <c r="P146" i="30"/>
  <c r="R142" i="30"/>
  <c r="N142" i="30"/>
  <c r="L142" i="30"/>
  <c r="J142" i="30"/>
  <c r="H142" i="30"/>
  <c r="P142" i="30"/>
  <c r="R138" i="30"/>
  <c r="N138" i="30"/>
  <c r="L138" i="30"/>
  <c r="J138" i="30"/>
  <c r="H138" i="30"/>
  <c r="P138" i="30"/>
  <c r="R136" i="30"/>
  <c r="N136" i="30"/>
  <c r="L136" i="30"/>
  <c r="J136" i="30"/>
  <c r="H136" i="30"/>
  <c r="P136" i="30"/>
  <c r="R134" i="30"/>
  <c r="N134" i="30"/>
  <c r="L134" i="30"/>
  <c r="J134" i="30"/>
  <c r="H134" i="30"/>
  <c r="P134" i="30"/>
  <c r="R130" i="30"/>
  <c r="N130" i="30"/>
  <c r="L130" i="30"/>
  <c r="J130" i="30"/>
  <c r="H130" i="30"/>
  <c r="P130" i="30"/>
  <c r="F109" i="31"/>
  <c r="F110" i="31"/>
  <c r="R182" i="30"/>
  <c r="R174" i="30"/>
  <c r="R170" i="30"/>
  <c r="N88" i="31"/>
  <c r="J88" i="31"/>
  <c r="N86" i="31"/>
  <c r="J86" i="31"/>
  <c r="N84" i="31"/>
  <c r="J84" i="31"/>
  <c r="N82" i="31"/>
  <c r="J82" i="31"/>
  <c r="N67" i="31"/>
  <c r="J67" i="31"/>
  <c r="N65" i="31"/>
  <c r="J65" i="31"/>
  <c r="N63" i="31"/>
  <c r="J63" i="31"/>
  <c r="N61" i="31"/>
  <c r="J61" i="31"/>
  <c r="N59" i="31"/>
  <c r="J59" i="31"/>
  <c r="N57" i="31"/>
  <c r="J57" i="31"/>
  <c r="N12" i="31"/>
  <c r="J12" i="31"/>
  <c r="N10" i="31"/>
  <c r="J10" i="31"/>
  <c r="N8" i="31"/>
  <c r="N13" i="31"/>
  <c r="N14" i="31"/>
  <c r="J8" i="31"/>
  <c r="R58" i="30"/>
  <c r="P58" i="30"/>
  <c r="N58" i="30"/>
  <c r="L58" i="30"/>
  <c r="R54" i="30"/>
  <c r="P54" i="30"/>
  <c r="N54" i="30"/>
  <c r="L54" i="30"/>
  <c r="R50" i="30"/>
  <c r="P50" i="30"/>
  <c r="N50" i="30"/>
  <c r="L50" i="30"/>
  <c r="R46" i="30"/>
  <c r="P46" i="30"/>
  <c r="N46" i="30"/>
  <c r="L46" i="30"/>
  <c r="R42" i="30"/>
  <c r="P42" i="30"/>
  <c r="N42" i="30"/>
  <c r="L42" i="30"/>
  <c r="R38" i="30"/>
  <c r="P38" i="30"/>
  <c r="N38" i="30"/>
  <c r="L38" i="30"/>
  <c r="L106" i="30"/>
  <c r="H106" i="30"/>
  <c r="R106" i="30"/>
  <c r="P106" i="30"/>
  <c r="N106" i="30"/>
  <c r="J106" i="30"/>
  <c r="L102" i="30"/>
  <c r="H102" i="30"/>
  <c r="R102" i="30"/>
  <c r="P102" i="30"/>
  <c r="N102" i="30"/>
  <c r="J102" i="30"/>
  <c r="L98" i="30"/>
  <c r="H98" i="30"/>
  <c r="R98" i="30"/>
  <c r="P98" i="30"/>
  <c r="N98" i="30"/>
  <c r="J98" i="30"/>
  <c r="L90" i="30"/>
  <c r="H90" i="30"/>
  <c r="R90" i="30"/>
  <c r="P90" i="30"/>
  <c r="N90" i="30"/>
  <c r="J90" i="30"/>
  <c r="L86" i="30"/>
  <c r="H86" i="30"/>
  <c r="R86" i="30"/>
  <c r="P86" i="30"/>
  <c r="N86" i="30"/>
  <c r="J86" i="30"/>
  <c r="R148" i="30"/>
  <c r="N148" i="30"/>
  <c r="L148" i="30"/>
  <c r="J148" i="30"/>
  <c r="H148" i="30"/>
  <c r="P148" i="30"/>
  <c r="R144" i="30"/>
  <c r="N144" i="30"/>
  <c r="L144" i="30"/>
  <c r="J144" i="30"/>
  <c r="H144" i="30"/>
  <c r="P144" i="30"/>
  <c r="R140" i="30"/>
  <c r="N140" i="30"/>
  <c r="L140" i="30"/>
  <c r="J140" i="30"/>
  <c r="H140" i="30"/>
  <c r="P140" i="30"/>
  <c r="P137" i="30"/>
  <c r="R137" i="30"/>
  <c r="N137" i="30"/>
  <c r="L137" i="30"/>
  <c r="J137" i="30"/>
  <c r="H137" i="30"/>
  <c r="P135" i="30"/>
  <c r="R135" i="30"/>
  <c r="N135" i="30"/>
  <c r="L135" i="30"/>
  <c r="J135" i="30"/>
  <c r="H135" i="30"/>
  <c r="R132" i="30"/>
  <c r="N132" i="30"/>
  <c r="L132" i="30"/>
  <c r="J132" i="30"/>
  <c r="H132" i="30"/>
  <c r="P132" i="30"/>
  <c r="I34" i="35"/>
  <c r="F87" i="45"/>
  <c r="F139" i="45"/>
  <c r="Q34" i="35"/>
  <c r="M34" i="35"/>
  <c r="F244" i="45"/>
  <c r="F296" i="45"/>
  <c r="O34" i="35"/>
  <c r="F319" i="45"/>
  <c r="F363" i="45"/>
  <c r="K34" i="35"/>
  <c r="F166" i="45"/>
  <c r="F217" i="45"/>
  <c r="G34" i="35"/>
  <c r="F18" i="45"/>
  <c r="F61" i="45"/>
  <c r="Q42" i="35"/>
  <c r="I42" i="35"/>
  <c r="F89" i="45"/>
  <c r="F141" i="45"/>
  <c r="K42" i="35"/>
  <c r="F168" i="45"/>
  <c r="F219" i="45"/>
  <c r="F246" i="45"/>
  <c r="F298" i="45"/>
  <c r="G42" i="35"/>
  <c r="F20" i="45"/>
  <c r="F63" i="45"/>
  <c r="O42" i="35"/>
  <c r="F321" i="45"/>
  <c r="F365" i="45"/>
  <c r="I46" i="35"/>
  <c r="F90" i="45"/>
  <c r="F142" i="45"/>
  <c r="K46" i="35"/>
  <c r="F169" i="45"/>
  <c r="F220" i="45"/>
  <c r="M46" i="35"/>
  <c r="F247" i="45"/>
  <c r="F299" i="45"/>
  <c r="G46" i="35"/>
  <c r="E8" i="3"/>
  <c r="E9" i="3"/>
  <c r="J9" i="3"/>
  <c r="I9" i="3"/>
  <c r="E11" i="3"/>
  <c r="J11" i="3"/>
  <c r="K11" i="3"/>
  <c r="I11" i="3"/>
  <c r="I349" i="45"/>
  <c r="O11" i="51"/>
  <c r="O19" i="51"/>
  <c r="O17" i="51"/>
  <c r="O14" i="51"/>
  <c r="O53" i="51"/>
  <c r="O13" i="51"/>
  <c r="O10" i="51"/>
  <c r="O49" i="51"/>
  <c r="O8" i="51"/>
  <c r="O47" i="51"/>
  <c r="P180" i="37"/>
  <c r="P239" i="37"/>
  <c r="O16" i="51"/>
  <c r="O20" i="51"/>
  <c r="O18" i="51"/>
  <c r="O9" i="51"/>
  <c r="O48" i="51"/>
  <c r="O7" i="51"/>
  <c r="O46" i="51"/>
  <c r="P187" i="37"/>
  <c r="P238" i="37"/>
  <c r="P297" i="37"/>
  <c r="P300" i="37"/>
  <c r="P302" i="37"/>
  <c r="O10" i="45"/>
  <c r="O13" i="45"/>
  <c r="O15" i="45"/>
  <c r="O18" i="45"/>
  <c r="O20" i="45"/>
  <c r="O72" i="45"/>
  <c r="O74" i="45"/>
  <c r="O76" i="45"/>
  <c r="O77" i="45"/>
  <c r="O80" i="45"/>
  <c r="O82" i="45"/>
  <c r="O84" i="45"/>
  <c r="O87" i="45"/>
  <c r="O89" i="45"/>
  <c r="O91" i="45"/>
  <c r="O151" i="45"/>
  <c r="O153" i="45"/>
  <c r="O155" i="45"/>
  <c r="O158" i="45"/>
  <c r="O162" i="45"/>
  <c r="O165" i="45"/>
  <c r="O167" i="45"/>
  <c r="O170" i="45"/>
  <c r="O231" i="45"/>
  <c r="O236" i="45"/>
  <c r="O238" i="45"/>
  <c r="O240" i="45"/>
  <c r="O245" i="45"/>
  <c r="O247" i="45"/>
  <c r="O248" i="45"/>
  <c r="O308" i="45"/>
  <c r="O310" i="45"/>
  <c r="O316" i="45"/>
  <c r="O318" i="45"/>
  <c r="O320" i="45"/>
  <c r="O7" i="45"/>
  <c r="O14" i="45"/>
  <c r="O75" i="45"/>
  <c r="O81" i="45"/>
  <c r="O90" i="45"/>
  <c r="O154" i="45"/>
  <c r="O156" i="45"/>
  <c r="O159" i="45"/>
  <c r="O163" i="45"/>
  <c r="O166" i="45"/>
  <c r="O168" i="45"/>
  <c r="O232" i="45"/>
  <c r="O234" i="45"/>
  <c r="O237" i="45"/>
  <c r="O241" i="45"/>
  <c r="O309" i="45"/>
  <c r="O311" i="45"/>
  <c r="O315" i="45"/>
  <c r="O319" i="45"/>
  <c r="O321" i="45"/>
  <c r="O10" i="46"/>
  <c r="O13" i="46"/>
  <c r="O15" i="46"/>
  <c r="O18" i="46"/>
  <c r="O7" i="46"/>
  <c r="O14" i="46"/>
  <c r="O72" i="46"/>
  <c r="O76" i="46"/>
  <c r="O81" i="46"/>
  <c r="O86" i="46"/>
  <c r="O88" i="46"/>
  <c r="O90" i="46"/>
  <c r="O91" i="46"/>
  <c r="O153" i="46"/>
  <c r="O155" i="46"/>
  <c r="O158" i="46"/>
  <c r="O160" i="46"/>
  <c r="O162" i="46"/>
  <c r="O165" i="46"/>
  <c r="O167" i="46"/>
  <c r="O170" i="46"/>
  <c r="O229" i="46"/>
  <c r="O231" i="46"/>
  <c r="O233" i="46"/>
  <c r="O236" i="46"/>
  <c r="O238" i="46"/>
  <c r="O240" i="46"/>
  <c r="O245" i="46"/>
  <c r="O247" i="46"/>
  <c r="O248" i="46"/>
  <c r="O308" i="46"/>
  <c r="O310" i="46"/>
  <c r="O316" i="46"/>
  <c r="O318" i="46"/>
  <c r="O320" i="46"/>
  <c r="O20" i="46"/>
  <c r="O75" i="46"/>
  <c r="O77" i="46"/>
  <c r="O80" i="46"/>
  <c r="O84" i="46"/>
  <c r="O87" i="46"/>
  <c r="O89" i="46"/>
  <c r="O154" i="46"/>
  <c r="O156" i="46"/>
  <c r="O159" i="46"/>
  <c r="O163" i="46"/>
  <c r="O168" i="46"/>
  <c r="O230" i="46"/>
  <c r="O232" i="46"/>
  <c r="O234" i="46"/>
  <c r="O237" i="46"/>
  <c r="O239" i="46"/>
  <c r="O241" i="46"/>
  <c r="O246" i="46"/>
  <c r="O309" i="46"/>
  <c r="O311" i="46"/>
  <c r="O313" i="46"/>
  <c r="O315" i="46"/>
  <c r="O321" i="46"/>
  <c r="P249" i="37"/>
  <c r="P237" i="37"/>
  <c r="P244" i="37"/>
  <c r="P236" i="37"/>
  <c r="P193" i="37"/>
  <c r="P191" i="37"/>
  <c r="P189" i="37"/>
  <c r="P185" i="37"/>
  <c r="P247" i="37"/>
  <c r="P179" i="37"/>
  <c r="P290" i="37"/>
  <c r="P20" i="37"/>
  <c r="P299" i="37"/>
  <c r="P248" i="37"/>
  <c r="P291" i="37"/>
  <c r="P121" i="37"/>
  <c r="O15" i="51"/>
  <c r="O54" i="51"/>
  <c r="O12" i="51"/>
  <c r="O51" i="51"/>
  <c r="F91" i="31"/>
  <c r="F92" i="31"/>
  <c r="G77" i="46"/>
  <c r="G156" i="46"/>
  <c r="G230" i="46"/>
  <c r="G239" i="46"/>
  <c r="I61" i="32"/>
  <c r="K61" i="32"/>
  <c r="M61" i="32"/>
  <c r="O62" i="32"/>
  <c r="G69" i="32"/>
  <c r="M62" i="32"/>
  <c r="K62" i="32"/>
  <c r="I62" i="32"/>
  <c r="G316" i="45"/>
  <c r="G310" i="45"/>
  <c r="G240" i="45"/>
  <c r="G231" i="45"/>
  <c r="G162" i="45"/>
  <c r="G158" i="45"/>
  <c r="G82" i="45"/>
  <c r="G77" i="45"/>
  <c r="G74" i="45"/>
  <c r="G311" i="45"/>
  <c r="G241" i="45"/>
  <c r="G237" i="45"/>
  <c r="G163" i="45"/>
  <c r="G154" i="45"/>
  <c r="G14" i="45"/>
  <c r="G13" i="46"/>
  <c r="G81" i="46"/>
  <c r="G160" i="46"/>
  <c r="G233" i="46"/>
  <c r="G238" i="46"/>
  <c r="G308" i="46"/>
  <c r="G118" i="32"/>
  <c r="O118" i="32"/>
  <c r="G178" i="32"/>
  <c r="I178" i="32"/>
  <c r="I172" i="32"/>
  <c r="M158" i="32"/>
  <c r="Q158" i="32"/>
  <c r="G47" i="45"/>
  <c r="T318" i="51"/>
  <c r="F111" i="31"/>
  <c r="F112" i="31"/>
  <c r="K38" i="35"/>
  <c r="F167" i="45"/>
  <c r="F218" i="45"/>
  <c r="M38" i="35"/>
  <c r="F245" i="45"/>
  <c r="F297" i="45"/>
  <c r="G38" i="35"/>
  <c r="F19" i="45"/>
  <c r="F62" i="45"/>
  <c r="O38" i="35"/>
  <c r="F320" i="45"/>
  <c r="F364" i="45"/>
  <c r="I38" i="35"/>
  <c r="F88" i="45"/>
  <c r="F140" i="45"/>
  <c r="Q38" i="35"/>
  <c r="G80" i="46"/>
  <c r="G154" i="46"/>
  <c r="G163" i="46"/>
  <c r="G232" i="46"/>
  <c r="G241" i="46"/>
  <c r="G311" i="46"/>
  <c r="I11" i="32"/>
  <c r="K11" i="32"/>
  <c r="G19" i="32"/>
  <c r="O19" i="32"/>
  <c r="M12" i="32"/>
  <c r="K12" i="32"/>
  <c r="I12" i="32"/>
  <c r="O12" i="32"/>
  <c r="G14" i="46"/>
  <c r="G308" i="45"/>
  <c r="G238" i="45"/>
  <c r="G151" i="45"/>
  <c r="G84" i="45"/>
  <c r="G80" i="45"/>
  <c r="G76" i="45"/>
  <c r="G72" i="45"/>
  <c r="G13" i="45"/>
  <c r="G309" i="45"/>
  <c r="G234" i="45"/>
  <c r="G156" i="45"/>
  <c r="G15" i="46"/>
  <c r="G153" i="46"/>
  <c r="G158" i="46"/>
  <c r="G162" i="46"/>
  <c r="G240" i="46"/>
  <c r="G310" i="46"/>
  <c r="G316" i="46"/>
  <c r="G176" i="32"/>
  <c r="I176" i="32"/>
  <c r="I157" i="32"/>
  <c r="K157" i="32"/>
  <c r="O157" i="32"/>
  <c r="Q157" i="32"/>
  <c r="Q155" i="32"/>
  <c r="M157" i="32"/>
  <c r="M155" i="32"/>
  <c r="G120" i="32"/>
  <c r="O114" i="32"/>
  <c r="R20" i="37"/>
  <c r="R237" i="37"/>
  <c r="R248" i="37"/>
  <c r="R121" i="37"/>
  <c r="R247" i="37"/>
  <c r="R249" i="37"/>
  <c r="R291" i="37"/>
  <c r="Q13" i="45"/>
  <c r="Q15" i="45"/>
  <c r="Q18" i="45"/>
  <c r="Q20" i="45"/>
  <c r="Q72" i="45"/>
  <c r="Q74" i="45"/>
  <c r="Q76" i="45"/>
  <c r="Q77" i="45"/>
  <c r="Q80" i="45"/>
  <c r="Q82" i="45"/>
  <c r="Q84" i="45"/>
  <c r="Q87" i="45"/>
  <c r="Q89" i="45"/>
  <c r="Q91" i="45"/>
  <c r="Q151" i="45"/>
  <c r="Q153" i="45"/>
  <c r="Q155" i="45"/>
  <c r="Q158" i="45"/>
  <c r="Q162" i="45"/>
  <c r="Q165" i="45"/>
  <c r="Q167" i="45"/>
  <c r="Q170" i="45"/>
  <c r="Q231" i="45"/>
  <c r="Q236" i="45"/>
  <c r="Q238" i="45"/>
  <c r="Q240" i="45"/>
  <c r="Q245" i="45"/>
  <c r="Q247" i="45"/>
  <c r="Q248" i="45"/>
  <c r="Q308" i="45"/>
  <c r="Q310" i="45"/>
  <c r="Q316" i="45"/>
  <c r="Q318" i="45"/>
  <c r="Q320" i="45"/>
  <c r="Q7" i="45"/>
  <c r="Q14" i="45"/>
  <c r="Q75" i="45"/>
  <c r="Q81" i="45"/>
  <c r="Q90" i="45"/>
  <c r="Q154" i="45"/>
  <c r="Q156" i="45"/>
  <c r="Q159" i="45"/>
  <c r="Q163" i="45"/>
  <c r="Q166" i="45"/>
  <c r="Q232" i="45"/>
  <c r="Q234" i="45"/>
  <c r="Q237" i="45"/>
  <c r="Q241" i="45"/>
  <c r="Q309" i="45"/>
  <c r="Q311" i="45"/>
  <c r="Q315" i="45"/>
  <c r="Q319" i="45"/>
  <c r="Q321" i="45"/>
  <c r="Q7" i="46"/>
  <c r="Q10" i="46"/>
  <c r="Q15" i="46"/>
  <c r="Q72" i="46"/>
  <c r="Q76" i="46"/>
  <c r="Q81" i="46"/>
  <c r="Q86" i="46"/>
  <c r="Q88" i="46"/>
  <c r="Q90" i="46"/>
  <c r="Q91" i="46"/>
  <c r="Q151" i="46"/>
  <c r="Q153" i="46"/>
  <c r="Q155" i="46"/>
  <c r="Q158" i="46"/>
  <c r="Q160" i="46"/>
  <c r="Q162" i="46"/>
  <c r="Q165" i="46"/>
  <c r="Q167" i="46"/>
  <c r="Q170" i="46"/>
  <c r="Q229" i="46"/>
  <c r="Q231" i="46"/>
  <c r="Q233" i="46"/>
  <c r="Q236" i="46"/>
  <c r="Q238" i="46"/>
  <c r="Q240" i="46"/>
  <c r="Q245" i="46"/>
  <c r="Q247" i="46"/>
  <c r="Q248" i="46"/>
  <c r="Q308" i="46"/>
  <c r="Q310" i="46"/>
  <c r="Q316" i="46"/>
  <c r="Q318" i="46"/>
  <c r="Q320" i="46"/>
  <c r="Q14" i="46"/>
  <c r="Q20" i="46"/>
  <c r="Q75" i="46"/>
  <c r="Q77" i="46"/>
  <c r="Q80" i="46"/>
  <c r="Q82" i="46"/>
  <c r="Q84" i="46"/>
  <c r="Q87" i="46"/>
  <c r="Q89" i="46"/>
  <c r="Q152" i="46"/>
  <c r="Q154" i="46"/>
  <c r="Q156" i="46"/>
  <c r="Q159" i="46"/>
  <c r="Q163" i="46"/>
  <c r="Q168" i="46"/>
  <c r="Q230" i="46"/>
  <c r="Q232" i="46"/>
  <c r="Q234" i="46"/>
  <c r="Q237" i="46"/>
  <c r="Q239" i="46"/>
  <c r="Q241" i="46"/>
  <c r="Q246" i="46"/>
  <c r="Q309" i="46"/>
  <c r="Q311" i="46"/>
  <c r="Q313" i="46"/>
  <c r="Q315" i="46"/>
  <c r="Q319" i="46"/>
  <c r="Q321" i="46"/>
  <c r="R238" i="37"/>
  <c r="R302" i="37"/>
  <c r="R300" i="37"/>
  <c r="R180" i="37"/>
  <c r="R193" i="37"/>
  <c r="R191" i="37"/>
  <c r="R189" i="37"/>
  <c r="R299" i="37"/>
  <c r="R179" i="37"/>
  <c r="R290" i="37"/>
  <c r="R243" i="37"/>
  <c r="R239" i="37"/>
  <c r="R297" i="37"/>
  <c r="R187" i="37"/>
  <c r="R244" i="37"/>
  <c r="R236" i="37"/>
  <c r="R185" i="37"/>
  <c r="S288" i="51"/>
  <c r="K9" i="3"/>
  <c r="M120" i="32"/>
  <c r="I120" i="32"/>
  <c r="Q120" i="32"/>
  <c r="G126" i="32"/>
  <c r="M69" i="32"/>
  <c r="Q69" i="32"/>
  <c r="O69" i="32"/>
  <c r="K69" i="32"/>
  <c r="I69" i="32"/>
  <c r="G76" i="32"/>
  <c r="K76" i="32"/>
  <c r="K68" i="32"/>
  <c r="O68" i="32"/>
  <c r="Q68" i="32"/>
  <c r="G75" i="32"/>
  <c r="I68" i="32"/>
  <c r="M68" i="32"/>
  <c r="G182" i="32"/>
  <c r="G26" i="32"/>
  <c r="I26" i="32"/>
  <c r="Q19" i="32"/>
  <c r="M19" i="32"/>
  <c r="K19" i="32"/>
  <c r="I51" i="46"/>
  <c r="G184" i="32"/>
  <c r="M118" i="32"/>
  <c r="M116" i="32"/>
  <c r="I118" i="32"/>
  <c r="I116" i="32"/>
  <c r="I45" i="46"/>
  <c r="O52" i="51"/>
  <c r="J113" i="45"/>
  <c r="K26" i="32"/>
  <c r="G33" i="32"/>
  <c r="O26" i="32"/>
  <c r="Q26" i="32"/>
  <c r="G83" i="32"/>
  <c r="K83" i="32"/>
  <c r="O76" i="32"/>
  <c r="I126" i="32"/>
  <c r="M75" i="32"/>
  <c r="Q75" i="32"/>
  <c r="M83" i="32"/>
  <c r="G90" i="32"/>
  <c r="M33" i="32"/>
  <c r="Q33" i="32"/>
  <c r="F330" i="37"/>
  <c r="F318" i="46"/>
  <c r="F243" i="46"/>
  <c r="G45" i="35"/>
  <c r="F295" i="46"/>
  <c r="F277" i="37"/>
  <c r="F223" i="37"/>
  <c r="F362" i="46"/>
  <c r="I182" i="32"/>
  <c r="G188" i="32"/>
  <c r="J207" i="37"/>
  <c r="J278" i="46"/>
  <c r="J278" i="45"/>
  <c r="L199" i="51"/>
  <c r="G242" i="51"/>
  <c r="K288" i="46"/>
  <c r="K289" i="46"/>
  <c r="K291" i="46"/>
  <c r="K290" i="46"/>
  <c r="F68" i="31"/>
  <c r="R37" i="30"/>
  <c r="P37" i="30"/>
  <c r="N37" i="30"/>
  <c r="L37" i="30"/>
  <c r="J37" i="30"/>
  <c r="H37" i="30"/>
  <c r="P99" i="30"/>
  <c r="N99" i="30"/>
  <c r="L99" i="30"/>
  <c r="J99" i="30"/>
  <c r="H99" i="30"/>
  <c r="R99" i="30"/>
  <c r="L94" i="30"/>
  <c r="N94" i="30"/>
  <c r="R94" i="30"/>
  <c r="P94" i="30"/>
  <c r="H94" i="30"/>
  <c r="J94" i="30"/>
  <c r="R87" i="30"/>
  <c r="P87" i="30"/>
  <c r="N87" i="30"/>
  <c r="L87" i="30"/>
  <c r="J87" i="30"/>
  <c r="H87" i="30"/>
  <c r="J81" i="37"/>
  <c r="J111" i="46"/>
  <c r="J111" i="45"/>
  <c r="T334" i="51"/>
  <c r="N334" i="51"/>
  <c r="S334" i="51"/>
  <c r="N216" i="51"/>
  <c r="S216" i="51"/>
  <c r="T216" i="51"/>
  <c r="I203" i="51"/>
  <c r="I245" i="51"/>
  <c r="E16" i="3"/>
  <c r="J16" i="3"/>
  <c r="K16" i="3"/>
  <c r="I16" i="3"/>
  <c r="N89" i="31"/>
  <c r="J83" i="37"/>
  <c r="J113" i="46"/>
  <c r="Q300" i="45"/>
  <c r="O155" i="32"/>
  <c r="I264" i="37"/>
  <c r="I266" i="37"/>
  <c r="I268" i="37"/>
  <c r="I353" i="46"/>
  <c r="I353" i="45"/>
  <c r="I349" i="46"/>
  <c r="I351" i="45"/>
  <c r="I351" i="46"/>
  <c r="N318" i="51"/>
  <c r="T346" i="51"/>
  <c r="N346" i="51"/>
  <c r="S346" i="51"/>
  <c r="L140" i="51"/>
  <c r="N320" i="51"/>
  <c r="L359" i="51"/>
  <c r="T320" i="51"/>
  <c r="T134" i="51"/>
  <c r="N134" i="51"/>
  <c r="L177" i="51"/>
  <c r="T136" i="51"/>
  <c r="N136" i="51"/>
  <c r="L179" i="51"/>
  <c r="N109" i="51"/>
  <c r="S109" i="51"/>
  <c r="T109" i="51"/>
  <c r="K135" i="46"/>
  <c r="K133" i="46"/>
  <c r="K134" i="46"/>
  <c r="K131" i="46"/>
  <c r="R289" i="45"/>
  <c r="O230" i="45"/>
  <c r="Q230" i="45"/>
  <c r="G97" i="32"/>
  <c r="M90" i="32"/>
  <c r="I90" i="32"/>
  <c r="O90" i="32"/>
  <c r="G25" i="32"/>
  <c r="K18" i="32"/>
  <c r="Q18" i="32"/>
  <c r="I18" i="32"/>
  <c r="O18" i="32"/>
  <c r="G230" i="45"/>
  <c r="G238" i="51"/>
  <c r="L195" i="51"/>
  <c r="N86" i="51"/>
  <c r="S86" i="51"/>
  <c r="T86" i="51"/>
  <c r="O28" i="32"/>
  <c r="Q28" i="32"/>
  <c r="K28" i="32"/>
  <c r="I28" i="32"/>
  <c r="M28" i="32"/>
  <c r="K92" i="32"/>
  <c r="M92" i="32"/>
  <c r="O92" i="32"/>
  <c r="I92" i="32"/>
  <c r="I220" i="51"/>
  <c r="I248" i="51"/>
  <c r="L219" i="51"/>
  <c r="J9" i="30"/>
  <c r="P9" i="30"/>
  <c r="R9" i="30"/>
  <c r="H9" i="30"/>
  <c r="N9" i="30"/>
  <c r="L9" i="30"/>
  <c r="P105" i="30"/>
  <c r="N105" i="30"/>
  <c r="L105" i="30"/>
  <c r="J105" i="30"/>
  <c r="H105" i="30"/>
  <c r="R105" i="30"/>
  <c r="K90" i="32"/>
  <c r="I184" i="32"/>
  <c r="G190" i="32"/>
  <c r="O75" i="32"/>
  <c r="K75" i="32"/>
  <c r="G82" i="32"/>
  <c r="I75" i="32"/>
  <c r="Q288" i="46"/>
  <c r="Q134" i="45"/>
  <c r="G155" i="45"/>
  <c r="I36" i="37"/>
  <c r="I40" i="37"/>
  <c r="I38" i="37"/>
  <c r="I51" i="45"/>
  <c r="I47" i="46"/>
  <c r="I47" i="45"/>
  <c r="I49" i="46"/>
  <c r="I49" i="45"/>
  <c r="H66" i="52"/>
  <c r="H65" i="52"/>
  <c r="K140" i="37"/>
  <c r="D69" i="52"/>
  <c r="N66" i="52"/>
  <c r="N65" i="52"/>
  <c r="K143" i="37"/>
  <c r="J66" i="52"/>
  <c r="J65" i="52"/>
  <c r="K141" i="37"/>
  <c r="L66" i="52"/>
  <c r="L65" i="52"/>
  <c r="K142" i="37"/>
  <c r="F66" i="52"/>
  <c r="F65" i="52"/>
  <c r="K139" i="37"/>
  <c r="T154" i="51"/>
  <c r="T182" i="51"/>
  <c r="N154" i="51"/>
  <c r="S154" i="51"/>
  <c r="N230" i="51"/>
  <c r="L239" i="51"/>
  <c r="T230" i="51"/>
  <c r="T241" i="51"/>
  <c r="L149" i="51"/>
  <c r="G186" i="51"/>
  <c r="N85" i="51"/>
  <c r="S85" i="51"/>
  <c r="T85" i="51"/>
  <c r="N268" i="51"/>
  <c r="S268" i="51"/>
  <c r="T268" i="51"/>
  <c r="R131" i="45"/>
  <c r="R133" i="45"/>
  <c r="P127" i="45"/>
  <c r="G127" i="45"/>
  <c r="R136" i="45"/>
  <c r="G40" i="32"/>
  <c r="O33" i="32"/>
  <c r="M126" i="32"/>
  <c r="Q126" i="32"/>
  <c r="G132" i="32"/>
  <c r="G18" i="46"/>
  <c r="G153" i="45"/>
  <c r="G123" i="46"/>
  <c r="G256" i="46"/>
  <c r="G298" i="46"/>
  <c r="S205" i="51"/>
  <c r="L225" i="51"/>
  <c r="G247" i="51"/>
  <c r="L262" i="51"/>
  <c r="G301" i="51"/>
  <c r="L327" i="51"/>
  <c r="G361" i="51"/>
  <c r="G113" i="51"/>
  <c r="L70" i="51"/>
  <c r="L258" i="51"/>
  <c r="G297" i="51"/>
  <c r="T218" i="51"/>
  <c r="N218" i="51"/>
  <c r="S218" i="51"/>
  <c r="G241" i="51"/>
  <c r="G239" i="51"/>
  <c r="G240" i="51"/>
  <c r="N146" i="51"/>
  <c r="S146" i="51"/>
  <c r="T146" i="51"/>
  <c r="L211" i="51"/>
  <c r="G248" i="51"/>
  <c r="L84" i="51"/>
  <c r="G121" i="51"/>
  <c r="G116" i="51"/>
  <c r="L73" i="51"/>
  <c r="T350" i="51"/>
  <c r="N350" i="51"/>
  <c r="S350" i="51"/>
  <c r="L206" i="30"/>
  <c r="Q26" i="46"/>
  <c r="R92" i="37"/>
  <c r="R140" i="37"/>
  <c r="R145" i="37"/>
  <c r="R139" i="37"/>
  <c r="R256" i="37"/>
  <c r="R257" i="37"/>
  <c r="R307" i="37"/>
  <c r="R200" i="37"/>
  <c r="R225" i="37"/>
  <c r="R262" i="37"/>
  <c r="R27" i="37"/>
  <c r="Q270" i="46"/>
  <c r="Q253" i="46"/>
  <c r="Q179" i="46"/>
  <c r="Q121" i="46"/>
  <c r="Q115" i="46"/>
  <c r="Q111" i="46"/>
  <c r="Q100" i="46"/>
  <c r="Q45" i="46"/>
  <c r="Q28" i="46"/>
  <c r="R264" i="37"/>
  <c r="Q26" i="45"/>
  <c r="Q61" i="45"/>
  <c r="Q97" i="45"/>
  <c r="Q139" i="45"/>
  <c r="Q123" i="45"/>
  <c r="Q178" i="45"/>
  <c r="Q190" i="45"/>
  <c r="Q217" i="45"/>
  <c r="Q196" i="45"/>
  <c r="Q205" i="45"/>
  <c r="Q275" i="45"/>
  <c r="Q284" i="45"/>
  <c r="Q291" i="45"/>
  <c r="Q349" i="45"/>
  <c r="Q37" i="45"/>
  <c r="Q47" i="45"/>
  <c r="Q55" i="45"/>
  <c r="Q98" i="45"/>
  <c r="Q112" i="45"/>
  <c r="Q118" i="45"/>
  <c r="Q180" i="45"/>
  <c r="Q221" i="45"/>
  <c r="Q256" i="45"/>
  <c r="Q327" i="45"/>
  <c r="Q341" i="45"/>
  <c r="Q353" i="45"/>
  <c r="Q353" i="46"/>
  <c r="Q347" i="46"/>
  <c r="Q340" i="46"/>
  <c r="Q329" i="46"/>
  <c r="Q365" i="46"/>
  <c r="Q326" i="46"/>
  <c r="Q278" i="46"/>
  <c r="Q178" i="46"/>
  <c r="Q127" i="46"/>
  <c r="Q116" i="46"/>
  <c r="Q99" i="46"/>
  <c r="Q37" i="46"/>
  <c r="Q27" i="46"/>
  <c r="Q351" i="45"/>
  <c r="R259" i="37"/>
  <c r="R280" i="37"/>
  <c r="R211" i="37"/>
  <c r="R220" i="37"/>
  <c r="R152" i="37"/>
  <c r="R34" i="37"/>
  <c r="R204" i="37"/>
  <c r="R201" i="37"/>
  <c r="R321" i="37"/>
  <c r="R150" i="37"/>
  <c r="R254" i="37"/>
  <c r="R148" i="37"/>
  <c r="Q328" i="46"/>
  <c r="Q364" i="46"/>
  <c r="Q255" i="46"/>
  <c r="Q297" i="46"/>
  <c r="Q201" i="46"/>
  <c r="Q125" i="46"/>
  <c r="Q118" i="46"/>
  <c r="Q114" i="46"/>
  <c r="Q108" i="46"/>
  <c r="Q139" i="46"/>
  <c r="Q51" i="46"/>
  <c r="Q42" i="46"/>
  <c r="R38" i="37"/>
  <c r="R87" i="37"/>
  <c r="Q28" i="45"/>
  <c r="Q63" i="45"/>
  <c r="Q99" i="45"/>
  <c r="Q127" i="45"/>
  <c r="Q179" i="45"/>
  <c r="Q191" i="45"/>
  <c r="Q199" i="45"/>
  <c r="Q254" i="45"/>
  <c r="Q278" i="45"/>
  <c r="Q326" i="45"/>
  <c r="Q25" i="45"/>
  <c r="Q38" i="45"/>
  <c r="Q49" i="45"/>
  <c r="Q100" i="45"/>
  <c r="Q113" i="45"/>
  <c r="Q121" i="45"/>
  <c r="Q194" i="45"/>
  <c r="Q257" i="45"/>
  <c r="Q299" i="45"/>
  <c r="Q329" i="45"/>
  <c r="Q342" i="45"/>
  <c r="Q344" i="46"/>
  <c r="Q339" i="46"/>
  <c r="Q284" i="46"/>
  <c r="Q275" i="46"/>
  <c r="Q254" i="46"/>
  <c r="Q190" i="46"/>
  <c r="Q101" i="46"/>
  <c r="Q30" i="46"/>
  <c r="R310" i="37"/>
  <c r="R333" i="37"/>
  <c r="R308" i="37"/>
  <c r="R315" i="37"/>
  <c r="R266" i="37"/>
  <c r="R83" i="37"/>
  <c r="Q351" i="46"/>
  <c r="Q268" i="46"/>
  <c r="Q180" i="46"/>
  <c r="Q112" i="46"/>
  <c r="Q98" i="46"/>
  <c r="Q49" i="46"/>
  <c r="R255" i="37"/>
  <c r="R309" i="37"/>
  <c r="Q116" i="45"/>
  <c r="Q189" i="45"/>
  <c r="Q203" i="45"/>
  <c r="Q282" i="45"/>
  <c r="Q30" i="45"/>
  <c r="Q96" i="45"/>
  <c r="Q115" i="45"/>
  <c r="Q255" i="45"/>
  <c r="Q272" i="45"/>
  <c r="Q347" i="45"/>
  <c r="Q341" i="46"/>
  <c r="Q327" i="46"/>
  <c r="Q280" i="46"/>
  <c r="Q258" i="46"/>
  <c r="Q199" i="46"/>
  <c r="Q189" i="46"/>
  <c r="Q39" i="46"/>
  <c r="R36" i="37"/>
  <c r="R317" i="37"/>
  <c r="R213" i="37"/>
  <c r="R143" i="37"/>
  <c r="Q265" i="46"/>
  <c r="Q194" i="46"/>
  <c r="Q96" i="46"/>
  <c r="Q47" i="46"/>
  <c r="Q55" i="46"/>
  <c r="Q42" i="45"/>
  <c r="Q175" i="45"/>
  <c r="Q216" i="45"/>
  <c r="Q192" i="45"/>
  <c r="Q258" i="45"/>
  <c r="Q328" i="45"/>
  <c r="Q39" i="45"/>
  <c r="Q108" i="45"/>
  <c r="Q125" i="45"/>
  <c r="Q265" i="45"/>
  <c r="Q339" i="45"/>
  <c r="Q273" i="46"/>
  <c r="Q256" i="46"/>
  <c r="Q196" i="46"/>
  <c r="Q186" i="46"/>
  <c r="Q216" i="46"/>
  <c r="Q176" i="46"/>
  <c r="Q38" i="46"/>
  <c r="Q25" i="46"/>
  <c r="E50" i="3"/>
  <c r="J50" i="3"/>
  <c r="K50" i="3"/>
  <c r="E18" i="3"/>
  <c r="J18" i="3"/>
  <c r="K18" i="3"/>
  <c r="P166" i="46"/>
  <c r="G166" i="46"/>
  <c r="O166" i="46"/>
  <c r="R136" i="46"/>
  <c r="R134" i="46"/>
  <c r="P168" i="45"/>
  <c r="G168" i="45"/>
  <c r="Q168" i="45"/>
  <c r="L91" i="31"/>
  <c r="L92" i="31"/>
  <c r="L90" i="31"/>
  <c r="K33" i="32"/>
  <c r="K126" i="32"/>
  <c r="Q166" i="46"/>
  <c r="Q217" i="46"/>
  <c r="Q365" i="45"/>
  <c r="Q357" i="45"/>
  <c r="O120" i="32"/>
  <c r="O116" i="32"/>
  <c r="K120" i="32"/>
  <c r="P143" i="46"/>
  <c r="I34" i="37"/>
  <c r="I45" i="45"/>
  <c r="N15" i="31"/>
  <c r="N16" i="31"/>
  <c r="Q203" i="46"/>
  <c r="P293" i="46"/>
  <c r="G234" i="46"/>
  <c r="G321" i="45"/>
  <c r="P365" i="45"/>
  <c r="Q271" i="45"/>
  <c r="Q114" i="45"/>
  <c r="Q27" i="45"/>
  <c r="Q201" i="45"/>
  <c r="Q212" i="45"/>
  <c r="Q101" i="45"/>
  <c r="Q113" i="46"/>
  <c r="Q140" i="46"/>
  <c r="G155" i="46"/>
  <c r="Q177" i="46"/>
  <c r="Q257" i="46"/>
  <c r="Q299" i="46"/>
  <c r="K114" i="32"/>
  <c r="I114" i="32"/>
  <c r="M114" i="32"/>
  <c r="T328" i="51"/>
  <c r="I8" i="3"/>
  <c r="J8" i="3"/>
  <c r="K8" i="3"/>
  <c r="E10" i="3"/>
  <c r="J10" i="3"/>
  <c r="K10" i="3"/>
  <c r="I10" i="3"/>
  <c r="N120" i="51"/>
  <c r="S79" i="51"/>
  <c r="L120" i="51"/>
  <c r="S78" i="51"/>
  <c r="L117" i="51"/>
  <c r="N74" i="51"/>
  <c r="T74" i="51"/>
  <c r="G357" i="51"/>
  <c r="G299" i="51"/>
  <c r="L290" i="51"/>
  <c r="L357" i="51"/>
  <c r="L202" i="51"/>
  <c r="R94" i="37"/>
  <c r="R319" i="37"/>
  <c r="R199" i="37"/>
  <c r="S71" i="51"/>
  <c r="N139" i="51"/>
  <c r="L182" i="51"/>
  <c r="N197" i="51"/>
  <c r="L240" i="51"/>
  <c r="L264" i="51"/>
  <c r="G303" i="51"/>
  <c r="G244" i="51"/>
  <c r="R183" i="30"/>
  <c r="J39" i="3"/>
  <c r="K39" i="3"/>
  <c r="E39" i="3"/>
  <c r="E20" i="3"/>
  <c r="I20" i="3"/>
  <c r="J20" i="3"/>
  <c r="K20" i="3"/>
  <c r="I18" i="3"/>
  <c r="I13" i="3"/>
  <c r="E13" i="3"/>
  <c r="J13" i="3"/>
  <c r="K13" i="3"/>
  <c r="K360" i="46"/>
  <c r="K357" i="46"/>
  <c r="K359" i="46"/>
  <c r="R297" i="46"/>
  <c r="K293" i="45"/>
  <c r="K288" i="45"/>
  <c r="K289" i="45"/>
  <c r="K291" i="45"/>
  <c r="K292" i="45"/>
  <c r="K290" i="45"/>
  <c r="P244" i="45"/>
  <c r="O244" i="45"/>
  <c r="Q244" i="45"/>
  <c r="R58" i="45"/>
  <c r="P10" i="45"/>
  <c r="Q10" i="45"/>
  <c r="Q58" i="45"/>
  <c r="L172" i="30"/>
  <c r="J172" i="30"/>
  <c r="H172" i="30"/>
  <c r="H183" i="30"/>
  <c r="P172" i="30"/>
  <c r="N172" i="30"/>
  <c r="R172" i="30"/>
  <c r="Q83" i="32"/>
  <c r="O83" i="32"/>
  <c r="I76" i="32"/>
  <c r="Q76" i="32"/>
  <c r="M76" i="32"/>
  <c r="R279" i="37"/>
  <c r="Q364" i="45"/>
  <c r="Q135" i="45"/>
  <c r="G143" i="46"/>
  <c r="I33" i="32"/>
  <c r="I83" i="32"/>
  <c r="O126" i="32"/>
  <c r="Q360" i="46"/>
  <c r="Q134" i="46"/>
  <c r="Q357" i="46"/>
  <c r="Q360" i="45"/>
  <c r="G365" i="46"/>
  <c r="F14" i="31"/>
  <c r="F15" i="31"/>
  <c r="F16" i="31"/>
  <c r="K118" i="32"/>
  <c r="Q118" i="32"/>
  <c r="Q116" i="32"/>
  <c r="G124" i="32"/>
  <c r="Q123" i="46"/>
  <c r="Q136" i="46"/>
  <c r="Q205" i="46"/>
  <c r="Q282" i="46"/>
  <c r="Q290" i="46"/>
  <c r="O11" i="32"/>
  <c r="M11" i="32"/>
  <c r="G236" i="45"/>
  <c r="Q268" i="45"/>
  <c r="Q111" i="45"/>
  <c r="Q336" i="45"/>
  <c r="Q193" i="45"/>
  <c r="Q45" i="45"/>
  <c r="G167" i="46"/>
  <c r="Q271" i="46"/>
  <c r="O112" i="32"/>
  <c r="O110" i="32"/>
  <c r="M112" i="32"/>
  <c r="M110" i="32"/>
  <c r="K112" i="32"/>
  <c r="I112" i="32"/>
  <c r="K158" i="32"/>
  <c r="K155" i="32"/>
  <c r="O158" i="32"/>
  <c r="I158" i="32"/>
  <c r="I155" i="32"/>
  <c r="I50" i="3"/>
  <c r="S137" i="51"/>
  <c r="T170" i="51"/>
  <c r="N170" i="51"/>
  <c r="S170" i="51"/>
  <c r="G184" i="51"/>
  <c r="L141" i="51"/>
  <c r="N348" i="51"/>
  <c r="S348" i="51"/>
  <c r="T348" i="51"/>
  <c r="R207" i="37"/>
  <c r="R90" i="37"/>
  <c r="N316" i="51"/>
  <c r="T316" i="51"/>
  <c r="T315" i="51"/>
  <c r="N315" i="51"/>
  <c r="G298" i="51"/>
  <c r="T325" i="51"/>
  <c r="N325" i="51"/>
  <c r="S325" i="51"/>
  <c r="G123" i="51"/>
  <c r="L80" i="51"/>
  <c r="N317" i="51"/>
  <c r="N207" i="51"/>
  <c r="S207" i="51"/>
  <c r="T207" i="51"/>
  <c r="N267" i="51"/>
  <c r="S267" i="51"/>
  <c r="T267" i="51"/>
  <c r="L133" i="51"/>
  <c r="G176" i="51"/>
  <c r="N155" i="51"/>
  <c r="S155" i="51"/>
  <c r="T155" i="51"/>
  <c r="L94" i="51"/>
  <c r="G122" i="51"/>
  <c r="N270" i="51"/>
  <c r="S270" i="51"/>
  <c r="T270" i="51"/>
  <c r="T292" i="51"/>
  <c r="N292" i="51"/>
  <c r="S292" i="51"/>
  <c r="I185" i="51"/>
  <c r="L142" i="51"/>
  <c r="T91" i="51"/>
  <c r="N91" i="51"/>
  <c r="S91" i="51"/>
  <c r="K44" i="37"/>
  <c r="K46" i="37"/>
  <c r="K45" i="37"/>
  <c r="I264" i="51"/>
  <c r="I302" i="51"/>
  <c r="I259" i="51"/>
  <c r="I297" i="51"/>
  <c r="T217" i="51"/>
  <c r="N217" i="51"/>
  <c r="S217" i="51"/>
  <c r="G177" i="51"/>
  <c r="L168" i="51"/>
  <c r="L180" i="51"/>
  <c r="G180" i="51"/>
  <c r="K216" i="45"/>
  <c r="Q61" i="46"/>
  <c r="E43" i="3"/>
  <c r="J43" i="3"/>
  <c r="K43" i="3"/>
  <c r="E35" i="3"/>
  <c r="J35" i="3"/>
  <c r="K35" i="3"/>
  <c r="E33" i="3"/>
  <c r="I33" i="3"/>
  <c r="J33" i="3"/>
  <c r="K33" i="3"/>
  <c r="R288" i="46"/>
  <c r="P229" i="46"/>
  <c r="I177" i="46"/>
  <c r="I178" i="46"/>
  <c r="I176" i="46"/>
  <c r="I179" i="46"/>
  <c r="I180" i="46"/>
  <c r="H35" i="30"/>
  <c r="L35" i="30"/>
  <c r="N35" i="30"/>
  <c r="R35" i="30"/>
  <c r="P35" i="30"/>
  <c r="J35" i="30"/>
  <c r="M26" i="32"/>
  <c r="I19" i="32"/>
  <c r="O61" i="32"/>
  <c r="L115" i="51"/>
  <c r="T114" i="51"/>
  <c r="T72" i="51"/>
  <c r="T115" i="51"/>
  <c r="G183" i="51"/>
  <c r="L257" i="51"/>
  <c r="G296" i="51"/>
  <c r="T143" i="51"/>
  <c r="N143" i="51"/>
  <c r="L186" i="51"/>
  <c r="G302" i="51"/>
  <c r="T92" i="51"/>
  <c r="T120" i="51"/>
  <c r="L208" i="51"/>
  <c r="G245" i="51"/>
  <c r="L148" i="51"/>
  <c r="L241" i="51"/>
  <c r="T341" i="51"/>
  <c r="L322" i="51"/>
  <c r="I323" i="51"/>
  <c r="F46" i="52"/>
  <c r="F45" i="52"/>
  <c r="K246" i="37"/>
  <c r="J46" i="52"/>
  <c r="J45" i="52"/>
  <c r="K248" i="37"/>
  <c r="D49" i="52"/>
  <c r="L43" i="52"/>
  <c r="L42" i="52"/>
  <c r="K192" i="37"/>
  <c r="H43" i="52"/>
  <c r="H42" i="52"/>
  <c r="K190" i="37"/>
  <c r="N43" i="52"/>
  <c r="N42" i="52"/>
  <c r="K193" i="37"/>
  <c r="F43" i="52"/>
  <c r="F42" i="52"/>
  <c r="K189" i="37"/>
  <c r="G49" i="51"/>
  <c r="L40" i="51"/>
  <c r="N40" i="51"/>
  <c r="G46" i="51"/>
  <c r="G48" i="51"/>
  <c r="F98" i="52"/>
  <c r="F97" i="52"/>
  <c r="K92" i="37"/>
  <c r="D105" i="52"/>
  <c r="N98" i="52"/>
  <c r="N97" i="52"/>
  <c r="H98" i="52"/>
  <c r="H97" i="52"/>
  <c r="L220" i="51"/>
  <c r="L183" i="30"/>
  <c r="K362" i="46"/>
  <c r="K217" i="46"/>
  <c r="K295" i="46"/>
  <c r="Q125" i="32"/>
  <c r="G131" i="32"/>
  <c r="K125" i="32"/>
  <c r="O125" i="32"/>
  <c r="Q26" i="37"/>
  <c r="G26" i="37"/>
  <c r="Q38" i="37"/>
  <c r="G38" i="37"/>
  <c r="Q34" i="37"/>
  <c r="G34" i="37"/>
  <c r="Q31" i="37"/>
  <c r="G31" i="37"/>
  <c r="Q90" i="37"/>
  <c r="G90" i="37"/>
  <c r="Q92" i="37"/>
  <c r="G92" i="37"/>
  <c r="Q94" i="37"/>
  <c r="G94" i="37"/>
  <c r="Q29" i="37"/>
  <c r="G29" i="37"/>
  <c r="Q40" i="37"/>
  <c r="G40" i="37"/>
  <c r="Q85" i="37"/>
  <c r="G85" i="37"/>
  <c r="Q139" i="37"/>
  <c r="G139" i="37"/>
  <c r="Q143" i="37"/>
  <c r="G143" i="37"/>
  <c r="Q145" i="37"/>
  <c r="G145" i="37"/>
  <c r="Q154" i="37"/>
  <c r="G154" i="37"/>
  <c r="Q148" i="37"/>
  <c r="G148" i="37"/>
  <c r="Q152" i="37"/>
  <c r="G152" i="37"/>
  <c r="Q200" i="37"/>
  <c r="Q201" i="37"/>
  <c r="G201" i="37"/>
  <c r="Q207" i="37"/>
  <c r="G207" i="37"/>
  <c r="Q209" i="37"/>
  <c r="Q211" i="37"/>
  <c r="G211" i="37"/>
  <c r="Q254" i="37"/>
  <c r="G254" i="37"/>
  <c r="Q256" i="37"/>
  <c r="G256" i="37"/>
  <c r="Q262" i="37"/>
  <c r="G262" i="37"/>
  <c r="Q264" i="37"/>
  <c r="Q266" i="37"/>
  <c r="G266" i="37"/>
  <c r="Q307" i="37"/>
  <c r="G307" i="37"/>
  <c r="Q309" i="37"/>
  <c r="G309" i="37"/>
  <c r="Q315" i="37"/>
  <c r="G315" i="37"/>
  <c r="Q317" i="37"/>
  <c r="G317" i="37"/>
  <c r="Q319" i="37"/>
  <c r="G319" i="37"/>
  <c r="Q28" i="37"/>
  <c r="G28" i="37"/>
  <c r="Q140" i="37"/>
  <c r="G140" i="37"/>
  <c r="Q213" i="37"/>
  <c r="G213" i="37"/>
  <c r="Q310" i="37"/>
  <c r="Q36" i="37"/>
  <c r="G36" i="37"/>
  <c r="Q87" i="37"/>
  <c r="G87" i="37"/>
  <c r="Q150" i="37"/>
  <c r="Q268" i="37"/>
  <c r="G268" i="37"/>
  <c r="Q308" i="37"/>
  <c r="G308" i="37"/>
  <c r="Q312" i="37"/>
  <c r="G312" i="37"/>
  <c r="Q257" i="37"/>
  <c r="Q204" i="37"/>
  <c r="G204" i="37"/>
  <c r="Q321" i="37"/>
  <c r="G321" i="37"/>
  <c r="P25" i="45"/>
  <c r="G25" i="45"/>
  <c r="P30" i="45"/>
  <c r="G30" i="45"/>
  <c r="P38" i="45"/>
  <c r="G38" i="45"/>
  <c r="P349" i="46"/>
  <c r="P344" i="46"/>
  <c r="G344" i="46"/>
  <c r="P341" i="46"/>
  <c r="G341" i="46"/>
  <c r="P339" i="46"/>
  <c r="G339" i="46"/>
  <c r="P326" i="46"/>
  <c r="P282" i="46"/>
  <c r="G282" i="46"/>
  <c r="G289" i="46"/>
  <c r="P278" i="46"/>
  <c r="G278" i="46"/>
  <c r="P273" i="46"/>
  <c r="G273" i="46"/>
  <c r="P258" i="46"/>
  <c r="P205" i="46"/>
  <c r="G205" i="46"/>
  <c r="P196" i="46"/>
  <c r="G196" i="46"/>
  <c r="P176" i="46"/>
  <c r="G176" i="46"/>
  <c r="P97" i="46"/>
  <c r="P39" i="46"/>
  <c r="G39" i="46"/>
  <c r="P37" i="46"/>
  <c r="G37" i="46"/>
  <c r="P257" i="46"/>
  <c r="P201" i="46"/>
  <c r="P194" i="46"/>
  <c r="G194" i="46"/>
  <c r="P180" i="46"/>
  <c r="P175" i="46"/>
  <c r="P121" i="46"/>
  <c r="G121" i="46"/>
  <c r="P96" i="46"/>
  <c r="G96" i="46"/>
  <c r="P51" i="46"/>
  <c r="G51" i="46"/>
  <c r="P47" i="46"/>
  <c r="P51" i="45"/>
  <c r="P98" i="45"/>
  <c r="G98" i="45"/>
  <c r="P108" i="45"/>
  <c r="P112" i="45"/>
  <c r="G112" i="45"/>
  <c r="P114" i="45"/>
  <c r="G114" i="45"/>
  <c r="P118" i="45"/>
  <c r="G118" i="45"/>
  <c r="P125" i="45"/>
  <c r="G125" i="45"/>
  <c r="P180" i="45"/>
  <c r="P253" i="45"/>
  <c r="G253" i="45"/>
  <c r="P256" i="45"/>
  <c r="G256" i="45"/>
  <c r="P265" i="45"/>
  <c r="P271" i="45"/>
  <c r="G271" i="45"/>
  <c r="P327" i="45"/>
  <c r="G327" i="45"/>
  <c r="P339" i="45"/>
  <c r="G339" i="45"/>
  <c r="P341" i="45"/>
  <c r="G341" i="45"/>
  <c r="P344" i="45"/>
  <c r="G344" i="45"/>
  <c r="P26" i="45"/>
  <c r="P42" i="45"/>
  <c r="G42" i="45"/>
  <c r="P97" i="45"/>
  <c r="P101" i="45"/>
  <c r="P123" i="45"/>
  <c r="P175" i="45"/>
  <c r="G175" i="45"/>
  <c r="G216" i="45"/>
  <c r="P178" i="45"/>
  <c r="G178" i="45"/>
  <c r="P186" i="45"/>
  <c r="G186" i="45"/>
  <c r="P190" i="45"/>
  <c r="G190" i="45"/>
  <c r="G217" i="45"/>
  <c r="P192" i="45"/>
  <c r="G192" i="45"/>
  <c r="P196" i="45"/>
  <c r="G196" i="45"/>
  <c r="P201" i="45"/>
  <c r="P205" i="45"/>
  <c r="G205" i="45"/>
  <c r="P258" i="45"/>
  <c r="G258" i="45"/>
  <c r="P275" i="45"/>
  <c r="G275" i="45"/>
  <c r="P280" i="45"/>
  <c r="P284" i="45"/>
  <c r="G284" i="45"/>
  <c r="P328" i="45"/>
  <c r="P349" i="45"/>
  <c r="P353" i="46"/>
  <c r="G353" i="46"/>
  <c r="P192" i="46"/>
  <c r="G192" i="46"/>
  <c r="P190" i="46"/>
  <c r="G190" i="46"/>
  <c r="P186" i="46"/>
  <c r="G186" i="46"/>
  <c r="P178" i="46"/>
  <c r="G178" i="46"/>
  <c r="P99" i="46"/>
  <c r="P27" i="46"/>
  <c r="G27" i="46"/>
  <c r="D21" i="43"/>
  <c r="P351" i="46"/>
  <c r="G351" i="46"/>
  <c r="P328" i="46"/>
  <c r="G328" i="46"/>
  <c r="P271" i="46"/>
  <c r="G271" i="46"/>
  <c r="P265" i="46"/>
  <c r="G265" i="46"/>
  <c r="P177" i="46"/>
  <c r="G177" i="46"/>
  <c r="P125" i="46"/>
  <c r="P136" i="46"/>
  <c r="P115" i="46"/>
  <c r="G115" i="46"/>
  <c r="P113" i="46"/>
  <c r="G113" i="46"/>
  <c r="P111" i="46"/>
  <c r="G111" i="46"/>
  <c r="P98" i="46"/>
  <c r="P45" i="46"/>
  <c r="G45" i="46"/>
  <c r="P26" i="46"/>
  <c r="G26" i="46"/>
  <c r="J27" i="3"/>
  <c r="K27" i="3"/>
  <c r="I171" i="32"/>
  <c r="I168" i="32"/>
  <c r="G177" i="32"/>
  <c r="G13" i="32"/>
  <c r="G63" i="32"/>
  <c r="R365" i="46"/>
  <c r="K293" i="46"/>
  <c r="R217" i="46"/>
  <c r="P159" i="46"/>
  <c r="I97" i="46"/>
  <c r="I101" i="46"/>
  <c r="I98" i="46"/>
  <c r="R131" i="46"/>
  <c r="P72" i="46"/>
  <c r="J110" i="31"/>
  <c r="J111" i="31"/>
  <c r="J112" i="31"/>
  <c r="N14" i="30"/>
  <c r="J14" i="30"/>
  <c r="L14" i="30"/>
  <c r="R11" i="30"/>
  <c r="N11" i="30"/>
  <c r="J11" i="30"/>
  <c r="L11" i="30"/>
  <c r="H11" i="30"/>
  <c r="P11" i="30"/>
  <c r="G61" i="46"/>
  <c r="G365" i="45"/>
  <c r="S120" i="51"/>
  <c r="L122" i="51"/>
  <c r="T210" i="51"/>
  <c r="N210" i="51"/>
  <c r="S210" i="51"/>
  <c r="L121" i="51"/>
  <c r="T78" i="51"/>
  <c r="L114" i="51"/>
  <c r="T201" i="51"/>
  <c r="L244" i="51"/>
  <c r="L119" i="51"/>
  <c r="N76" i="51"/>
  <c r="T76" i="51"/>
  <c r="G304" i="51"/>
  <c r="L135" i="51"/>
  <c r="G178" i="51"/>
  <c r="L82" i="51"/>
  <c r="G119" i="51"/>
  <c r="N336" i="51"/>
  <c r="S336" i="51"/>
  <c r="T336" i="51"/>
  <c r="L147" i="51"/>
  <c r="G360" i="51"/>
  <c r="L321" i="51"/>
  <c r="N105" i="51"/>
  <c r="T105" i="51"/>
  <c r="I121" i="51"/>
  <c r="K34" i="37"/>
  <c r="K90" i="37"/>
  <c r="K148" i="37"/>
  <c r="K315" i="37"/>
  <c r="K262" i="37"/>
  <c r="K207" i="37"/>
  <c r="K218" i="45"/>
  <c r="K62" i="45"/>
  <c r="E46" i="3"/>
  <c r="J46" i="3"/>
  <c r="K46" i="3"/>
  <c r="I46" i="3"/>
  <c r="E17" i="3"/>
  <c r="J17" i="3"/>
  <c r="K17" i="3"/>
  <c r="J7" i="3"/>
  <c r="K7" i="3"/>
  <c r="R364" i="46"/>
  <c r="P315" i="46"/>
  <c r="R293" i="46"/>
  <c r="R291" i="46"/>
  <c r="R290" i="46"/>
  <c r="P231" i="46"/>
  <c r="K214" i="46"/>
  <c r="K210" i="46"/>
  <c r="R209" i="46"/>
  <c r="P151" i="46"/>
  <c r="O151" i="46"/>
  <c r="R143" i="46"/>
  <c r="R139" i="46"/>
  <c r="R58" i="46"/>
  <c r="P10" i="46"/>
  <c r="P81" i="45"/>
  <c r="R135" i="45"/>
  <c r="L15" i="31"/>
  <c r="L16" i="31"/>
  <c r="L14" i="31"/>
  <c r="Q243" i="37"/>
  <c r="P243" i="37"/>
  <c r="L263" i="51"/>
  <c r="K365" i="45"/>
  <c r="K218" i="46"/>
  <c r="Q119" i="32"/>
  <c r="I44" i="3"/>
  <c r="J44" i="3"/>
  <c r="K44" i="3"/>
  <c r="R362" i="46"/>
  <c r="K292" i="46"/>
  <c r="R299" i="46"/>
  <c r="R292" i="46"/>
  <c r="K211" i="46"/>
  <c r="K212" i="46"/>
  <c r="K132" i="46"/>
  <c r="I98" i="45"/>
  <c r="I99" i="45"/>
  <c r="I97" i="45"/>
  <c r="I100" i="45"/>
  <c r="I101" i="45"/>
  <c r="S10" i="37"/>
  <c r="R9" i="45"/>
  <c r="R9" i="46"/>
  <c r="S62" i="37"/>
  <c r="R74" i="46"/>
  <c r="S119" i="37"/>
  <c r="R152" i="45"/>
  <c r="S177" i="37"/>
  <c r="R229" i="45"/>
  <c r="S181" i="37"/>
  <c r="R233" i="45"/>
  <c r="S289" i="37"/>
  <c r="S13" i="37"/>
  <c r="R12" i="45"/>
  <c r="R12" i="46"/>
  <c r="R79" i="45"/>
  <c r="R79" i="46"/>
  <c r="S66" i="37"/>
  <c r="S70" i="37"/>
  <c r="R83" i="45"/>
  <c r="R83" i="46"/>
  <c r="S127" i="37"/>
  <c r="R161" i="45"/>
  <c r="R161" i="46"/>
  <c r="S186" i="37"/>
  <c r="R239" i="45"/>
  <c r="S242" i="37"/>
  <c r="R314" i="45"/>
  <c r="R314" i="46"/>
  <c r="S295" i="37"/>
  <c r="S72" i="37"/>
  <c r="R86" i="45"/>
  <c r="S190" i="37"/>
  <c r="R244" i="46"/>
  <c r="S74" i="37"/>
  <c r="R88" i="45"/>
  <c r="S301" i="37"/>
  <c r="R246" i="45"/>
  <c r="S192" i="37"/>
  <c r="S134" i="37"/>
  <c r="R169" i="45"/>
  <c r="R169" i="46"/>
  <c r="S29" i="37"/>
  <c r="R29" i="37"/>
  <c r="R40" i="46"/>
  <c r="P40" i="46"/>
  <c r="G40" i="46"/>
  <c r="G63" i="46"/>
  <c r="R40" i="45"/>
  <c r="Q40" i="45"/>
  <c r="S84" i="37"/>
  <c r="R84" i="37"/>
  <c r="S141" i="37"/>
  <c r="R141" i="37"/>
  <c r="R191" i="45"/>
  <c r="P191" i="45"/>
  <c r="G191" i="45"/>
  <c r="R191" i="46"/>
  <c r="P191" i="46"/>
  <c r="G191" i="46"/>
  <c r="R269" i="45"/>
  <c r="Q269" i="45"/>
  <c r="S199" i="37"/>
  <c r="Q199" i="37"/>
  <c r="G199" i="37"/>
  <c r="R269" i="46"/>
  <c r="Q269" i="46"/>
  <c r="R340" i="45"/>
  <c r="S255" i="37"/>
  <c r="Q255" i="37"/>
  <c r="G255" i="37"/>
  <c r="H51" i="30"/>
  <c r="L51" i="30"/>
  <c r="R51" i="30"/>
  <c r="J51" i="30"/>
  <c r="P51" i="30"/>
  <c r="N51" i="30"/>
  <c r="H44" i="30"/>
  <c r="J44" i="30"/>
  <c r="J41" i="30"/>
  <c r="R41" i="30"/>
  <c r="L41" i="30"/>
  <c r="H41" i="30"/>
  <c r="P41" i="30"/>
  <c r="N41" i="30"/>
  <c r="S246" i="37"/>
  <c r="K363" i="46"/>
  <c r="J288" i="46"/>
  <c r="J292" i="46"/>
  <c r="K216" i="46"/>
  <c r="I48" i="3"/>
  <c r="J48" i="3"/>
  <c r="K48" i="3"/>
  <c r="I23" i="3"/>
  <c r="J23" i="3"/>
  <c r="K23" i="3"/>
  <c r="I19" i="3"/>
  <c r="E19" i="3"/>
  <c r="J19" i="3"/>
  <c r="K19" i="3"/>
  <c r="K358" i="46"/>
  <c r="R55" i="46"/>
  <c r="S200" i="37"/>
  <c r="R270" i="45"/>
  <c r="R243" i="45"/>
  <c r="R243" i="46"/>
  <c r="N170" i="30"/>
  <c r="N183" i="30"/>
  <c r="J170" i="30"/>
  <c r="J183" i="30"/>
  <c r="P170" i="30"/>
  <c r="P7" i="30"/>
  <c r="L7" i="30"/>
  <c r="H7" i="30"/>
  <c r="R7" i="30"/>
  <c r="N7" i="30"/>
  <c r="J7" i="30"/>
  <c r="J18" i="30"/>
  <c r="R53" i="30"/>
  <c r="P53" i="30"/>
  <c r="N53" i="30"/>
  <c r="L53" i="30"/>
  <c r="J53" i="30"/>
  <c r="H203" i="30"/>
  <c r="J203" i="30"/>
  <c r="N203" i="30"/>
  <c r="L203" i="30"/>
  <c r="R203" i="30"/>
  <c r="H199" i="30"/>
  <c r="J199" i="30"/>
  <c r="N199" i="30"/>
  <c r="R199" i="30"/>
  <c r="P199" i="30"/>
  <c r="P206" i="30"/>
  <c r="H195" i="30"/>
  <c r="H206" i="30"/>
  <c r="J195" i="30"/>
  <c r="R195" i="30"/>
  <c r="R206" i="30"/>
  <c r="N195" i="30"/>
  <c r="P36" i="31"/>
  <c r="E77" i="45"/>
  <c r="E77" i="46"/>
  <c r="L109" i="31"/>
  <c r="H109" i="31"/>
  <c r="H66" i="31"/>
  <c r="P66" i="31"/>
  <c r="J66" i="31"/>
  <c r="H64" i="31"/>
  <c r="P64" i="31"/>
  <c r="J64" i="31"/>
  <c r="H62" i="31"/>
  <c r="P62" i="31"/>
  <c r="J62" i="31"/>
  <c r="H60" i="31"/>
  <c r="P60" i="31"/>
  <c r="J60" i="31"/>
  <c r="H58" i="31"/>
  <c r="P58" i="31"/>
  <c r="J58" i="31"/>
  <c r="H56" i="31"/>
  <c r="P56" i="31"/>
  <c r="P68" i="31"/>
  <c r="J56" i="31"/>
  <c r="L13" i="30"/>
  <c r="H13" i="30"/>
  <c r="R13" i="30"/>
  <c r="P55" i="30"/>
  <c r="N55" i="30"/>
  <c r="L55" i="30"/>
  <c r="H55" i="30"/>
  <c r="J55" i="30"/>
  <c r="R43" i="30"/>
  <c r="J43" i="30"/>
  <c r="P43" i="30"/>
  <c r="H43" i="30"/>
  <c r="P91" i="30"/>
  <c r="N91" i="30"/>
  <c r="L91" i="30"/>
  <c r="J91" i="30"/>
  <c r="H91" i="30"/>
  <c r="R91" i="30"/>
  <c r="R143" i="30"/>
  <c r="P143" i="30"/>
  <c r="L143" i="30"/>
  <c r="H143" i="30"/>
  <c r="R131" i="30"/>
  <c r="R151" i="30"/>
  <c r="P131" i="30"/>
  <c r="L131" i="30"/>
  <c r="L151" i="30"/>
  <c r="H131" i="30"/>
  <c r="H151" i="30"/>
  <c r="P34" i="31"/>
  <c r="L34" i="31"/>
  <c r="H34" i="31"/>
  <c r="R63" i="46"/>
  <c r="R299" i="45"/>
  <c r="R217" i="45"/>
  <c r="R63" i="45"/>
  <c r="P109" i="31"/>
  <c r="N66" i="31"/>
  <c r="N64" i="31"/>
  <c r="N62" i="31"/>
  <c r="N60" i="31"/>
  <c r="N58" i="31"/>
  <c r="N56" i="31"/>
  <c r="J17" i="30"/>
  <c r="P17" i="30"/>
  <c r="P15" i="30"/>
  <c r="L15" i="30"/>
  <c r="H15" i="30"/>
  <c r="H57" i="30"/>
  <c r="L57" i="30"/>
  <c r="R47" i="30"/>
  <c r="P47" i="30"/>
  <c r="N47" i="30"/>
  <c r="L47" i="30"/>
  <c r="H47" i="30"/>
  <c r="J47" i="30"/>
  <c r="H101" i="30"/>
  <c r="J101" i="30"/>
  <c r="L101" i="30"/>
  <c r="N101" i="30"/>
  <c r="P101" i="30"/>
  <c r="R103" i="30"/>
  <c r="P103" i="30"/>
  <c r="N103" i="30"/>
  <c r="L103" i="30"/>
  <c r="J103" i="30"/>
  <c r="H103" i="30"/>
  <c r="R93" i="30"/>
  <c r="P93" i="30"/>
  <c r="N93" i="30"/>
  <c r="L93" i="30"/>
  <c r="J93" i="30"/>
  <c r="H93" i="30"/>
  <c r="P83" i="30"/>
  <c r="N83" i="30"/>
  <c r="N107" i="30"/>
  <c r="L83" i="30"/>
  <c r="J83" i="30"/>
  <c r="H83" i="30"/>
  <c r="R83" i="30"/>
  <c r="R107" i="30"/>
  <c r="N131" i="30"/>
  <c r="H196" i="30"/>
  <c r="J196" i="30"/>
  <c r="N196" i="30"/>
  <c r="N192" i="30"/>
  <c r="J192" i="30"/>
  <c r="J171" i="30"/>
  <c r="O78" i="32"/>
  <c r="I14" i="32"/>
  <c r="I139" i="32"/>
  <c r="R359" i="45"/>
  <c r="R364" i="45"/>
  <c r="R216" i="45"/>
  <c r="R213" i="45"/>
  <c r="R209" i="45"/>
  <c r="R139" i="45"/>
  <c r="R141" i="45"/>
  <c r="K57" i="45"/>
  <c r="H87" i="31"/>
  <c r="P87" i="31"/>
  <c r="J87" i="31"/>
  <c r="H85" i="31"/>
  <c r="P85" i="31"/>
  <c r="J85" i="31"/>
  <c r="H83" i="31"/>
  <c r="P83" i="31"/>
  <c r="J83" i="31"/>
  <c r="H81" i="31"/>
  <c r="H89" i="31"/>
  <c r="P81" i="31"/>
  <c r="J81" i="31"/>
  <c r="L66" i="31"/>
  <c r="L64" i="31"/>
  <c r="L62" i="31"/>
  <c r="L60" i="31"/>
  <c r="L58" i="31"/>
  <c r="L56" i="31"/>
  <c r="L68" i="31"/>
  <c r="H11" i="31"/>
  <c r="P11" i="31"/>
  <c r="J11" i="31"/>
  <c r="H9" i="31"/>
  <c r="P9" i="31"/>
  <c r="J9" i="31"/>
  <c r="H7" i="31"/>
  <c r="P7" i="31"/>
  <c r="P13" i="31"/>
  <c r="J7" i="31"/>
  <c r="D13" i="52"/>
  <c r="S9" i="37"/>
  <c r="R8" i="45"/>
  <c r="R8" i="46"/>
  <c r="S61" i="37"/>
  <c r="R73" i="45"/>
  <c r="R73" i="46"/>
  <c r="S118" i="37"/>
  <c r="S122" i="37"/>
  <c r="S292" i="37"/>
  <c r="S16" i="37"/>
  <c r="S69" i="37"/>
  <c r="S126" i="37"/>
  <c r="R160" i="45"/>
  <c r="S241" i="37"/>
  <c r="R313" i="45"/>
  <c r="S18" i="37"/>
  <c r="R17" i="45"/>
  <c r="R17" i="46"/>
  <c r="R19" i="45"/>
  <c r="R19" i="46"/>
  <c r="S133" i="37"/>
  <c r="S76" i="37"/>
  <c r="S28" i="37"/>
  <c r="R28" i="37"/>
  <c r="S83" i="37"/>
  <c r="Q83" i="37"/>
  <c r="G83" i="37"/>
  <c r="R113" i="45"/>
  <c r="P113" i="45"/>
  <c r="G113" i="45"/>
  <c r="R113" i="46"/>
  <c r="R140" i="46"/>
  <c r="S198" i="37"/>
  <c r="R198" i="37"/>
  <c r="S154" i="37"/>
  <c r="R154" i="37"/>
  <c r="S26" i="37"/>
  <c r="R26" i="37"/>
  <c r="J15" i="30"/>
  <c r="P13" i="30"/>
  <c r="R49" i="30"/>
  <c r="L49" i="30"/>
  <c r="N49" i="30"/>
  <c r="P39" i="30"/>
  <c r="N39" i="30"/>
  <c r="L39" i="30"/>
  <c r="R39" i="30"/>
  <c r="H39" i="30"/>
  <c r="J39" i="30"/>
  <c r="R95" i="30"/>
  <c r="P95" i="30"/>
  <c r="N95" i="30"/>
  <c r="L95" i="30"/>
  <c r="J95" i="30"/>
  <c r="H95" i="30"/>
  <c r="R85" i="30"/>
  <c r="P85" i="30"/>
  <c r="N85" i="30"/>
  <c r="L85" i="30"/>
  <c r="J85" i="30"/>
  <c r="H85" i="30"/>
  <c r="N143" i="30"/>
  <c r="J34" i="31"/>
  <c r="S294" i="37"/>
  <c r="S131" i="37"/>
  <c r="S130" i="37"/>
  <c r="S11" i="37"/>
  <c r="S63" i="37"/>
  <c r="S178" i="37"/>
  <c r="S14" i="37"/>
  <c r="S67" i="37"/>
  <c r="S124" i="37"/>
  <c r="S128" i="37"/>
  <c r="S19" i="37"/>
  <c r="S132" i="37"/>
  <c r="S81" i="37"/>
  <c r="R81" i="37"/>
  <c r="S85" i="37"/>
  <c r="R85" i="37"/>
  <c r="S142" i="37"/>
  <c r="Q142" i="37"/>
  <c r="G142" i="37"/>
  <c r="P149" i="30"/>
  <c r="N149" i="30"/>
  <c r="L149" i="30"/>
  <c r="J149" i="30"/>
  <c r="H149" i="30"/>
  <c r="P141" i="30"/>
  <c r="N141" i="30"/>
  <c r="L141" i="30"/>
  <c r="J141" i="30"/>
  <c r="J151" i="30"/>
  <c r="H141" i="30"/>
  <c r="F36" i="31"/>
  <c r="N32" i="31"/>
  <c r="J32" i="31"/>
  <c r="F32" i="31"/>
  <c r="L30" i="31"/>
  <c r="H30" i="31"/>
  <c r="N28" i="31"/>
  <c r="J28" i="31"/>
  <c r="J36" i="31"/>
  <c r="F28" i="31"/>
  <c r="L26" i="31"/>
  <c r="H26" i="31"/>
  <c r="N24" i="31"/>
  <c r="N36" i="31"/>
  <c r="J24" i="31"/>
  <c r="F24" i="31"/>
  <c r="L22" i="31"/>
  <c r="L36" i="31"/>
  <c r="H22" i="31"/>
  <c r="S296" i="37"/>
  <c r="S21" i="37"/>
  <c r="S40" i="37"/>
  <c r="R40" i="37"/>
  <c r="S8" i="37"/>
  <c r="S60" i="37"/>
  <c r="S64" i="37"/>
  <c r="S15" i="37"/>
  <c r="S68" i="37"/>
  <c r="S125" i="37"/>
  <c r="S184" i="37"/>
  <c r="S183" i="37"/>
  <c r="S73" i="37"/>
  <c r="S75" i="37"/>
  <c r="S27" i="37"/>
  <c r="Q27" i="37"/>
  <c r="G27" i="37"/>
  <c r="S82" i="37"/>
  <c r="Q82" i="37"/>
  <c r="G82" i="37"/>
  <c r="S96" i="37"/>
  <c r="R96" i="37"/>
  <c r="S268" i="37"/>
  <c r="R268" i="37"/>
  <c r="R274" i="37"/>
  <c r="S202" i="37"/>
  <c r="Q202" i="37"/>
  <c r="S120" i="37"/>
  <c r="I45" i="35"/>
  <c r="K45" i="35"/>
  <c r="M45" i="35"/>
  <c r="F35" i="31"/>
  <c r="J35" i="31"/>
  <c r="G29" i="35"/>
  <c r="E33" i="35"/>
  <c r="E37" i="35"/>
  <c r="E41" i="35"/>
  <c r="I29" i="35"/>
  <c r="K29" i="35"/>
  <c r="P297" i="45"/>
  <c r="J84" i="37"/>
  <c r="J114" i="45"/>
  <c r="J114" i="46"/>
  <c r="N37" i="31"/>
  <c r="N38" i="31"/>
  <c r="N39" i="31"/>
  <c r="J38" i="31"/>
  <c r="J39" i="31"/>
  <c r="J37" i="31"/>
  <c r="L152" i="30"/>
  <c r="L153" i="30"/>
  <c r="L154" i="30"/>
  <c r="P207" i="30"/>
  <c r="P208" i="30"/>
  <c r="P209" i="30"/>
  <c r="E5" i="35"/>
  <c r="E28" i="35"/>
  <c r="E17" i="35"/>
  <c r="I8" i="37"/>
  <c r="I43" i="37"/>
  <c r="I10" i="37"/>
  <c r="I45" i="37"/>
  <c r="I11" i="37"/>
  <c r="I46" i="37"/>
  <c r="I9" i="37"/>
  <c r="I44" i="37"/>
  <c r="I8" i="45"/>
  <c r="I56" i="45"/>
  <c r="I10" i="46"/>
  <c r="I58" i="46"/>
  <c r="I10" i="45"/>
  <c r="I58" i="45"/>
  <c r="I7" i="46"/>
  <c r="I55" i="46"/>
  <c r="I9" i="46"/>
  <c r="I57" i="46"/>
  <c r="I8" i="46"/>
  <c r="I56" i="46"/>
  <c r="I7" i="45"/>
  <c r="I55" i="45"/>
  <c r="I9" i="45"/>
  <c r="I57" i="45"/>
  <c r="G202" i="37"/>
  <c r="G227" i="37"/>
  <c r="Q227" i="37"/>
  <c r="J152" i="30"/>
  <c r="J153" i="30"/>
  <c r="J154" i="30"/>
  <c r="J36" i="37"/>
  <c r="J47" i="45"/>
  <c r="J49" i="45"/>
  <c r="J51" i="45"/>
  <c r="J51" i="46"/>
  <c r="J49" i="46"/>
  <c r="J47" i="46"/>
  <c r="Q218" i="46"/>
  <c r="G37" i="35"/>
  <c r="I37" i="35"/>
  <c r="K37" i="35"/>
  <c r="M37" i="35"/>
  <c r="O37" i="35"/>
  <c r="Q37" i="35"/>
  <c r="F301" i="37"/>
  <c r="F332" i="37"/>
  <c r="F134" i="37"/>
  <c r="F168" i="37"/>
  <c r="F169" i="46"/>
  <c r="F220" i="46"/>
  <c r="Q60" i="37"/>
  <c r="R60" i="37"/>
  <c r="R100" i="37"/>
  <c r="P60" i="37"/>
  <c r="Q132" i="37"/>
  <c r="G132" i="37"/>
  <c r="R132" i="37"/>
  <c r="P132" i="37"/>
  <c r="P19" i="46"/>
  <c r="O19" i="46"/>
  <c r="Q19" i="46"/>
  <c r="Q62" i="46"/>
  <c r="Q69" i="37"/>
  <c r="R69" i="37"/>
  <c r="P69" i="37"/>
  <c r="Q118" i="37"/>
  <c r="P118" i="37"/>
  <c r="R118" i="37"/>
  <c r="R158" i="37"/>
  <c r="P15" i="31"/>
  <c r="P16" i="31"/>
  <c r="I289" i="37"/>
  <c r="P14" i="31"/>
  <c r="N108" i="30"/>
  <c r="N109" i="30"/>
  <c r="N110" i="30"/>
  <c r="H152" i="30"/>
  <c r="H153" i="30"/>
  <c r="H154" i="30"/>
  <c r="P69" i="31"/>
  <c r="P70" i="31"/>
  <c r="P71" i="31"/>
  <c r="I307" i="37"/>
  <c r="I308" i="37"/>
  <c r="I309" i="37"/>
  <c r="I310" i="37"/>
  <c r="P38" i="31"/>
  <c r="P39" i="31"/>
  <c r="P37" i="31"/>
  <c r="J19" i="30"/>
  <c r="J20" i="30"/>
  <c r="J21" i="30"/>
  <c r="N185" i="30"/>
  <c r="N186" i="30"/>
  <c r="N184" i="30"/>
  <c r="Q169" i="45"/>
  <c r="Q220" i="45"/>
  <c r="P169" i="45"/>
  <c r="O169" i="45"/>
  <c r="P88" i="45"/>
  <c r="G88" i="45"/>
  <c r="O88" i="45"/>
  <c r="Q88" i="45"/>
  <c r="Q140" i="45"/>
  <c r="R57" i="45"/>
  <c r="P9" i="45"/>
  <c r="O9" i="45"/>
  <c r="Q9" i="45"/>
  <c r="Q57" i="45"/>
  <c r="I177" i="37"/>
  <c r="I181" i="37"/>
  <c r="I229" i="46"/>
  <c r="I233" i="46"/>
  <c r="I234" i="46"/>
  <c r="I234" i="45"/>
  <c r="I229" i="45"/>
  <c r="I233" i="45"/>
  <c r="P58" i="46"/>
  <c r="G10" i="46"/>
  <c r="S76" i="51"/>
  <c r="G159" i="46"/>
  <c r="G217" i="46"/>
  <c r="P217" i="46"/>
  <c r="K63" i="32"/>
  <c r="K59" i="32"/>
  <c r="I63" i="32"/>
  <c r="I59" i="32"/>
  <c r="O63" i="32"/>
  <c r="O59" i="32"/>
  <c r="G70" i="32"/>
  <c r="M63" i="32"/>
  <c r="M59" i="32"/>
  <c r="G99" i="46"/>
  <c r="G141" i="46"/>
  <c r="P141" i="46"/>
  <c r="G26" i="45"/>
  <c r="G61" i="45"/>
  <c r="P61" i="45"/>
  <c r="G180" i="46"/>
  <c r="G221" i="46"/>
  <c r="P221" i="46"/>
  <c r="L184" i="30"/>
  <c r="L185" i="30"/>
  <c r="L186" i="30"/>
  <c r="D108" i="52"/>
  <c r="F105" i="52"/>
  <c r="F104" i="52"/>
  <c r="K150" i="37"/>
  <c r="H105" i="52"/>
  <c r="H104" i="52"/>
  <c r="J105" i="52"/>
  <c r="J104" i="52"/>
  <c r="L105" i="52"/>
  <c r="L104" i="52"/>
  <c r="N105" i="52"/>
  <c r="N104" i="52"/>
  <c r="P297" i="46"/>
  <c r="L59" i="30"/>
  <c r="S317" i="51"/>
  <c r="S356" i="51"/>
  <c r="S315" i="51"/>
  <c r="S354" i="51"/>
  <c r="J29" i="37"/>
  <c r="J40" i="45"/>
  <c r="J40" i="46"/>
  <c r="M9" i="32"/>
  <c r="Q296" i="45"/>
  <c r="Q290" i="45"/>
  <c r="L238" i="51"/>
  <c r="N195" i="51"/>
  <c r="T195" i="51"/>
  <c r="T238" i="51"/>
  <c r="P289" i="45"/>
  <c r="Q289" i="45"/>
  <c r="Q293" i="45"/>
  <c r="P213" i="45"/>
  <c r="G33" i="35"/>
  <c r="I33" i="35"/>
  <c r="K33" i="35"/>
  <c r="M33" i="35"/>
  <c r="O33" i="35"/>
  <c r="Q33" i="35"/>
  <c r="F300" i="37"/>
  <c r="F331" i="37"/>
  <c r="F76" i="37"/>
  <c r="F110" i="37"/>
  <c r="F90" i="46"/>
  <c r="F142" i="46"/>
  <c r="Q15" i="37"/>
  <c r="R15" i="37"/>
  <c r="R50" i="37"/>
  <c r="P15" i="37"/>
  <c r="Q21" i="37"/>
  <c r="G21" i="37"/>
  <c r="P21" i="37"/>
  <c r="R21" i="37"/>
  <c r="Q130" i="37"/>
  <c r="G130" i="37"/>
  <c r="P130" i="37"/>
  <c r="R130" i="37"/>
  <c r="P17" i="45"/>
  <c r="G17" i="45"/>
  <c r="O17" i="45"/>
  <c r="Q17" i="45"/>
  <c r="Q16" i="37"/>
  <c r="P16" i="37"/>
  <c r="R16" i="37"/>
  <c r="R51" i="37"/>
  <c r="P107" i="30"/>
  <c r="H110" i="31"/>
  <c r="H111" i="31"/>
  <c r="H112" i="31"/>
  <c r="N18" i="30"/>
  <c r="O243" i="46"/>
  <c r="Q243" i="46"/>
  <c r="Q295" i="46"/>
  <c r="P243" i="46"/>
  <c r="Q242" i="37"/>
  <c r="R242" i="37"/>
  <c r="R278" i="37"/>
  <c r="P242" i="37"/>
  <c r="R142" i="46"/>
  <c r="P83" i="46"/>
  <c r="Q83" i="46"/>
  <c r="Q142" i="46"/>
  <c r="O83" i="46"/>
  <c r="R60" i="46"/>
  <c r="P12" i="46"/>
  <c r="O12" i="46"/>
  <c r="Q12" i="46"/>
  <c r="E54" i="35"/>
  <c r="E64" i="35"/>
  <c r="O209" i="46"/>
  <c r="K50" i="37"/>
  <c r="K51" i="37"/>
  <c r="K48" i="37"/>
  <c r="L360" i="51"/>
  <c r="N321" i="51"/>
  <c r="T321" i="51"/>
  <c r="T360" i="51"/>
  <c r="T135" i="51"/>
  <c r="L178" i="51"/>
  <c r="N135" i="51"/>
  <c r="G51" i="45"/>
  <c r="G55" i="45"/>
  <c r="P55" i="45"/>
  <c r="G257" i="37"/>
  <c r="G280" i="37"/>
  <c r="Q280" i="37"/>
  <c r="Q84" i="37"/>
  <c r="G84" i="37"/>
  <c r="K101" i="37"/>
  <c r="K104" i="37"/>
  <c r="K100" i="37"/>
  <c r="K103" i="37"/>
  <c r="K102" i="37"/>
  <c r="L323" i="51"/>
  <c r="I362" i="51"/>
  <c r="P59" i="30"/>
  <c r="H59" i="30"/>
  <c r="I110" i="32"/>
  <c r="K116" i="32"/>
  <c r="R185" i="30"/>
  <c r="R186" i="30"/>
  <c r="H315" i="37"/>
  <c r="R184" i="30"/>
  <c r="S139" i="51"/>
  <c r="S182" i="51"/>
  <c r="N182" i="51"/>
  <c r="P63" i="46"/>
  <c r="R142" i="37"/>
  <c r="Q141" i="46"/>
  <c r="R82" i="37"/>
  <c r="L208" i="30"/>
  <c r="L209" i="30"/>
  <c r="L207" i="30"/>
  <c r="T211" i="51"/>
  <c r="N211" i="51"/>
  <c r="P212" i="46"/>
  <c r="K132" i="32"/>
  <c r="O132" i="32"/>
  <c r="I132" i="32"/>
  <c r="Q132" i="32"/>
  <c r="G138" i="32"/>
  <c r="M132" i="32"/>
  <c r="G47" i="32"/>
  <c r="K40" i="32"/>
  <c r="M40" i="32"/>
  <c r="O40" i="32"/>
  <c r="I40" i="32"/>
  <c r="N69" i="52"/>
  <c r="N68" i="52"/>
  <c r="K202" i="37"/>
  <c r="L69" i="52"/>
  <c r="L68" i="52"/>
  <c r="K201" i="37"/>
  <c r="J69" i="52"/>
  <c r="J68" i="52"/>
  <c r="K200" i="37"/>
  <c r="H69" i="52"/>
  <c r="H68" i="52"/>
  <c r="K199" i="37"/>
  <c r="F69" i="52"/>
  <c r="F68" i="52"/>
  <c r="K198" i="37"/>
  <c r="D72" i="52"/>
  <c r="S134" i="51"/>
  <c r="S320" i="51"/>
  <c r="S359" i="51"/>
  <c r="N359" i="51"/>
  <c r="Q58" i="46"/>
  <c r="L242" i="51"/>
  <c r="N199" i="51"/>
  <c r="T199" i="51"/>
  <c r="T242" i="51"/>
  <c r="G134" i="46"/>
  <c r="F72" i="37"/>
  <c r="F106" i="37"/>
  <c r="F86" i="46"/>
  <c r="F138" i="46"/>
  <c r="F18" i="37"/>
  <c r="F48" i="37"/>
  <c r="F17" i="51"/>
  <c r="F51" i="51"/>
  <c r="F17" i="46"/>
  <c r="F60" i="46"/>
  <c r="Q120" i="37"/>
  <c r="R120" i="37"/>
  <c r="R160" i="37"/>
  <c r="P120" i="37"/>
  <c r="P160" i="37"/>
  <c r="Q183" i="37"/>
  <c r="R183" i="37"/>
  <c r="R223" i="37"/>
  <c r="P183" i="37"/>
  <c r="Q64" i="37"/>
  <c r="P64" i="37"/>
  <c r="R64" i="37"/>
  <c r="R104" i="37"/>
  <c r="Q296" i="37"/>
  <c r="P296" i="37"/>
  <c r="R296" i="37"/>
  <c r="Q19" i="37"/>
  <c r="G19" i="37"/>
  <c r="P19" i="37"/>
  <c r="R19" i="37"/>
  <c r="Q178" i="37"/>
  <c r="P178" i="37"/>
  <c r="R178" i="37"/>
  <c r="R218" i="37"/>
  <c r="Q133" i="37"/>
  <c r="G133" i="37"/>
  <c r="P133" i="37"/>
  <c r="R133" i="37"/>
  <c r="Q18" i="37"/>
  <c r="G18" i="37"/>
  <c r="P18" i="37"/>
  <c r="R18" i="37"/>
  <c r="Q241" i="37"/>
  <c r="R241" i="37"/>
  <c r="P241" i="37"/>
  <c r="P277" i="37"/>
  <c r="Q126" i="37"/>
  <c r="P126" i="37"/>
  <c r="R126" i="37"/>
  <c r="R166" i="37"/>
  <c r="Q122" i="37"/>
  <c r="R122" i="37"/>
  <c r="R162" i="37"/>
  <c r="P122" i="37"/>
  <c r="R132" i="46"/>
  <c r="O73" i="46"/>
  <c r="Q73" i="46"/>
  <c r="Q132" i="46"/>
  <c r="P73" i="46"/>
  <c r="P8" i="46"/>
  <c r="R56" i="46"/>
  <c r="O8" i="46"/>
  <c r="Q8" i="46"/>
  <c r="Q56" i="46"/>
  <c r="H13" i="52"/>
  <c r="H12" i="52"/>
  <c r="K67" i="37"/>
  <c r="K107" i="37"/>
  <c r="F13" i="52"/>
  <c r="F12" i="52"/>
  <c r="K66" i="37"/>
  <c r="K106" i="37"/>
  <c r="J13" i="52"/>
  <c r="J12" i="52"/>
  <c r="K68" i="37"/>
  <c r="K108" i="37"/>
  <c r="N13" i="52"/>
  <c r="N12" i="52"/>
  <c r="K70" i="37"/>
  <c r="K110" i="37"/>
  <c r="L13" i="52"/>
  <c r="L12" i="52"/>
  <c r="K69" i="37"/>
  <c r="K109" i="37"/>
  <c r="D16" i="52"/>
  <c r="J89" i="31"/>
  <c r="R62" i="46"/>
  <c r="J206" i="30"/>
  <c r="J107" i="30"/>
  <c r="R296" i="45"/>
  <c r="P151" i="30"/>
  <c r="L110" i="31"/>
  <c r="L111" i="31"/>
  <c r="L112" i="31"/>
  <c r="R208" i="30"/>
  <c r="R209" i="30"/>
  <c r="R207" i="30"/>
  <c r="R18" i="30"/>
  <c r="P183" i="30"/>
  <c r="R295" i="45"/>
  <c r="P243" i="45"/>
  <c r="O243" i="45"/>
  <c r="Q243" i="45"/>
  <c r="Q295" i="45"/>
  <c r="R220" i="45"/>
  <c r="Q246" i="37"/>
  <c r="G246" i="37"/>
  <c r="P246" i="37"/>
  <c r="R246" i="37"/>
  <c r="Q301" i="37"/>
  <c r="G301" i="37"/>
  <c r="P301" i="37"/>
  <c r="R301" i="37"/>
  <c r="P86" i="45"/>
  <c r="G86" i="45"/>
  <c r="O86" i="45"/>
  <c r="Q86" i="45"/>
  <c r="Q295" i="37"/>
  <c r="R295" i="37"/>
  <c r="R331" i="37"/>
  <c r="P295" i="37"/>
  <c r="R298" i="45"/>
  <c r="Q239" i="45"/>
  <c r="Q298" i="45"/>
  <c r="O239" i="45"/>
  <c r="O298" i="45"/>
  <c r="P239" i="45"/>
  <c r="P161" i="45"/>
  <c r="Q161" i="45"/>
  <c r="Q219" i="45"/>
  <c r="O161" i="45"/>
  <c r="R219" i="45"/>
  <c r="P83" i="45"/>
  <c r="O83" i="45"/>
  <c r="Q83" i="45"/>
  <c r="Q142" i="45"/>
  <c r="R142" i="45"/>
  <c r="P79" i="46"/>
  <c r="R138" i="46"/>
  <c r="O79" i="46"/>
  <c r="Q79" i="46"/>
  <c r="Q138" i="46"/>
  <c r="R60" i="45"/>
  <c r="Q12" i="45"/>
  <c r="P12" i="45"/>
  <c r="O12" i="45"/>
  <c r="Q289" i="37"/>
  <c r="R289" i="37"/>
  <c r="R325" i="37"/>
  <c r="P289" i="37"/>
  <c r="R288" i="45"/>
  <c r="P229" i="45"/>
  <c r="Q229" i="45"/>
  <c r="Q288" i="45"/>
  <c r="O229" i="45"/>
  <c r="Q119" i="37"/>
  <c r="P119" i="37"/>
  <c r="R119" i="37"/>
  <c r="R159" i="37"/>
  <c r="Q62" i="37"/>
  <c r="R62" i="37"/>
  <c r="R102" i="37"/>
  <c r="P62" i="37"/>
  <c r="Q10" i="37"/>
  <c r="R10" i="37"/>
  <c r="R45" i="37"/>
  <c r="P10" i="37"/>
  <c r="N263" i="51"/>
  <c r="T263" i="51"/>
  <c r="T302" i="51"/>
  <c r="L302" i="51"/>
  <c r="P140" i="45"/>
  <c r="G81" i="45"/>
  <c r="P209" i="46"/>
  <c r="G151" i="46"/>
  <c r="G209" i="46"/>
  <c r="P290" i="46"/>
  <c r="G231" i="46"/>
  <c r="G290" i="46"/>
  <c r="G315" i="46"/>
  <c r="G364" i="46"/>
  <c r="P364" i="46"/>
  <c r="I177" i="32"/>
  <c r="I174" i="32"/>
  <c r="G183" i="32"/>
  <c r="P269" i="46"/>
  <c r="G269" i="46"/>
  <c r="P85" i="37"/>
  <c r="P148" i="37"/>
  <c r="P257" i="37"/>
  <c r="P139" i="37"/>
  <c r="P209" i="37"/>
  <c r="O42" i="45"/>
  <c r="O101" i="45"/>
  <c r="O175" i="45"/>
  <c r="O186" i="45"/>
  <c r="O192" i="45"/>
  <c r="O201" i="45"/>
  <c r="O258" i="45"/>
  <c r="O280" i="45"/>
  <c r="O289" i="45"/>
  <c r="O328" i="45"/>
  <c r="P315" i="37"/>
  <c r="O37" i="45"/>
  <c r="O47" i="45"/>
  <c r="O98" i="45"/>
  <c r="O112" i="45"/>
  <c r="O118" i="45"/>
  <c r="O180" i="45"/>
  <c r="O221" i="45"/>
  <c r="O256" i="45"/>
  <c r="O269" i="45"/>
  <c r="O327" i="45"/>
  <c r="O341" i="45"/>
  <c r="O353" i="45"/>
  <c r="O37" i="46"/>
  <c r="O97" i="46"/>
  <c r="O123" i="46"/>
  <c r="O186" i="46"/>
  <c r="O192" i="46"/>
  <c r="O203" i="46"/>
  <c r="O258" i="46"/>
  <c r="O280" i="46"/>
  <c r="O327" i="46"/>
  <c r="O341" i="46"/>
  <c r="O349" i="46"/>
  <c r="O28" i="46"/>
  <c r="O49" i="46"/>
  <c r="O100" i="46"/>
  <c r="O113" i="46"/>
  <c r="O121" i="46"/>
  <c r="O179" i="46"/>
  <c r="O253" i="46"/>
  <c r="O268" i="46"/>
  <c r="O272" i="46"/>
  <c r="P142" i="37"/>
  <c r="P308" i="37"/>
  <c r="P207" i="37"/>
  <c r="P38" i="37"/>
  <c r="P268" i="37"/>
  <c r="P204" i="37"/>
  <c r="P309" i="37"/>
  <c r="P202" i="37"/>
  <c r="P141" i="37"/>
  <c r="P90" i="37"/>
  <c r="P201" i="37"/>
  <c r="P96" i="37"/>
  <c r="P319" i="37"/>
  <c r="O97" i="45"/>
  <c r="O127" i="45"/>
  <c r="O189" i="45"/>
  <c r="O196" i="45"/>
  <c r="O254" i="45"/>
  <c r="O296" i="45"/>
  <c r="O282" i="45"/>
  <c r="O349" i="45"/>
  <c r="O30" i="45"/>
  <c r="O49" i="45"/>
  <c r="O108" i="45"/>
  <c r="O115" i="45"/>
  <c r="O194" i="45"/>
  <c r="O265" i="45"/>
  <c r="O272" i="45"/>
  <c r="O342" i="45"/>
  <c r="O27" i="46"/>
  <c r="O40" i="46"/>
  <c r="O127" i="46"/>
  <c r="O190" i="46"/>
  <c r="O199" i="46"/>
  <c r="O273" i="46"/>
  <c r="O284" i="46"/>
  <c r="O340" i="46"/>
  <c r="O353" i="46"/>
  <c r="O45" i="46"/>
  <c r="O98" i="46"/>
  <c r="O114" i="46"/>
  <c r="O175" i="46"/>
  <c r="O201" i="46"/>
  <c r="O269" i="46"/>
  <c r="O336" i="46"/>
  <c r="P27" i="37"/>
  <c r="P154" i="37"/>
  <c r="P83" i="37"/>
  <c r="P256" i="37"/>
  <c r="P262" i="37"/>
  <c r="P150" i="37"/>
  <c r="P161" i="37"/>
  <c r="P140" i="37"/>
  <c r="P211" i="37"/>
  <c r="P143" i="37"/>
  <c r="O26" i="45"/>
  <c r="O99" i="45"/>
  <c r="O141" i="45"/>
  <c r="O177" i="45"/>
  <c r="O190" i="45"/>
  <c r="O199" i="45"/>
  <c r="O273" i="45"/>
  <c r="O284" i="45"/>
  <c r="P307" i="37"/>
  <c r="O38" i="45"/>
  <c r="O51" i="45"/>
  <c r="O111" i="45"/>
  <c r="O121" i="45"/>
  <c r="O253" i="45"/>
  <c r="O268" i="45"/>
  <c r="O329" i="45"/>
  <c r="O344" i="45"/>
  <c r="O30" i="46"/>
  <c r="O99" i="46"/>
  <c r="O176" i="46"/>
  <c r="O217" i="46"/>
  <c r="O191" i="46"/>
  <c r="O205" i="46"/>
  <c r="O275" i="46"/>
  <c r="O326" i="46"/>
  <c r="O342" i="46"/>
  <c r="O351" i="45"/>
  <c r="O47" i="46"/>
  <c r="O108" i="46"/>
  <c r="O115" i="46"/>
  <c r="O177" i="46"/>
  <c r="O218" i="46"/>
  <c r="O255" i="46"/>
  <c r="O297" i="46"/>
  <c r="O270" i="46"/>
  <c r="O351" i="46"/>
  <c r="P255" i="37"/>
  <c r="P87" i="37"/>
  <c r="P40" i="37"/>
  <c r="P31" i="37"/>
  <c r="P254" i="37"/>
  <c r="P36" i="37"/>
  <c r="P145" i="37"/>
  <c r="P152" i="37"/>
  <c r="O116" i="45"/>
  <c r="O191" i="45"/>
  <c r="O275" i="45"/>
  <c r="O25" i="45"/>
  <c r="O96" i="45"/>
  <c r="O125" i="45"/>
  <c r="O270" i="45"/>
  <c r="O347" i="45"/>
  <c r="O101" i="46"/>
  <c r="O193" i="46"/>
  <c r="O278" i="46"/>
  <c r="O344" i="46"/>
  <c r="O51" i="46"/>
  <c r="O118" i="46"/>
  <c r="O257" i="46"/>
  <c r="P84" i="37"/>
  <c r="P82" i="37"/>
  <c r="P321" i="37"/>
  <c r="P26" i="37"/>
  <c r="P29" i="37"/>
  <c r="O28" i="45"/>
  <c r="O203" i="45"/>
  <c r="O39" i="45"/>
  <c r="O113" i="45"/>
  <c r="O339" i="45"/>
  <c r="O178" i="46"/>
  <c r="O329" i="46"/>
  <c r="O111" i="46"/>
  <c r="O271" i="46"/>
  <c r="P94" i="37"/>
  <c r="P213" i="37"/>
  <c r="P199" i="37"/>
  <c r="P200" i="37"/>
  <c r="O123" i="45"/>
  <c r="O193" i="45"/>
  <c r="O278" i="45"/>
  <c r="O27" i="45"/>
  <c r="O100" i="45"/>
  <c r="O176" i="45"/>
  <c r="O271" i="45"/>
  <c r="O25" i="46"/>
  <c r="O116" i="46"/>
  <c r="O196" i="46"/>
  <c r="O282" i="46"/>
  <c r="O347" i="46"/>
  <c r="O96" i="46"/>
  <c r="O125" i="46"/>
  <c r="O265" i="46"/>
  <c r="P310" i="37"/>
  <c r="P264" i="37"/>
  <c r="P317" i="37"/>
  <c r="P81" i="37"/>
  <c r="P259" i="37"/>
  <c r="O178" i="45"/>
  <c r="O326" i="45"/>
  <c r="O255" i="45"/>
  <c r="O38" i="46"/>
  <c r="O254" i="46"/>
  <c r="O26" i="46"/>
  <c r="O180" i="46"/>
  <c r="P28" i="37"/>
  <c r="O179" i="45"/>
  <c r="O114" i="45"/>
  <c r="O189" i="46"/>
  <c r="O112" i="46"/>
  <c r="P312" i="37"/>
  <c r="O336" i="45"/>
  <c r="O339" i="46"/>
  <c r="O45" i="45"/>
  <c r="O42" i="46"/>
  <c r="P34" i="37"/>
  <c r="O205" i="45"/>
  <c r="O257" i="45"/>
  <c r="O256" i="46"/>
  <c r="O298" i="46"/>
  <c r="O194" i="46"/>
  <c r="P198" i="37"/>
  <c r="P92" i="37"/>
  <c r="O340" i="45"/>
  <c r="O328" i="46"/>
  <c r="O40" i="45"/>
  <c r="O39" i="46"/>
  <c r="P266" i="37"/>
  <c r="G349" i="45"/>
  <c r="P360" i="45"/>
  <c r="P358" i="45"/>
  <c r="P357" i="45"/>
  <c r="G97" i="45"/>
  <c r="P139" i="45"/>
  <c r="P269" i="45"/>
  <c r="G269" i="45"/>
  <c r="G180" i="45"/>
  <c r="G221" i="45"/>
  <c r="P221" i="45"/>
  <c r="G201" i="46"/>
  <c r="P214" i="46"/>
  <c r="P211" i="46"/>
  <c r="G97" i="46"/>
  <c r="G139" i="46"/>
  <c r="P139" i="46"/>
  <c r="G258" i="46"/>
  <c r="G300" i="46"/>
  <c r="P300" i="46"/>
  <c r="G326" i="46"/>
  <c r="G362" i="46"/>
  <c r="P362" i="46"/>
  <c r="G349" i="46"/>
  <c r="P357" i="46"/>
  <c r="P358" i="46"/>
  <c r="P360" i="46"/>
  <c r="P359" i="46"/>
  <c r="Q198" i="37"/>
  <c r="G198" i="37"/>
  <c r="G310" i="37"/>
  <c r="G333" i="37"/>
  <c r="Q333" i="37"/>
  <c r="H49" i="52"/>
  <c r="H48" i="52"/>
  <c r="K300" i="37"/>
  <c r="L49" i="52"/>
  <c r="L48" i="52"/>
  <c r="K302" i="37"/>
  <c r="F49" i="52"/>
  <c r="F48" i="52"/>
  <c r="K299" i="37"/>
  <c r="J49" i="52"/>
  <c r="J48" i="52"/>
  <c r="K301" i="37"/>
  <c r="N322" i="51"/>
  <c r="T322" i="51"/>
  <c r="T361" i="51"/>
  <c r="L361" i="51"/>
  <c r="T257" i="51"/>
  <c r="N257" i="51"/>
  <c r="L296" i="51"/>
  <c r="R59" i="30"/>
  <c r="I265" i="51"/>
  <c r="I303" i="51"/>
  <c r="L123" i="51"/>
  <c r="T80" i="51"/>
  <c r="T123" i="51"/>
  <c r="N80" i="51"/>
  <c r="T355" i="51"/>
  <c r="J34" i="37"/>
  <c r="J90" i="37"/>
  <c r="J262" i="37"/>
  <c r="J315" i="37"/>
  <c r="J148" i="37"/>
  <c r="J347" i="45"/>
  <c r="J199" i="45"/>
  <c r="J221" i="45"/>
  <c r="J121" i="46"/>
  <c r="J143" i="46"/>
  <c r="J45" i="46"/>
  <c r="J199" i="46"/>
  <c r="J221" i="46"/>
  <c r="J347" i="46"/>
  <c r="J121" i="45"/>
  <c r="J143" i="45"/>
  <c r="J45" i="45"/>
  <c r="K110" i="32"/>
  <c r="P292" i="46"/>
  <c r="P218" i="46"/>
  <c r="P217" i="45"/>
  <c r="P359" i="45"/>
  <c r="G292" i="46"/>
  <c r="H184" i="30"/>
  <c r="H185" i="30"/>
  <c r="H186" i="30"/>
  <c r="P58" i="45"/>
  <c r="G10" i="45"/>
  <c r="G244" i="45"/>
  <c r="P296" i="45"/>
  <c r="K49" i="37"/>
  <c r="N122" i="51"/>
  <c r="G213" i="46"/>
  <c r="I236" i="37"/>
  <c r="I308" i="45"/>
  <c r="I308" i="46"/>
  <c r="P216" i="45"/>
  <c r="Q291" i="46"/>
  <c r="Q289" i="46"/>
  <c r="Q293" i="46"/>
  <c r="Q359" i="46"/>
  <c r="Q358" i="46"/>
  <c r="Q40" i="46"/>
  <c r="R161" i="37"/>
  <c r="Q136" i="45"/>
  <c r="Q133" i="45"/>
  <c r="R327" i="37"/>
  <c r="R275" i="37"/>
  <c r="R272" i="37"/>
  <c r="R202" i="37"/>
  <c r="R227" i="37"/>
  <c r="T258" i="51"/>
  <c r="N258" i="51"/>
  <c r="L297" i="51"/>
  <c r="T327" i="51"/>
  <c r="N327" i="51"/>
  <c r="S327" i="51"/>
  <c r="P61" i="46"/>
  <c r="N239" i="51"/>
  <c r="N241" i="51"/>
  <c r="S230" i="51"/>
  <c r="R273" i="37"/>
  <c r="I190" i="32"/>
  <c r="G196" i="32"/>
  <c r="N219" i="51"/>
  <c r="S219" i="51"/>
  <c r="T219" i="51"/>
  <c r="M25" i="32"/>
  <c r="G32" i="32"/>
  <c r="I25" i="32"/>
  <c r="Q25" i="32"/>
  <c r="K25" i="32"/>
  <c r="O25" i="32"/>
  <c r="R326" i="37"/>
  <c r="S136" i="51"/>
  <c r="T140" i="51"/>
  <c r="T183" i="51"/>
  <c r="L183" i="51"/>
  <c r="N140" i="51"/>
  <c r="Q131" i="45"/>
  <c r="N90" i="31"/>
  <c r="N91" i="31"/>
  <c r="N92" i="31"/>
  <c r="T240" i="51"/>
  <c r="Q131" i="46"/>
  <c r="I188" i="32"/>
  <c r="G194" i="32"/>
  <c r="Q75" i="37"/>
  <c r="G75" i="37"/>
  <c r="P75" i="37"/>
  <c r="R75" i="37"/>
  <c r="L37" i="31"/>
  <c r="L38" i="31"/>
  <c r="L39" i="31"/>
  <c r="F37" i="31"/>
  <c r="F38" i="31"/>
  <c r="F39" i="31"/>
  <c r="Q14" i="37"/>
  <c r="P14" i="37"/>
  <c r="R14" i="37"/>
  <c r="Q76" i="37"/>
  <c r="G76" i="37"/>
  <c r="P76" i="37"/>
  <c r="R76" i="37"/>
  <c r="P17" i="46"/>
  <c r="G17" i="46"/>
  <c r="O17" i="46"/>
  <c r="Q17" i="46"/>
  <c r="P160" i="45"/>
  <c r="Q160" i="45"/>
  <c r="Q218" i="45"/>
  <c r="O160" i="45"/>
  <c r="O218" i="45"/>
  <c r="R218" i="45"/>
  <c r="Q292" i="37"/>
  <c r="P292" i="37"/>
  <c r="R292" i="37"/>
  <c r="R328" i="37"/>
  <c r="Q61" i="37"/>
  <c r="P61" i="37"/>
  <c r="R61" i="37"/>
  <c r="R101" i="37"/>
  <c r="Q9" i="37"/>
  <c r="P9" i="37"/>
  <c r="R9" i="37"/>
  <c r="R44" i="37"/>
  <c r="L69" i="31"/>
  <c r="L70" i="31"/>
  <c r="L71" i="31"/>
  <c r="H91" i="31"/>
  <c r="H92" i="31"/>
  <c r="H90" i="31"/>
  <c r="R108" i="30"/>
  <c r="R109" i="30"/>
  <c r="R110" i="30"/>
  <c r="H207" i="30"/>
  <c r="H208" i="30"/>
  <c r="H209" i="30"/>
  <c r="L18" i="30"/>
  <c r="P270" i="45"/>
  <c r="G270" i="45"/>
  <c r="R297" i="45"/>
  <c r="P246" i="45"/>
  <c r="G246" i="45"/>
  <c r="O246" i="45"/>
  <c r="Q246" i="45"/>
  <c r="Q190" i="37"/>
  <c r="G190" i="37"/>
  <c r="R190" i="37"/>
  <c r="P190" i="37"/>
  <c r="R363" i="45"/>
  <c r="P314" i="45"/>
  <c r="Q314" i="45"/>
  <c r="Q363" i="45"/>
  <c r="O314" i="45"/>
  <c r="Q181" i="37"/>
  <c r="P181" i="37"/>
  <c r="R181" i="37"/>
  <c r="R221" i="37"/>
  <c r="R133" i="46"/>
  <c r="O74" i="46"/>
  <c r="Q74" i="46"/>
  <c r="Q133" i="46"/>
  <c r="P74" i="46"/>
  <c r="G243" i="37"/>
  <c r="G279" i="37"/>
  <c r="Q279" i="37"/>
  <c r="S105" i="51"/>
  <c r="S115" i="51"/>
  <c r="N115" i="51"/>
  <c r="G123" i="45"/>
  <c r="P133" i="45"/>
  <c r="P131" i="45"/>
  <c r="P136" i="45"/>
  <c r="P135" i="45"/>
  <c r="P134" i="45"/>
  <c r="G264" i="37"/>
  <c r="Q272" i="37"/>
  <c r="Q327" i="37"/>
  <c r="Q275" i="37"/>
  <c r="Q326" i="37"/>
  <c r="Q274" i="37"/>
  <c r="Q273" i="37"/>
  <c r="G200" i="37"/>
  <c r="G225" i="37"/>
  <c r="Q225" i="37"/>
  <c r="Q141" i="37"/>
  <c r="G141" i="37"/>
  <c r="J59" i="30"/>
  <c r="I260" i="51"/>
  <c r="I298" i="51"/>
  <c r="L185" i="51"/>
  <c r="T142" i="51"/>
  <c r="N142" i="51"/>
  <c r="N355" i="51"/>
  <c r="S316" i="51"/>
  <c r="J85" i="37"/>
  <c r="J115" i="46"/>
  <c r="J115" i="45"/>
  <c r="N290" i="51"/>
  <c r="S290" i="51"/>
  <c r="T290" i="51"/>
  <c r="L354" i="51"/>
  <c r="S74" i="51"/>
  <c r="S117" i="51"/>
  <c r="N117" i="51"/>
  <c r="Q209" i="45"/>
  <c r="Q213" i="45"/>
  <c r="Q221" i="46"/>
  <c r="Q270" i="45"/>
  <c r="Q297" i="45"/>
  <c r="Q141" i="45"/>
  <c r="Q63" i="46"/>
  <c r="T73" i="51"/>
  <c r="T116" i="51"/>
  <c r="N73" i="51"/>
  <c r="L116" i="51"/>
  <c r="T262" i="51"/>
  <c r="T301" i="51"/>
  <c r="N262" i="51"/>
  <c r="L301" i="51"/>
  <c r="R219" i="37"/>
  <c r="F130" i="37"/>
  <c r="F164" i="37"/>
  <c r="F165" i="46"/>
  <c r="F216" i="46"/>
  <c r="Q125" i="37"/>
  <c r="P125" i="37"/>
  <c r="R125" i="37"/>
  <c r="Q8" i="37"/>
  <c r="P8" i="37"/>
  <c r="R8" i="37"/>
  <c r="R43" i="37"/>
  <c r="Q124" i="37"/>
  <c r="R124" i="37"/>
  <c r="R164" i="37"/>
  <c r="P124" i="37"/>
  <c r="Q63" i="37"/>
  <c r="P63" i="37"/>
  <c r="P103" i="37"/>
  <c r="R63" i="37"/>
  <c r="R103" i="37"/>
  <c r="O19" i="45"/>
  <c r="P19" i="45"/>
  <c r="R62" i="45"/>
  <c r="Q19" i="45"/>
  <c r="Q62" i="45"/>
  <c r="O313" i="45"/>
  <c r="P313" i="45"/>
  <c r="R362" i="45"/>
  <c r="Q313" i="45"/>
  <c r="Q362" i="45"/>
  <c r="H13" i="31"/>
  <c r="H107" i="30"/>
  <c r="N68" i="31"/>
  <c r="H68" i="31"/>
  <c r="P18" i="30"/>
  <c r="Q134" i="37"/>
  <c r="G134" i="37"/>
  <c r="P134" i="37"/>
  <c r="R134" i="37"/>
  <c r="Q74" i="37"/>
  <c r="G74" i="37"/>
  <c r="P74" i="37"/>
  <c r="R74" i="37"/>
  <c r="R219" i="46"/>
  <c r="O161" i="46"/>
  <c r="Q161" i="46"/>
  <c r="Q219" i="46"/>
  <c r="P161" i="46"/>
  <c r="Q66" i="37"/>
  <c r="P66" i="37"/>
  <c r="R66" i="37"/>
  <c r="P152" i="45"/>
  <c r="O152" i="45"/>
  <c r="Q152" i="45"/>
  <c r="Q210" i="45"/>
  <c r="R210" i="45"/>
  <c r="R295" i="46"/>
  <c r="I150" i="37"/>
  <c r="I152" i="37"/>
  <c r="I154" i="37"/>
  <c r="I201" i="45"/>
  <c r="I205" i="46"/>
  <c r="I203" i="46"/>
  <c r="I203" i="45"/>
  <c r="I201" i="46"/>
  <c r="I205" i="45"/>
  <c r="G20" i="32"/>
  <c r="I13" i="32"/>
  <c r="I9" i="32"/>
  <c r="O13" i="32"/>
  <c r="O9" i="32"/>
  <c r="M13" i="32"/>
  <c r="K13" i="32"/>
  <c r="K9" i="32"/>
  <c r="G297" i="46"/>
  <c r="P293" i="45"/>
  <c r="P291" i="45"/>
  <c r="G280" i="45"/>
  <c r="P290" i="45"/>
  <c r="P209" i="45"/>
  <c r="P214" i="45"/>
  <c r="P212" i="45"/>
  <c r="G201" i="45"/>
  <c r="G211" i="45"/>
  <c r="P143" i="45"/>
  <c r="G101" i="45"/>
  <c r="G209" i="37"/>
  <c r="Q220" i="37"/>
  <c r="Q219" i="37"/>
  <c r="Q96" i="37"/>
  <c r="G96" i="37"/>
  <c r="T220" i="51"/>
  <c r="N220" i="51"/>
  <c r="S220" i="51"/>
  <c r="N148" i="51"/>
  <c r="S148" i="51"/>
  <c r="T148" i="51"/>
  <c r="L356" i="51"/>
  <c r="T239" i="51"/>
  <c r="P291" i="46"/>
  <c r="Q135" i="46"/>
  <c r="L303" i="51"/>
  <c r="T264" i="51"/>
  <c r="T303" i="51"/>
  <c r="N264" i="51"/>
  <c r="Q300" i="46"/>
  <c r="Q191" i="46"/>
  <c r="G41" i="35"/>
  <c r="K41" i="35"/>
  <c r="I41" i="35"/>
  <c r="M41" i="35"/>
  <c r="O41" i="35"/>
  <c r="Q41" i="35"/>
  <c r="F302" i="37"/>
  <c r="F333" i="37"/>
  <c r="F193" i="37"/>
  <c r="F227" i="37"/>
  <c r="F247" i="46"/>
  <c r="F299" i="46"/>
  <c r="Q73" i="37"/>
  <c r="G73" i="37"/>
  <c r="P73" i="37"/>
  <c r="R73" i="37"/>
  <c r="Q184" i="37"/>
  <c r="P184" i="37"/>
  <c r="P224" i="37"/>
  <c r="R184" i="37"/>
  <c r="Q68" i="37"/>
  <c r="P68" i="37"/>
  <c r="R68" i="37"/>
  <c r="R108" i="37"/>
  <c r="H36" i="31"/>
  <c r="Q128" i="37"/>
  <c r="P128" i="37"/>
  <c r="R128" i="37"/>
  <c r="R168" i="37"/>
  <c r="Q67" i="37"/>
  <c r="P67" i="37"/>
  <c r="R67" i="37"/>
  <c r="Q11" i="37"/>
  <c r="P11" i="37"/>
  <c r="R11" i="37"/>
  <c r="R46" i="37"/>
  <c r="Q131" i="37"/>
  <c r="G131" i="37"/>
  <c r="R131" i="37"/>
  <c r="P131" i="37"/>
  <c r="Q294" i="37"/>
  <c r="R294" i="37"/>
  <c r="R330" i="37"/>
  <c r="P294" i="37"/>
  <c r="P330" i="37"/>
  <c r="P73" i="45"/>
  <c r="Q73" i="45"/>
  <c r="Q132" i="45"/>
  <c r="R132" i="45"/>
  <c r="O73" i="45"/>
  <c r="O132" i="45"/>
  <c r="P8" i="45"/>
  <c r="R56" i="45"/>
  <c r="O8" i="45"/>
  <c r="Q8" i="45"/>
  <c r="Q56" i="45"/>
  <c r="J13" i="31"/>
  <c r="P89" i="31"/>
  <c r="N206" i="30"/>
  <c r="N151" i="30"/>
  <c r="L107" i="30"/>
  <c r="P110" i="31"/>
  <c r="P111" i="31"/>
  <c r="P112" i="31"/>
  <c r="R153" i="30"/>
  <c r="R154" i="30"/>
  <c r="R152" i="30"/>
  <c r="J68" i="31"/>
  <c r="H18" i="30"/>
  <c r="J184" i="30"/>
  <c r="J185" i="30"/>
  <c r="J186" i="30"/>
  <c r="P340" i="45"/>
  <c r="G340" i="45"/>
  <c r="Q340" i="45"/>
  <c r="R220" i="46"/>
  <c r="P169" i="46"/>
  <c r="O169" i="46"/>
  <c r="O220" i="46"/>
  <c r="Q169" i="46"/>
  <c r="Q220" i="46"/>
  <c r="Q192" i="37"/>
  <c r="G192" i="37"/>
  <c r="P192" i="37"/>
  <c r="R192" i="37"/>
  <c r="R296" i="46"/>
  <c r="O244" i="46"/>
  <c r="P244" i="46"/>
  <c r="Q244" i="46"/>
  <c r="Q296" i="46"/>
  <c r="Q72" i="37"/>
  <c r="G72" i="37"/>
  <c r="P72" i="37"/>
  <c r="R72" i="37"/>
  <c r="R363" i="46"/>
  <c r="O314" i="46"/>
  <c r="P314" i="46"/>
  <c r="Q314" i="46"/>
  <c r="Q363" i="46"/>
  <c r="Q186" i="37"/>
  <c r="P186" i="37"/>
  <c r="R186" i="37"/>
  <c r="Q127" i="37"/>
  <c r="P127" i="37"/>
  <c r="P167" i="37"/>
  <c r="R127" i="37"/>
  <c r="R167" i="37"/>
  <c r="Q70" i="37"/>
  <c r="P70" i="37"/>
  <c r="R70" i="37"/>
  <c r="R110" i="37"/>
  <c r="R138" i="45"/>
  <c r="O79" i="45"/>
  <c r="Q79" i="45"/>
  <c r="Q138" i="45"/>
  <c r="P79" i="45"/>
  <c r="Q13" i="37"/>
  <c r="P13" i="37"/>
  <c r="R13" i="37"/>
  <c r="R48" i="37"/>
  <c r="R292" i="45"/>
  <c r="P233" i="45"/>
  <c r="O233" i="45"/>
  <c r="Q233" i="45"/>
  <c r="Q292" i="45"/>
  <c r="Q177" i="37"/>
  <c r="P177" i="37"/>
  <c r="R177" i="37"/>
  <c r="R217" i="37"/>
  <c r="R57" i="46"/>
  <c r="P9" i="46"/>
  <c r="O9" i="46"/>
  <c r="Q9" i="46"/>
  <c r="Q57" i="46"/>
  <c r="P279" i="37"/>
  <c r="R140" i="45"/>
  <c r="N147" i="51"/>
  <c r="S147" i="51"/>
  <c r="T147" i="51"/>
  <c r="T82" i="51"/>
  <c r="T119" i="51"/>
  <c r="N82" i="51"/>
  <c r="S82" i="51"/>
  <c r="P131" i="46"/>
  <c r="G72" i="46"/>
  <c r="G131" i="46"/>
  <c r="G98" i="46"/>
  <c r="G140" i="46"/>
  <c r="P140" i="46"/>
  <c r="G125" i="46"/>
  <c r="G135" i="46"/>
  <c r="P134" i="46"/>
  <c r="G328" i="45"/>
  <c r="G364" i="45"/>
  <c r="P364" i="45"/>
  <c r="P299" i="45"/>
  <c r="G265" i="45"/>
  <c r="G108" i="45"/>
  <c r="G141" i="45"/>
  <c r="P141" i="45"/>
  <c r="P55" i="46"/>
  <c r="G47" i="46"/>
  <c r="G55" i="46"/>
  <c r="G175" i="46"/>
  <c r="G216" i="46"/>
  <c r="P216" i="46"/>
  <c r="G257" i="46"/>
  <c r="G299" i="46"/>
  <c r="P299" i="46"/>
  <c r="P40" i="45"/>
  <c r="G150" i="37"/>
  <c r="G161" i="37"/>
  <c r="Q161" i="37"/>
  <c r="Q81" i="37"/>
  <c r="G81" i="37"/>
  <c r="K131" i="32"/>
  <c r="G137" i="32"/>
  <c r="M131" i="32"/>
  <c r="I131" i="32"/>
  <c r="O131" i="32"/>
  <c r="Q131" i="32"/>
  <c r="N208" i="51"/>
  <c r="S208" i="51"/>
  <c r="T208" i="51"/>
  <c r="S143" i="51"/>
  <c r="L248" i="51"/>
  <c r="P210" i="46"/>
  <c r="N59" i="30"/>
  <c r="G229" i="46"/>
  <c r="G288" i="46"/>
  <c r="P288" i="46"/>
  <c r="T168" i="51"/>
  <c r="T180" i="51"/>
  <c r="N168" i="51"/>
  <c r="N94" i="51"/>
  <c r="S94" i="51"/>
  <c r="T94" i="51"/>
  <c r="T122" i="51"/>
  <c r="N133" i="51"/>
  <c r="T133" i="51"/>
  <c r="L176" i="51"/>
  <c r="L259" i="51"/>
  <c r="L355" i="51"/>
  <c r="T141" i="51"/>
  <c r="T184" i="51"/>
  <c r="N141" i="51"/>
  <c r="L184" i="51"/>
  <c r="J28" i="37"/>
  <c r="J39" i="45"/>
  <c r="J39" i="46"/>
  <c r="P289" i="46"/>
  <c r="G218" i="46"/>
  <c r="P300" i="45"/>
  <c r="M124" i="32"/>
  <c r="M122" i="32"/>
  <c r="K124" i="32"/>
  <c r="K122" i="32"/>
  <c r="G130" i="32"/>
  <c r="I124" i="32"/>
  <c r="I122" i="32"/>
  <c r="Q124" i="32"/>
  <c r="Q122" i="32"/>
  <c r="O124" i="32"/>
  <c r="O122" i="32"/>
  <c r="G291" i="46"/>
  <c r="R218" i="46"/>
  <c r="S197" i="51"/>
  <c r="S240" i="51"/>
  <c r="N240" i="51"/>
  <c r="N114" i="51"/>
  <c r="L245" i="51"/>
  <c r="N202" i="51"/>
  <c r="T202" i="51"/>
  <c r="T245" i="51"/>
  <c r="T117" i="51"/>
  <c r="S122" i="51"/>
  <c r="P365" i="46"/>
  <c r="P213" i="46"/>
  <c r="Q143" i="45"/>
  <c r="G293" i="46"/>
  <c r="P135" i="46"/>
  <c r="Q211" i="45"/>
  <c r="I207" i="37"/>
  <c r="I278" i="45"/>
  <c r="I278" i="46"/>
  <c r="Q298" i="46"/>
  <c r="Q143" i="46"/>
  <c r="Q209" i="46"/>
  <c r="Q210" i="46"/>
  <c r="Q213" i="46"/>
  <c r="Q214" i="46"/>
  <c r="Q362" i="46"/>
  <c r="Q359" i="45"/>
  <c r="Q358" i="45"/>
  <c r="T84" i="51"/>
  <c r="T121" i="51"/>
  <c r="N84" i="51"/>
  <c r="T70" i="51"/>
  <c r="T113" i="51"/>
  <c r="L113" i="51"/>
  <c r="N70" i="51"/>
  <c r="T225" i="51"/>
  <c r="T244" i="51"/>
  <c r="N225" i="51"/>
  <c r="P298" i="46"/>
  <c r="P211" i="45"/>
  <c r="N149" i="51"/>
  <c r="S149" i="51"/>
  <c r="T149" i="51"/>
  <c r="T186" i="51"/>
  <c r="Q211" i="46"/>
  <c r="K82" i="32"/>
  <c r="G89" i="32"/>
  <c r="I82" i="32"/>
  <c r="M82" i="32"/>
  <c r="Q82" i="32"/>
  <c r="Q80" i="32"/>
  <c r="O82" i="32"/>
  <c r="G289" i="45"/>
  <c r="K97" i="32"/>
  <c r="O97" i="32"/>
  <c r="M97" i="32"/>
  <c r="I97" i="32"/>
  <c r="T359" i="51"/>
  <c r="N357" i="51"/>
  <c r="S318" i="51"/>
  <c r="S357" i="51"/>
  <c r="Q214" i="45"/>
  <c r="I246" i="51"/>
  <c r="L203" i="51"/>
  <c r="I204" i="51"/>
  <c r="Q292" i="46"/>
  <c r="F69" i="31"/>
  <c r="F70" i="31"/>
  <c r="F71" i="31"/>
  <c r="Q212" i="46"/>
  <c r="I29" i="37"/>
  <c r="I28" i="37"/>
  <c r="I27" i="37"/>
  <c r="I26" i="37"/>
  <c r="I39" i="45"/>
  <c r="I39" i="46"/>
  <c r="I40" i="45"/>
  <c r="I40" i="46"/>
  <c r="I38" i="45"/>
  <c r="I38" i="46"/>
  <c r="I37" i="46"/>
  <c r="I37" i="45"/>
  <c r="I96" i="37"/>
  <c r="I92" i="37"/>
  <c r="I127" i="45"/>
  <c r="I125" i="45"/>
  <c r="I123" i="46"/>
  <c r="I94" i="37"/>
  <c r="I125" i="46"/>
  <c r="I127" i="46"/>
  <c r="I123" i="45"/>
  <c r="H148" i="37"/>
  <c r="H199" i="46"/>
  <c r="H221" i="46"/>
  <c r="H199" i="45"/>
  <c r="H221" i="45"/>
  <c r="J16" i="37"/>
  <c r="J51" i="37"/>
  <c r="J15" i="45"/>
  <c r="J15" i="46"/>
  <c r="I246" i="37"/>
  <c r="I247" i="37"/>
  <c r="I248" i="37"/>
  <c r="I249" i="37"/>
  <c r="I318" i="45"/>
  <c r="I319" i="45"/>
  <c r="I320" i="45"/>
  <c r="I321" i="45"/>
  <c r="I318" i="46"/>
  <c r="I319" i="46"/>
  <c r="I320" i="46"/>
  <c r="I321" i="46"/>
  <c r="N45" i="31"/>
  <c r="H90" i="37"/>
  <c r="H121" i="46"/>
  <c r="H143" i="46"/>
  <c r="H121" i="45"/>
  <c r="H143" i="45"/>
  <c r="H156" i="30"/>
  <c r="H157" i="30"/>
  <c r="H158" i="30"/>
  <c r="H159" i="30"/>
  <c r="J158" i="30"/>
  <c r="J156" i="30"/>
  <c r="J160" i="30"/>
  <c r="J157" i="30"/>
  <c r="J159" i="30"/>
  <c r="H36" i="37"/>
  <c r="H40" i="37"/>
  <c r="H38" i="37"/>
  <c r="H51" i="45"/>
  <c r="H51" i="46"/>
  <c r="H47" i="46"/>
  <c r="H49" i="45"/>
  <c r="H49" i="46"/>
  <c r="H47" i="45"/>
  <c r="I18" i="37"/>
  <c r="I19" i="37"/>
  <c r="I20" i="37"/>
  <c r="I21" i="37"/>
  <c r="I17" i="45"/>
  <c r="I19" i="45"/>
  <c r="I17" i="46"/>
  <c r="I19" i="46"/>
  <c r="I20" i="45"/>
  <c r="I20" i="46"/>
  <c r="I18" i="46"/>
  <c r="F45" i="31"/>
  <c r="I18" i="45"/>
  <c r="H34" i="37"/>
  <c r="H45" i="46"/>
  <c r="H45" i="45"/>
  <c r="I198" i="37"/>
  <c r="I199" i="37"/>
  <c r="I200" i="37"/>
  <c r="I201" i="37"/>
  <c r="I202" i="37"/>
  <c r="I268" i="45"/>
  <c r="I269" i="45"/>
  <c r="I270" i="45"/>
  <c r="I271" i="45"/>
  <c r="I272" i="45"/>
  <c r="I273" i="45"/>
  <c r="I275" i="45"/>
  <c r="I268" i="46"/>
  <c r="I269" i="46"/>
  <c r="I270" i="46"/>
  <c r="I271" i="46"/>
  <c r="I272" i="46"/>
  <c r="I273" i="46"/>
  <c r="I275" i="46"/>
  <c r="I189" i="37"/>
  <c r="I190" i="37"/>
  <c r="I191" i="37"/>
  <c r="I192" i="37"/>
  <c r="I193" i="37"/>
  <c r="I247" i="45"/>
  <c r="I248" i="45"/>
  <c r="I243" i="46"/>
  <c r="I244" i="46"/>
  <c r="I245" i="46"/>
  <c r="I246" i="46"/>
  <c r="I247" i="46"/>
  <c r="I248" i="46"/>
  <c r="I243" i="45"/>
  <c r="I244" i="45"/>
  <c r="I245" i="45"/>
  <c r="I246" i="45"/>
  <c r="L45" i="31"/>
  <c r="I262" i="37"/>
  <c r="I347" i="45"/>
  <c r="I347" i="46"/>
  <c r="J21" i="37"/>
  <c r="J20" i="46"/>
  <c r="J20" i="45"/>
  <c r="H268" i="37"/>
  <c r="H264" i="37"/>
  <c r="H266" i="37"/>
  <c r="H353" i="45"/>
  <c r="H349" i="46"/>
  <c r="H351" i="46"/>
  <c r="H351" i="45"/>
  <c r="H349" i="45"/>
  <c r="H353" i="46"/>
  <c r="L246" i="51"/>
  <c r="N203" i="51"/>
  <c r="T203" i="51"/>
  <c r="T246" i="51"/>
  <c r="S225" i="51"/>
  <c r="S244" i="51"/>
  <c r="N244" i="51"/>
  <c r="J140" i="37"/>
  <c r="J190" i="45"/>
  <c r="J190" i="46"/>
  <c r="N176" i="51"/>
  <c r="S133" i="51"/>
  <c r="G299" i="45"/>
  <c r="G297" i="45"/>
  <c r="G177" i="37"/>
  <c r="G217" i="37"/>
  <c r="Q217" i="37"/>
  <c r="P138" i="45"/>
  <c r="G79" i="45"/>
  <c r="G138" i="45"/>
  <c r="R159" i="30"/>
  <c r="H310" i="37"/>
  <c r="R158" i="30"/>
  <c r="H309" i="37"/>
  <c r="R156" i="30"/>
  <c r="H307" i="37"/>
  <c r="R157" i="30"/>
  <c r="H308" i="37"/>
  <c r="F249" i="37"/>
  <c r="F280" i="37"/>
  <c r="F321" i="46"/>
  <c r="F365" i="46"/>
  <c r="F21" i="37"/>
  <c r="F51" i="37"/>
  <c r="F20" i="46"/>
  <c r="F63" i="46"/>
  <c r="P219" i="46"/>
  <c r="G161" i="46"/>
  <c r="G219" i="46"/>
  <c r="N69" i="31"/>
  <c r="N70" i="31"/>
  <c r="N71" i="31"/>
  <c r="G124" i="37"/>
  <c r="G164" i="37"/>
  <c r="Q164" i="37"/>
  <c r="O300" i="46"/>
  <c r="O135" i="46"/>
  <c r="O136" i="46"/>
  <c r="O131" i="46"/>
  <c r="O134" i="46"/>
  <c r="O55" i="45"/>
  <c r="O58" i="45"/>
  <c r="P325" i="37"/>
  <c r="O219" i="45"/>
  <c r="I209" i="37"/>
  <c r="I211" i="37"/>
  <c r="I213" i="37"/>
  <c r="I217" i="37"/>
  <c r="I284" i="45"/>
  <c r="I288" i="45"/>
  <c r="I280" i="45"/>
  <c r="I282" i="45"/>
  <c r="I280" i="46"/>
  <c r="I282" i="46"/>
  <c r="I293" i="46"/>
  <c r="I284" i="46"/>
  <c r="J108" i="30"/>
  <c r="J109" i="30"/>
  <c r="J110" i="30"/>
  <c r="N16" i="52"/>
  <c r="N15" i="52"/>
  <c r="K128" i="37"/>
  <c r="K168" i="37"/>
  <c r="L16" i="52"/>
  <c r="L15" i="52"/>
  <c r="K127" i="37"/>
  <c r="K167" i="37"/>
  <c r="D19" i="52"/>
  <c r="H16" i="52"/>
  <c r="H15" i="52"/>
  <c r="K125" i="37"/>
  <c r="K165" i="37"/>
  <c r="F16" i="52"/>
  <c r="F15" i="52"/>
  <c r="K124" i="37"/>
  <c r="K164" i="37"/>
  <c r="J16" i="52"/>
  <c r="J15" i="52"/>
  <c r="K126" i="37"/>
  <c r="K166" i="37"/>
  <c r="G64" i="37"/>
  <c r="G104" i="37"/>
  <c r="Q104" i="37"/>
  <c r="K138" i="32"/>
  <c r="M138" i="32"/>
  <c r="I138" i="32"/>
  <c r="G144" i="32"/>
  <c r="O138" i="32"/>
  <c r="S211" i="51"/>
  <c r="N248" i="51"/>
  <c r="J82" i="37"/>
  <c r="J112" i="45"/>
  <c r="J112" i="46"/>
  <c r="O295" i="46"/>
  <c r="H207" i="37"/>
  <c r="H278" i="45"/>
  <c r="H278" i="46"/>
  <c r="P109" i="37"/>
  <c r="F191" i="37"/>
  <c r="F225" i="37"/>
  <c r="F245" i="46"/>
  <c r="F297" i="46"/>
  <c r="L157" i="30"/>
  <c r="L160" i="30"/>
  <c r="L159" i="30"/>
  <c r="L158" i="30"/>
  <c r="L156" i="30"/>
  <c r="I89" i="32"/>
  <c r="K89" i="32"/>
  <c r="G96" i="32"/>
  <c r="O89" i="32"/>
  <c r="M89" i="32"/>
  <c r="J141" i="37"/>
  <c r="J191" i="45"/>
  <c r="J191" i="46"/>
  <c r="G244" i="46"/>
  <c r="G296" i="46"/>
  <c r="P296" i="46"/>
  <c r="G169" i="46"/>
  <c r="G220" i="46"/>
  <c r="P220" i="46"/>
  <c r="N207" i="30"/>
  <c r="N208" i="30"/>
  <c r="N209" i="30"/>
  <c r="R107" i="37"/>
  <c r="P108" i="37"/>
  <c r="G184" i="37"/>
  <c r="G224" i="37"/>
  <c r="Q224" i="37"/>
  <c r="F192" i="37"/>
  <c r="F226" i="37"/>
  <c r="F246" i="46"/>
  <c r="F298" i="46"/>
  <c r="J13" i="37"/>
  <c r="J12" i="46"/>
  <c r="J12" i="45"/>
  <c r="R106" i="37"/>
  <c r="H108" i="30"/>
  <c r="H109" i="30"/>
  <c r="H110" i="30"/>
  <c r="G19" i="45"/>
  <c r="G62" i="45"/>
  <c r="P62" i="45"/>
  <c r="S142" i="51"/>
  <c r="S185" i="51"/>
  <c r="N185" i="51"/>
  <c r="I299" i="51"/>
  <c r="L260" i="51"/>
  <c r="P221" i="37"/>
  <c r="P328" i="37"/>
  <c r="T177" i="51"/>
  <c r="O32" i="32"/>
  <c r="K32" i="32"/>
  <c r="I32" i="32"/>
  <c r="Q32" i="32"/>
  <c r="M32" i="32"/>
  <c r="G39" i="32"/>
  <c r="S258" i="51"/>
  <c r="S297" i="51"/>
  <c r="N297" i="51"/>
  <c r="I309" i="46"/>
  <c r="I357" i="46"/>
  <c r="G296" i="45"/>
  <c r="S322" i="51"/>
  <c r="S361" i="51"/>
  <c r="N361" i="51"/>
  <c r="P333" i="37"/>
  <c r="O143" i="46"/>
  <c r="O210" i="46"/>
  <c r="O212" i="46"/>
  <c r="O214" i="46"/>
  <c r="O213" i="46"/>
  <c r="O211" i="46"/>
  <c r="O139" i="45"/>
  <c r="O139" i="46"/>
  <c r="O300" i="45"/>
  <c r="G10" i="37"/>
  <c r="G45" i="37"/>
  <c r="Q45" i="37"/>
  <c r="Q60" i="45"/>
  <c r="O142" i="45"/>
  <c r="O295" i="45"/>
  <c r="J207" i="30"/>
  <c r="J208" i="30"/>
  <c r="J209" i="30"/>
  <c r="R277" i="37"/>
  <c r="G296" i="37"/>
  <c r="G332" i="37"/>
  <c r="Q332" i="37"/>
  <c r="P223" i="37"/>
  <c r="P60" i="30"/>
  <c r="P61" i="30"/>
  <c r="P62" i="30"/>
  <c r="T178" i="51"/>
  <c r="G64" i="35"/>
  <c r="E67" i="35"/>
  <c r="I64" i="35"/>
  <c r="K64" i="35"/>
  <c r="M64" i="35"/>
  <c r="O64" i="35"/>
  <c r="Q64" i="35"/>
  <c r="E312" i="37"/>
  <c r="L312" i="37"/>
  <c r="M312" i="37"/>
  <c r="N312" i="37"/>
  <c r="U312" i="37"/>
  <c r="G12" i="46"/>
  <c r="G60" i="46"/>
  <c r="P60" i="46"/>
  <c r="P142" i="46"/>
  <c r="G83" i="46"/>
  <c r="G142" i="46"/>
  <c r="G242" i="37"/>
  <c r="G278" i="37"/>
  <c r="Q278" i="37"/>
  <c r="N20" i="30"/>
  <c r="N21" i="30"/>
  <c r="N19" i="30"/>
  <c r="P50" i="37"/>
  <c r="F131" i="37"/>
  <c r="F165" i="37"/>
  <c r="F166" i="46"/>
  <c r="F217" i="46"/>
  <c r="S195" i="51"/>
  <c r="S238" i="51"/>
  <c r="N238" i="51"/>
  <c r="G213" i="45"/>
  <c r="J15" i="37"/>
  <c r="J50" i="37"/>
  <c r="J14" i="45"/>
  <c r="J14" i="46"/>
  <c r="L60" i="30"/>
  <c r="L61" i="30"/>
  <c r="L62" i="30"/>
  <c r="D111" i="52"/>
  <c r="F108" i="52"/>
  <c r="F107" i="52"/>
  <c r="K209" i="37"/>
  <c r="L108" i="52"/>
  <c r="L107" i="52"/>
  <c r="J108" i="52"/>
  <c r="J107" i="52"/>
  <c r="N108" i="52"/>
  <c r="N107" i="52"/>
  <c r="H108" i="52"/>
  <c r="H107" i="52"/>
  <c r="J18" i="37"/>
  <c r="J17" i="46"/>
  <c r="J17" i="45"/>
  <c r="N119" i="51"/>
  <c r="I292" i="46"/>
  <c r="G169" i="45"/>
  <c r="G220" i="45"/>
  <c r="P220" i="45"/>
  <c r="J26" i="30"/>
  <c r="J24" i="30"/>
  <c r="J23" i="30"/>
  <c r="J27" i="30"/>
  <c r="J25" i="30"/>
  <c r="N112" i="30"/>
  <c r="N116" i="30"/>
  <c r="N115" i="30"/>
  <c r="N113" i="30"/>
  <c r="N114" i="30"/>
  <c r="R109" i="37"/>
  <c r="G19" i="46"/>
  <c r="G62" i="46"/>
  <c r="P62" i="46"/>
  <c r="P100" i="37"/>
  <c r="F132" i="37"/>
  <c r="F166" i="37"/>
  <c r="F167" i="46"/>
  <c r="F218" i="46"/>
  <c r="E9" i="35"/>
  <c r="E7" i="35"/>
  <c r="E13" i="35"/>
  <c r="E11" i="35"/>
  <c r="O5" i="35"/>
  <c r="I5" i="35"/>
  <c r="Q5" i="35"/>
  <c r="E289" i="37"/>
  <c r="G5" i="35"/>
  <c r="K5" i="35"/>
  <c r="M5" i="35"/>
  <c r="T179" i="51"/>
  <c r="J193" i="37"/>
  <c r="J247" i="45"/>
  <c r="J247" i="46"/>
  <c r="S70" i="51"/>
  <c r="S113" i="51"/>
  <c r="N113" i="51"/>
  <c r="J139" i="37"/>
  <c r="J189" i="46"/>
  <c r="J189" i="45"/>
  <c r="N184" i="51"/>
  <c r="S141" i="51"/>
  <c r="S184" i="51"/>
  <c r="S186" i="51"/>
  <c r="I137" i="32"/>
  <c r="M137" i="32"/>
  <c r="G143" i="32"/>
  <c r="K137" i="32"/>
  <c r="O137" i="32"/>
  <c r="O292" i="45"/>
  <c r="P48" i="37"/>
  <c r="O138" i="45"/>
  <c r="G70" i="37"/>
  <c r="G110" i="37"/>
  <c r="Q110" i="37"/>
  <c r="R226" i="37"/>
  <c r="G314" i="46"/>
  <c r="G363" i="46"/>
  <c r="P363" i="46"/>
  <c r="O296" i="46"/>
  <c r="J69" i="31"/>
  <c r="J70" i="31"/>
  <c r="J71" i="31"/>
  <c r="P90" i="31"/>
  <c r="P91" i="31"/>
  <c r="P92" i="31"/>
  <c r="I315" i="37"/>
  <c r="G294" i="37"/>
  <c r="G330" i="37"/>
  <c r="Q330" i="37"/>
  <c r="P107" i="37"/>
  <c r="G128" i="37"/>
  <c r="G168" i="37"/>
  <c r="Q168" i="37"/>
  <c r="G68" i="37"/>
  <c r="G108" i="37"/>
  <c r="Q108" i="37"/>
  <c r="F75" i="37"/>
  <c r="F109" i="37"/>
  <c r="F89" i="46"/>
  <c r="F141" i="46"/>
  <c r="G220" i="37"/>
  <c r="G219" i="37"/>
  <c r="G293" i="45"/>
  <c r="G290" i="45"/>
  <c r="G291" i="45"/>
  <c r="J14" i="37"/>
  <c r="J13" i="46"/>
  <c r="J13" i="45"/>
  <c r="J61" i="45"/>
  <c r="G27" i="32"/>
  <c r="M20" i="32"/>
  <c r="M16" i="32"/>
  <c r="O20" i="32"/>
  <c r="O16" i="32"/>
  <c r="K20" i="32"/>
  <c r="K16" i="32"/>
  <c r="I20" i="32"/>
  <c r="I16" i="32"/>
  <c r="Q20" i="32"/>
  <c r="Q16" i="32"/>
  <c r="P106" i="37"/>
  <c r="O219" i="46"/>
  <c r="P19" i="30"/>
  <c r="P20" i="30"/>
  <c r="P21" i="30"/>
  <c r="H14" i="31"/>
  <c r="H15" i="31"/>
  <c r="H16" i="31"/>
  <c r="O362" i="45"/>
  <c r="O62" i="45"/>
  <c r="P164" i="37"/>
  <c r="P43" i="37"/>
  <c r="G125" i="37"/>
  <c r="G165" i="37"/>
  <c r="Q165" i="37"/>
  <c r="T356" i="51"/>
  <c r="T357" i="51"/>
  <c r="T185" i="51"/>
  <c r="J60" i="30"/>
  <c r="J61" i="30"/>
  <c r="J62" i="30"/>
  <c r="O133" i="46"/>
  <c r="G181" i="37"/>
  <c r="G221" i="37"/>
  <c r="Q221" i="37"/>
  <c r="P101" i="37"/>
  <c r="G292" i="37"/>
  <c r="G328" i="37"/>
  <c r="Q328" i="37"/>
  <c r="G160" i="45"/>
  <c r="G218" i="45"/>
  <c r="P218" i="45"/>
  <c r="P49" i="37"/>
  <c r="S140" i="51"/>
  <c r="S183" i="51"/>
  <c r="N183" i="51"/>
  <c r="S179" i="51"/>
  <c r="G202" i="32"/>
  <c r="I202" i="32"/>
  <c r="I196" i="32"/>
  <c r="S239" i="51"/>
  <c r="S241" i="51"/>
  <c r="T297" i="51"/>
  <c r="I357" i="45"/>
  <c r="I309" i="45"/>
  <c r="S114" i="51"/>
  <c r="G58" i="45"/>
  <c r="N123" i="51"/>
  <c r="S80" i="51"/>
  <c r="S123" i="51"/>
  <c r="I304" i="51"/>
  <c r="L265" i="51"/>
  <c r="T296" i="51"/>
  <c r="G210" i="46"/>
  <c r="G211" i="46"/>
  <c r="G212" i="46"/>
  <c r="G214" i="46"/>
  <c r="O221" i="46"/>
  <c r="O297" i="45"/>
  <c r="O216" i="46"/>
  <c r="O212" i="45"/>
  <c r="O209" i="45"/>
  <c r="O214" i="45"/>
  <c r="O213" i="45"/>
  <c r="O211" i="45"/>
  <c r="O143" i="45"/>
  <c r="P280" i="37"/>
  <c r="G189" i="32"/>
  <c r="I183" i="32"/>
  <c r="I180" i="32"/>
  <c r="G140" i="45"/>
  <c r="N302" i="51"/>
  <c r="S263" i="51"/>
  <c r="S302" i="51"/>
  <c r="P102" i="37"/>
  <c r="P159" i="37"/>
  <c r="G229" i="45"/>
  <c r="G288" i="45"/>
  <c r="P288" i="45"/>
  <c r="G289" i="37"/>
  <c r="G325" i="37"/>
  <c r="Q325" i="37"/>
  <c r="G79" i="46"/>
  <c r="G138" i="46"/>
  <c r="P138" i="46"/>
  <c r="P142" i="45"/>
  <c r="G83" i="45"/>
  <c r="G142" i="45"/>
  <c r="G161" i="45"/>
  <c r="G219" i="45"/>
  <c r="P219" i="45"/>
  <c r="G243" i="45"/>
  <c r="G295" i="45"/>
  <c r="P295" i="45"/>
  <c r="P152" i="30"/>
  <c r="P153" i="30"/>
  <c r="P154" i="30"/>
  <c r="G73" i="46"/>
  <c r="G132" i="46"/>
  <c r="P132" i="46"/>
  <c r="P162" i="37"/>
  <c r="P166" i="37"/>
  <c r="G241" i="37"/>
  <c r="G277" i="37"/>
  <c r="Q277" i="37"/>
  <c r="P218" i="37"/>
  <c r="G120" i="37"/>
  <c r="G160" i="37"/>
  <c r="Q160" i="37"/>
  <c r="S199" i="51"/>
  <c r="S242" i="51"/>
  <c r="N242" i="51"/>
  <c r="M47" i="32"/>
  <c r="K47" i="32"/>
  <c r="O47" i="32"/>
  <c r="I47" i="32"/>
  <c r="G136" i="46"/>
  <c r="J26" i="37"/>
  <c r="J37" i="45"/>
  <c r="J37" i="46"/>
  <c r="E56" i="35"/>
  <c r="Q54" i="35"/>
  <c r="E307" i="37"/>
  <c r="L307" i="37"/>
  <c r="M307" i="37"/>
  <c r="N307" i="37"/>
  <c r="U307" i="37"/>
  <c r="K54" i="35"/>
  <c r="M54" i="35"/>
  <c r="I54" i="35"/>
  <c r="O54" i="35"/>
  <c r="G54" i="35"/>
  <c r="G243" i="46"/>
  <c r="G295" i="46"/>
  <c r="P295" i="46"/>
  <c r="P51" i="37"/>
  <c r="F73" i="37"/>
  <c r="F107" i="37"/>
  <c r="F87" i="46"/>
  <c r="F139" i="46"/>
  <c r="N354" i="51"/>
  <c r="J20" i="37"/>
  <c r="J19" i="45"/>
  <c r="J19" i="46"/>
  <c r="J19" i="37"/>
  <c r="J18" i="45"/>
  <c r="J18" i="46"/>
  <c r="S119" i="51"/>
  <c r="I230" i="45"/>
  <c r="I232" i="45"/>
  <c r="I231" i="45"/>
  <c r="I290" i="45"/>
  <c r="I231" i="46"/>
  <c r="I230" i="46"/>
  <c r="I288" i="46"/>
  <c r="I232" i="46"/>
  <c r="O57" i="45"/>
  <c r="O140" i="45"/>
  <c r="P158" i="37"/>
  <c r="G69" i="37"/>
  <c r="G109" i="37"/>
  <c r="Q109" i="37"/>
  <c r="F74" i="37"/>
  <c r="F108" i="37"/>
  <c r="F88" i="46"/>
  <c r="F140" i="46"/>
  <c r="J55" i="46"/>
  <c r="J57" i="46"/>
  <c r="J58" i="46"/>
  <c r="J56" i="46"/>
  <c r="G300" i="45"/>
  <c r="J142" i="37"/>
  <c r="J192" i="45"/>
  <c r="J192" i="46"/>
  <c r="G9" i="46"/>
  <c r="G57" i="46"/>
  <c r="P57" i="46"/>
  <c r="G186" i="37"/>
  <c r="G226" i="37"/>
  <c r="Q226" i="37"/>
  <c r="N152" i="30"/>
  <c r="N153" i="30"/>
  <c r="N154" i="30"/>
  <c r="G11" i="37"/>
  <c r="G46" i="37"/>
  <c r="Q46" i="37"/>
  <c r="P210" i="45"/>
  <c r="G152" i="45"/>
  <c r="G210" i="45"/>
  <c r="R165" i="37"/>
  <c r="S262" i="51"/>
  <c r="S301" i="51"/>
  <c r="N301" i="51"/>
  <c r="G74" i="46"/>
  <c r="G133" i="46"/>
  <c r="P133" i="46"/>
  <c r="R114" i="30"/>
  <c r="H301" i="37"/>
  <c r="R112" i="30"/>
  <c r="H299" i="37"/>
  <c r="R113" i="30"/>
  <c r="H300" i="37"/>
  <c r="R115" i="30"/>
  <c r="H302" i="37"/>
  <c r="G9" i="37"/>
  <c r="G44" i="37"/>
  <c r="Q44" i="37"/>
  <c r="P326" i="37"/>
  <c r="P327" i="37"/>
  <c r="P272" i="37"/>
  <c r="P275" i="37"/>
  <c r="P274" i="37"/>
  <c r="P273" i="37"/>
  <c r="O133" i="45"/>
  <c r="O134" i="45"/>
  <c r="O135" i="45"/>
  <c r="O136" i="45"/>
  <c r="O131" i="45"/>
  <c r="O55" i="46"/>
  <c r="O58" i="46"/>
  <c r="O141" i="46"/>
  <c r="O140" i="46"/>
  <c r="O360" i="46"/>
  <c r="O357" i="46"/>
  <c r="O358" i="46"/>
  <c r="O359" i="46"/>
  <c r="O290" i="45"/>
  <c r="O291" i="45"/>
  <c r="O293" i="45"/>
  <c r="P220" i="37"/>
  <c r="P219" i="37"/>
  <c r="G62" i="37"/>
  <c r="G102" i="37"/>
  <c r="Q102" i="37"/>
  <c r="O288" i="45"/>
  <c r="P60" i="45"/>
  <c r="G12" i="45"/>
  <c r="G60" i="45"/>
  <c r="O138" i="46"/>
  <c r="P184" i="30"/>
  <c r="P185" i="30"/>
  <c r="P186" i="30"/>
  <c r="O132" i="46"/>
  <c r="G122" i="37"/>
  <c r="G162" i="37"/>
  <c r="Q162" i="37"/>
  <c r="P332" i="37"/>
  <c r="S177" i="51"/>
  <c r="F72" i="52"/>
  <c r="F71" i="52"/>
  <c r="K254" i="37"/>
  <c r="L72" i="52"/>
  <c r="L71" i="52"/>
  <c r="K257" i="37"/>
  <c r="D75" i="52"/>
  <c r="H72" i="52"/>
  <c r="H71" i="52"/>
  <c r="K255" i="37"/>
  <c r="J72" i="52"/>
  <c r="J71" i="52"/>
  <c r="K256" i="37"/>
  <c r="H60" i="30"/>
  <c r="H61" i="30"/>
  <c r="H62" i="30"/>
  <c r="O60" i="46"/>
  <c r="P108" i="30"/>
  <c r="P109" i="30"/>
  <c r="P110" i="30"/>
  <c r="F190" i="37"/>
  <c r="F224" i="37"/>
  <c r="F244" i="46"/>
  <c r="F296" i="46"/>
  <c r="K160" i="37"/>
  <c r="K158" i="37"/>
  <c r="K161" i="37"/>
  <c r="K159" i="37"/>
  <c r="K162" i="37"/>
  <c r="I180" i="37"/>
  <c r="I179" i="37"/>
  <c r="I219" i="37"/>
  <c r="I178" i="37"/>
  <c r="I218" i="37"/>
  <c r="O220" i="45"/>
  <c r="I299" i="37"/>
  <c r="I300" i="37"/>
  <c r="I301" i="37"/>
  <c r="I302" i="37"/>
  <c r="P45" i="31"/>
  <c r="I294" i="37"/>
  <c r="I290" i="37"/>
  <c r="I325" i="37"/>
  <c r="O62" i="46"/>
  <c r="J44" i="37"/>
  <c r="J45" i="37"/>
  <c r="J46" i="37"/>
  <c r="J43" i="37"/>
  <c r="E32" i="35"/>
  <c r="O28" i="35"/>
  <c r="M28" i="35"/>
  <c r="G28" i="35"/>
  <c r="Q28" i="35"/>
  <c r="E299" i="37"/>
  <c r="L299" i="37"/>
  <c r="M299" i="37"/>
  <c r="N299" i="37"/>
  <c r="U299" i="37"/>
  <c r="K28" i="35"/>
  <c r="I28" i="35"/>
  <c r="S84" i="51"/>
  <c r="S121" i="51"/>
  <c r="N121" i="51"/>
  <c r="L234" i="46"/>
  <c r="S202" i="51"/>
  <c r="N245" i="51"/>
  <c r="J143" i="37"/>
  <c r="J193" i="46"/>
  <c r="J193" i="45"/>
  <c r="L298" i="51"/>
  <c r="N259" i="51"/>
  <c r="T259" i="51"/>
  <c r="T298" i="51"/>
  <c r="P110" i="37"/>
  <c r="G127" i="37"/>
  <c r="G167" i="37"/>
  <c r="Q167" i="37"/>
  <c r="I317" i="37"/>
  <c r="I319" i="37"/>
  <c r="I321" i="37"/>
  <c r="O56" i="45"/>
  <c r="P168" i="37"/>
  <c r="G214" i="45"/>
  <c r="G212" i="45"/>
  <c r="G209" i="45"/>
  <c r="P362" i="45"/>
  <c r="G313" i="45"/>
  <c r="G362" i="45"/>
  <c r="G63" i="37"/>
  <c r="G103" i="37"/>
  <c r="Q103" i="37"/>
  <c r="P165" i="37"/>
  <c r="G326" i="37"/>
  <c r="G274" i="37"/>
  <c r="G327" i="37"/>
  <c r="G272" i="37"/>
  <c r="G275" i="37"/>
  <c r="G273" i="37"/>
  <c r="G314" i="45"/>
  <c r="G363" i="45"/>
  <c r="P363" i="45"/>
  <c r="R49" i="37"/>
  <c r="S257" i="51"/>
  <c r="S296" i="51"/>
  <c r="N296" i="51"/>
  <c r="G360" i="46"/>
  <c r="G359" i="46"/>
  <c r="G357" i="46"/>
  <c r="G358" i="46"/>
  <c r="O299" i="45"/>
  <c r="P225" i="37"/>
  <c r="O63" i="45"/>
  <c r="O61" i="45"/>
  <c r="O216" i="45"/>
  <c r="G295" i="37"/>
  <c r="G331" i="37"/>
  <c r="Q331" i="37"/>
  <c r="R19" i="30"/>
  <c r="R20" i="30"/>
  <c r="R21" i="30"/>
  <c r="P56" i="46"/>
  <c r="G8" i="46"/>
  <c r="G56" i="46"/>
  <c r="T248" i="51"/>
  <c r="I247" i="51"/>
  <c r="L204" i="51"/>
  <c r="Q130" i="32"/>
  <c r="Q128" i="32"/>
  <c r="M130" i="32"/>
  <c r="M128" i="32"/>
  <c r="O130" i="32"/>
  <c r="O128" i="32"/>
  <c r="G136" i="32"/>
  <c r="I130" i="32"/>
  <c r="I128" i="32"/>
  <c r="K130" i="32"/>
  <c r="K128" i="32"/>
  <c r="T176" i="51"/>
  <c r="S168" i="51"/>
  <c r="S180" i="51"/>
  <c r="N180" i="51"/>
  <c r="N60" i="30"/>
  <c r="N61" i="30"/>
  <c r="N62" i="30"/>
  <c r="N186" i="51"/>
  <c r="G40" i="45"/>
  <c r="G63" i="45"/>
  <c r="P63" i="45"/>
  <c r="O57" i="46"/>
  <c r="P217" i="37"/>
  <c r="P292" i="45"/>
  <c r="G233" i="45"/>
  <c r="G292" i="45"/>
  <c r="G13" i="37"/>
  <c r="G48" i="37"/>
  <c r="Q48" i="37"/>
  <c r="P226" i="37"/>
  <c r="O363" i="46"/>
  <c r="H20" i="30"/>
  <c r="H21" i="30"/>
  <c r="H19" i="30"/>
  <c r="L108" i="30"/>
  <c r="L109" i="30"/>
  <c r="L110" i="30"/>
  <c r="J14" i="31"/>
  <c r="J15" i="31"/>
  <c r="J16" i="31"/>
  <c r="G8" i="45"/>
  <c r="G56" i="45"/>
  <c r="P56" i="45"/>
  <c r="P132" i="45"/>
  <c r="G73" i="45"/>
  <c r="G132" i="45"/>
  <c r="P46" i="37"/>
  <c r="G67" i="37"/>
  <c r="G107" i="37"/>
  <c r="Q107" i="37"/>
  <c r="H37" i="31"/>
  <c r="H38" i="31"/>
  <c r="H39" i="31"/>
  <c r="R224" i="37"/>
  <c r="F133" i="37"/>
  <c r="F167" i="37"/>
  <c r="F168" i="46"/>
  <c r="F219" i="46"/>
  <c r="N303" i="51"/>
  <c r="S264" i="51"/>
  <c r="S303" i="51"/>
  <c r="G143" i="45"/>
  <c r="O210" i="45"/>
  <c r="G66" i="37"/>
  <c r="G106" i="37"/>
  <c r="Q106" i="37"/>
  <c r="H70" i="31"/>
  <c r="H71" i="31"/>
  <c r="H69" i="31"/>
  <c r="G8" i="37"/>
  <c r="G43" i="37"/>
  <c r="Q43" i="37"/>
  <c r="N116" i="51"/>
  <c r="S73" i="51"/>
  <c r="S116" i="51"/>
  <c r="S355" i="51"/>
  <c r="G136" i="45"/>
  <c r="G133" i="45"/>
  <c r="G134" i="45"/>
  <c r="G135" i="45"/>
  <c r="G131" i="45"/>
  <c r="O363" i="45"/>
  <c r="L19" i="30"/>
  <c r="L20" i="30"/>
  <c r="L21" i="30"/>
  <c r="I90" i="37"/>
  <c r="I121" i="45"/>
  <c r="I121" i="46"/>
  <c r="P44" i="37"/>
  <c r="G61" i="37"/>
  <c r="G101" i="37"/>
  <c r="Q101" i="37"/>
  <c r="G14" i="37"/>
  <c r="G49" i="37"/>
  <c r="Q49" i="37"/>
  <c r="I194" i="32"/>
  <c r="G200" i="32"/>
  <c r="I200" i="32"/>
  <c r="N179" i="51"/>
  <c r="I237" i="37"/>
  <c r="I272" i="37"/>
  <c r="J27" i="37"/>
  <c r="J38" i="46"/>
  <c r="J38" i="45"/>
  <c r="R61" i="30"/>
  <c r="R62" i="30"/>
  <c r="R60" i="30"/>
  <c r="G139" i="45"/>
  <c r="G358" i="45"/>
  <c r="G360" i="45"/>
  <c r="G357" i="45"/>
  <c r="G359" i="45"/>
  <c r="O364" i="46"/>
  <c r="O61" i="46"/>
  <c r="O217" i="45"/>
  <c r="O365" i="46"/>
  <c r="O299" i="46"/>
  <c r="O362" i="46"/>
  <c r="O365" i="45"/>
  <c r="O357" i="45"/>
  <c r="O358" i="45"/>
  <c r="O360" i="45"/>
  <c r="O359" i="45"/>
  <c r="P227" i="37"/>
  <c r="O63" i="46"/>
  <c r="O293" i="46"/>
  <c r="O289" i="46"/>
  <c r="O291" i="46"/>
  <c r="O292" i="46"/>
  <c r="O290" i="46"/>
  <c r="O288" i="46"/>
  <c r="O364" i="45"/>
  <c r="J92" i="37"/>
  <c r="J123" i="46"/>
  <c r="J127" i="45"/>
  <c r="J123" i="45"/>
  <c r="J127" i="46"/>
  <c r="J125" i="46"/>
  <c r="J125" i="45"/>
  <c r="P45" i="37"/>
  <c r="G119" i="37"/>
  <c r="G159" i="37"/>
  <c r="Q159" i="37"/>
  <c r="O60" i="45"/>
  <c r="G239" i="45"/>
  <c r="G298" i="45"/>
  <c r="P298" i="45"/>
  <c r="P331" i="37"/>
  <c r="H321" i="37"/>
  <c r="H319" i="37"/>
  <c r="H317" i="37"/>
  <c r="J91" i="31"/>
  <c r="J92" i="31"/>
  <c r="J90" i="31"/>
  <c r="O56" i="46"/>
  <c r="G126" i="37"/>
  <c r="G166" i="37"/>
  <c r="Q166" i="37"/>
  <c r="G178" i="37"/>
  <c r="G218" i="37"/>
  <c r="Q218" i="37"/>
  <c r="R332" i="37"/>
  <c r="P104" i="37"/>
  <c r="G183" i="37"/>
  <c r="G223" i="37"/>
  <c r="Q223" i="37"/>
  <c r="N177" i="51"/>
  <c r="H150" i="37"/>
  <c r="H152" i="37"/>
  <c r="H154" i="37"/>
  <c r="H205" i="46"/>
  <c r="H201" i="45"/>
  <c r="H214" i="45"/>
  <c r="H201" i="46"/>
  <c r="H203" i="46"/>
  <c r="H203" i="45"/>
  <c r="H205" i="45"/>
  <c r="T354" i="51"/>
  <c r="T323" i="51"/>
  <c r="T362" i="51"/>
  <c r="N323" i="51"/>
  <c r="L362" i="51"/>
  <c r="N178" i="51"/>
  <c r="S135" i="51"/>
  <c r="S178" i="51"/>
  <c r="S321" i="51"/>
  <c r="S360" i="51"/>
  <c r="N360" i="51"/>
  <c r="Q60" i="46"/>
  <c r="O142" i="46"/>
  <c r="P278" i="37"/>
  <c r="G16" i="37"/>
  <c r="G51" i="37"/>
  <c r="Q51" i="37"/>
  <c r="G15" i="37"/>
  <c r="G50" i="37"/>
  <c r="Q50" i="37"/>
  <c r="F247" i="37"/>
  <c r="F278" i="37"/>
  <c r="F319" i="46"/>
  <c r="F363" i="46"/>
  <c r="F19" i="37"/>
  <c r="F49" i="37"/>
  <c r="F18" i="46"/>
  <c r="F61" i="46"/>
  <c r="N356" i="51"/>
  <c r="I70" i="32"/>
  <c r="I66" i="32"/>
  <c r="O70" i="32"/>
  <c r="O66" i="32"/>
  <c r="K70" i="32"/>
  <c r="K66" i="32"/>
  <c r="Q70" i="32"/>
  <c r="Q66" i="32"/>
  <c r="M70" i="32"/>
  <c r="M66" i="32"/>
  <c r="G77" i="32"/>
  <c r="G58" i="46"/>
  <c r="I293" i="45"/>
  <c r="L234" i="45"/>
  <c r="P57" i="45"/>
  <c r="G9" i="45"/>
  <c r="G57" i="45"/>
  <c r="G118" i="37"/>
  <c r="G158" i="37"/>
  <c r="Q158" i="37"/>
  <c r="G60" i="37"/>
  <c r="G100" i="37"/>
  <c r="Q100" i="37"/>
  <c r="F248" i="37"/>
  <c r="F279" i="37"/>
  <c r="F320" i="46"/>
  <c r="F364" i="46"/>
  <c r="F20" i="37"/>
  <c r="F50" i="37"/>
  <c r="F19" i="46"/>
  <c r="F62" i="46"/>
  <c r="J55" i="45"/>
  <c r="J58" i="45"/>
  <c r="J57" i="45"/>
  <c r="J56" i="45"/>
  <c r="E19" i="35"/>
  <c r="E21" i="35"/>
  <c r="E23" i="35"/>
  <c r="E25" i="35"/>
  <c r="O17" i="35"/>
  <c r="I17" i="35"/>
  <c r="M17" i="35"/>
  <c r="G17" i="35"/>
  <c r="Q17" i="35"/>
  <c r="E294" i="37"/>
  <c r="K17" i="35"/>
  <c r="I130" i="37"/>
  <c r="I165" i="45"/>
  <c r="I165" i="46"/>
  <c r="J45" i="31"/>
  <c r="P68" i="30"/>
  <c r="P70" i="30"/>
  <c r="P69" i="30"/>
  <c r="P67" i="30"/>
  <c r="J113" i="30"/>
  <c r="J112" i="30"/>
  <c r="J115" i="30"/>
  <c r="J114" i="30"/>
  <c r="J116" i="30"/>
  <c r="I254" i="37"/>
  <c r="I255" i="37"/>
  <c r="I256" i="37"/>
  <c r="I257" i="37"/>
  <c r="I339" i="45"/>
  <c r="I340" i="45"/>
  <c r="I341" i="45"/>
  <c r="I342" i="45"/>
  <c r="I339" i="46"/>
  <c r="I340" i="46"/>
  <c r="I341" i="46"/>
  <c r="I342" i="46"/>
  <c r="I118" i="37"/>
  <c r="I151" i="45"/>
  <c r="I151" i="46"/>
  <c r="N70" i="30"/>
  <c r="N69" i="30"/>
  <c r="N67" i="30"/>
  <c r="N68" i="30"/>
  <c r="N71" i="30"/>
  <c r="H262" i="37"/>
  <c r="H347" i="45"/>
  <c r="H347" i="46"/>
  <c r="I64" i="37"/>
  <c r="I104" i="37"/>
  <c r="I61" i="37"/>
  <c r="I101" i="37"/>
  <c r="I60" i="37"/>
  <c r="I100" i="37"/>
  <c r="I63" i="37"/>
  <c r="I103" i="37"/>
  <c r="I62" i="37"/>
  <c r="I102" i="37"/>
  <c r="I73" i="45"/>
  <c r="I132" i="45"/>
  <c r="I75" i="45"/>
  <c r="I134" i="45"/>
  <c r="I73" i="46"/>
  <c r="I132" i="46"/>
  <c r="I75" i="46"/>
  <c r="I134" i="46"/>
  <c r="I72" i="45"/>
  <c r="I131" i="45"/>
  <c r="I77" i="45"/>
  <c r="I74" i="46"/>
  <c r="I133" i="46"/>
  <c r="I76" i="45"/>
  <c r="I135" i="45"/>
  <c r="I76" i="46"/>
  <c r="I135" i="46"/>
  <c r="I72" i="46"/>
  <c r="I131" i="46"/>
  <c r="I74" i="45"/>
  <c r="I133" i="45"/>
  <c r="I77" i="46"/>
  <c r="P156" i="30"/>
  <c r="P158" i="30"/>
  <c r="P159" i="30"/>
  <c r="P157" i="30"/>
  <c r="I139" i="37"/>
  <c r="I189" i="46"/>
  <c r="I189" i="45"/>
  <c r="I166" i="45"/>
  <c r="I168" i="45"/>
  <c r="I167" i="45"/>
  <c r="I170" i="45"/>
  <c r="I169" i="45"/>
  <c r="M25" i="35"/>
  <c r="O25" i="35"/>
  <c r="Q25" i="35"/>
  <c r="G25" i="35"/>
  <c r="K25" i="35"/>
  <c r="I25" i="35"/>
  <c r="J76" i="37"/>
  <c r="J90" i="45"/>
  <c r="J90" i="46"/>
  <c r="I148" i="37"/>
  <c r="I199" i="46"/>
  <c r="I199" i="45"/>
  <c r="R69" i="30"/>
  <c r="H296" i="37"/>
  <c r="H332" i="37"/>
  <c r="R67" i="30"/>
  <c r="H294" i="37"/>
  <c r="R70" i="30"/>
  <c r="H297" i="37"/>
  <c r="R68" i="30"/>
  <c r="H295" i="37"/>
  <c r="I81" i="37"/>
  <c r="I111" i="46"/>
  <c r="I111" i="45"/>
  <c r="H25" i="30"/>
  <c r="H23" i="30"/>
  <c r="H24" i="30"/>
  <c r="H26" i="30"/>
  <c r="T204" i="51"/>
  <c r="T247" i="51"/>
  <c r="N204" i="51"/>
  <c r="L247" i="51"/>
  <c r="E36" i="35"/>
  <c r="E40" i="35"/>
  <c r="Q32" i="35"/>
  <c r="E300" i="37"/>
  <c r="L300" i="37"/>
  <c r="M300" i="37"/>
  <c r="N300" i="37"/>
  <c r="K32" i="35"/>
  <c r="G32" i="35"/>
  <c r="O32" i="35"/>
  <c r="M32" i="35"/>
  <c r="I32" i="35"/>
  <c r="I295" i="37"/>
  <c r="I330" i="37"/>
  <c r="E139" i="37"/>
  <c r="L139" i="37"/>
  <c r="M139" i="37"/>
  <c r="N139" i="37"/>
  <c r="U139" i="37"/>
  <c r="E189" i="46"/>
  <c r="L189" i="46"/>
  <c r="M189" i="46"/>
  <c r="N189" i="46"/>
  <c r="E189" i="45"/>
  <c r="L189" i="45"/>
  <c r="M189" i="45"/>
  <c r="N189" i="45"/>
  <c r="I310" i="45"/>
  <c r="I358" i="45"/>
  <c r="O143" i="32"/>
  <c r="M143" i="32"/>
  <c r="K143" i="32"/>
  <c r="I143" i="32"/>
  <c r="E60" i="37"/>
  <c r="E72" i="46"/>
  <c r="E72" i="45"/>
  <c r="H189" i="37"/>
  <c r="H243" i="46"/>
  <c r="H243" i="45"/>
  <c r="G67" i="35"/>
  <c r="E69" i="35"/>
  <c r="I67" i="35"/>
  <c r="Q67" i="35"/>
  <c r="E315" i="37"/>
  <c r="L315" i="37"/>
  <c r="M315" i="37"/>
  <c r="N315" i="37"/>
  <c r="U315" i="37"/>
  <c r="M67" i="35"/>
  <c r="O67" i="35"/>
  <c r="K67" i="35"/>
  <c r="H112" i="30"/>
  <c r="H114" i="30"/>
  <c r="H115" i="30"/>
  <c r="H113" i="30"/>
  <c r="H213" i="37"/>
  <c r="H211" i="37"/>
  <c r="H209" i="37"/>
  <c r="H280" i="46"/>
  <c r="H284" i="45"/>
  <c r="H282" i="45"/>
  <c r="H284" i="46"/>
  <c r="H280" i="45"/>
  <c r="H282" i="46"/>
  <c r="I131" i="37"/>
  <c r="I133" i="37"/>
  <c r="I134" i="37"/>
  <c r="I132" i="37"/>
  <c r="N362" i="51"/>
  <c r="S323" i="51"/>
  <c r="S362" i="51"/>
  <c r="I238" i="37"/>
  <c r="I273" i="37"/>
  <c r="J199" i="37"/>
  <c r="J269" i="45"/>
  <c r="J269" i="46"/>
  <c r="S245" i="51"/>
  <c r="E18" i="37"/>
  <c r="L18" i="37"/>
  <c r="M18" i="37"/>
  <c r="N18" i="37"/>
  <c r="U18" i="37"/>
  <c r="E17" i="51"/>
  <c r="L17" i="51"/>
  <c r="M17" i="51"/>
  <c r="N17" i="51"/>
  <c r="E17" i="46"/>
  <c r="L17" i="46"/>
  <c r="M17" i="46"/>
  <c r="N17" i="46"/>
  <c r="E17" i="45"/>
  <c r="L17" i="45"/>
  <c r="M17" i="45"/>
  <c r="N17" i="45"/>
  <c r="H69" i="30"/>
  <c r="H67" i="30"/>
  <c r="H70" i="30"/>
  <c r="H68" i="30"/>
  <c r="I289" i="46"/>
  <c r="I291" i="45"/>
  <c r="E254" i="37"/>
  <c r="L254" i="37"/>
  <c r="M254" i="37"/>
  <c r="N254" i="37"/>
  <c r="U254" i="37"/>
  <c r="E339" i="46"/>
  <c r="L339" i="46"/>
  <c r="M339" i="46"/>
  <c r="N339" i="46"/>
  <c r="E339" i="45"/>
  <c r="L339" i="45"/>
  <c r="M339" i="45"/>
  <c r="N339" i="45"/>
  <c r="J150" i="37"/>
  <c r="J201" i="45"/>
  <c r="J201" i="46"/>
  <c r="J203" i="45"/>
  <c r="J203" i="46"/>
  <c r="J205" i="46"/>
  <c r="J205" i="45"/>
  <c r="J69" i="37"/>
  <c r="J82" i="45"/>
  <c r="J82" i="46"/>
  <c r="E118" i="37"/>
  <c r="E151" i="46"/>
  <c r="E151" i="45"/>
  <c r="H62" i="37"/>
  <c r="H74" i="45"/>
  <c r="H74" i="46"/>
  <c r="H133" i="46"/>
  <c r="H63" i="37"/>
  <c r="H75" i="45"/>
  <c r="H75" i="46"/>
  <c r="E204" i="37"/>
  <c r="L204" i="37"/>
  <c r="M204" i="37"/>
  <c r="N204" i="37"/>
  <c r="E275" i="45"/>
  <c r="E275" i="46"/>
  <c r="H143" i="37"/>
  <c r="H193" i="45"/>
  <c r="H193" i="46"/>
  <c r="K144" i="32"/>
  <c r="I144" i="32"/>
  <c r="M144" i="32"/>
  <c r="O144" i="32"/>
  <c r="I13" i="37"/>
  <c r="I48" i="37"/>
  <c r="I14" i="37"/>
  <c r="I49" i="37"/>
  <c r="I15" i="37"/>
  <c r="I50" i="37"/>
  <c r="I16" i="37"/>
  <c r="I51" i="37"/>
  <c r="I14" i="45"/>
  <c r="I62" i="45"/>
  <c r="I14" i="46"/>
  <c r="I62" i="46"/>
  <c r="I12" i="45"/>
  <c r="I60" i="45"/>
  <c r="I13" i="46"/>
  <c r="I61" i="46"/>
  <c r="I13" i="45"/>
  <c r="I61" i="45"/>
  <c r="I15" i="46"/>
  <c r="I63" i="46"/>
  <c r="I12" i="46"/>
  <c r="I60" i="46"/>
  <c r="I15" i="45"/>
  <c r="I63" i="45"/>
  <c r="H81" i="37"/>
  <c r="H111" i="45"/>
  <c r="H111" i="46"/>
  <c r="H27" i="37"/>
  <c r="H38" i="45"/>
  <c r="H38" i="46"/>
  <c r="I124" i="37"/>
  <c r="I158" i="46"/>
  <c r="I158" i="45"/>
  <c r="J75" i="37"/>
  <c r="J89" i="45"/>
  <c r="J89" i="46"/>
  <c r="J131" i="45"/>
  <c r="J134" i="45"/>
  <c r="J133" i="45"/>
  <c r="J136" i="45"/>
  <c r="J132" i="45"/>
  <c r="J135" i="45"/>
  <c r="L24" i="30"/>
  <c r="L26" i="30"/>
  <c r="L25" i="30"/>
  <c r="L27" i="30"/>
  <c r="L23" i="30"/>
  <c r="I72" i="37"/>
  <c r="I86" i="46"/>
  <c r="H45" i="31"/>
  <c r="I86" i="45"/>
  <c r="J198" i="37"/>
  <c r="J268" i="45"/>
  <c r="J268" i="46"/>
  <c r="J202" i="37"/>
  <c r="J272" i="46"/>
  <c r="J272" i="45"/>
  <c r="M234" i="46"/>
  <c r="E72" i="37"/>
  <c r="L72" i="37"/>
  <c r="M72" i="37"/>
  <c r="N72" i="37"/>
  <c r="U72" i="37"/>
  <c r="E86" i="46"/>
  <c r="L86" i="46"/>
  <c r="M86" i="46"/>
  <c r="N86" i="46"/>
  <c r="E86" i="45"/>
  <c r="L86" i="45"/>
  <c r="M86" i="45"/>
  <c r="N86" i="45"/>
  <c r="E189" i="37"/>
  <c r="L189" i="37"/>
  <c r="M189" i="37"/>
  <c r="N189" i="37"/>
  <c r="E243" i="45"/>
  <c r="L243" i="45"/>
  <c r="M243" i="45"/>
  <c r="N243" i="45"/>
  <c r="E243" i="46"/>
  <c r="L243" i="46"/>
  <c r="M243" i="46"/>
  <c r="N243" i="46"/>
  <c r="I220" i="37"/>
  <c r="P114" i="30"/>
  <c r="P115" i="30"/>
  <c r="P112" i="30"/>
  <c r="P113" i="30"/>
  <c r="I290" i="46"/>
  <c r="I289" i="45"/>
  <c r="E81" i="37"/>
  <c r="L81" i="37"/>
  <c r="M81" i="37"/>
  <c r="N81" i="37"/>
  <c r="E111" i="45"/>
  <c r="L111" i="45"/>
  <c r="M111" i="45"/>
  <c r="N111" i="45"/>
  <c r="E111" i="46"/>
  <c r="L111" i="46"/>
  <c r="M111" i="46"/>
  <c r="N111" i="46"/>
  <c r="Q56" i="35"/>
  <c r="E308" i="37"/>
  <c r="L308" i="37"/>
  <c r="M308" i="37"/>
  <c r="N308" i="37"/>
  <c r="U308" i="37"/>
  <c r="E58" i="35"/>
  <c r="G56" i="35"/>
  <c r="I56" i="35"/>
  <c r="M56" i="35"/>
  <c r="K56" i="35"/>
  <c r="O56" i="35"/>
  <c r="G195" i="32"/>
  <c r="I189" i="32"/>
  <c r="I186" i="32"/>
  <c r="J209" i="37"/>
  <c r="T265" i="51"/>
  <c r="T304" i="51"/>
  <c r="N265" i="51"/>
  <c r="L304" i="51"/>
  <c r="P26" i="30"/>
  <c r="P23" i="30"/>
  <c r="P24" i="30"/>
  <c r="P25" i="30"/>
  <c r="J70" i="37"/>
  <c r="J110" i="37"/>
  <c r="J83" i="46"/>
  <c r="J83" i="45"/>
  <c r="J142" i="45"/>
  <c r="J68" i="37"/>
  <c r="J81" i="45"/>
  <c r="J81" i="46"/>
  <c r="J49" i="37"/>
  <c r="E8" i="37"/>
  <c r="E7" i="51"/>
  <c r="E7" i="46"/>
  <c r="E7" i="45"/>
  <c r="O11" i="35"/>
  <c r="Q11" i="35"/>
  <c r="E292" i="37"/>
  <c r="M11" i="35"/>
  <c r="G11" i="35"/>
  <c r="K11" i="35"/>
  <c r="I11" i="35"/>
  <c r="H192" i="37"/>
  <c r="H246" i="46"/>
  <c r="H246" i="45"/>
  <c r="H64" i="37"/>
  <c r="H76" i="46"/>
  <c r="H76" i="45"/>
  <c r="K217" i="37"/>
  <c r="K220" i="37"/>
  <c r="K219" i="37"/>
  <c r="K221" i="37"/>
  <c r="K218" i="37"/>
  <c r="J62" i="46"/>
  <c r="E145" i="37"/>
  <c r="L145" i="37"/>
  <c r="M145" i="37"/>
  <c r="N145" i="37"/>
  <c r="U145" i="37"/>
  <c r="E196" i="45"/>
  <c r="E196" i="46"/>
  <c r="I310" i="46"/>
  <c r="I358" i="46"/>
  <c r="L299" i="51"/>
  <c r="T260" i="51"/>
  <c r="T299" i="51"/>
  <c r="N260" i="51"/>
  <c r="H139" i="37"/>
  <c r="H189" i="46"/>
  <c r="H189" i="45"/>
  <c r="H140" i="37"/>
  <c r="H190" i="45"/>
  <c r="H190" i="46"/>
  <c r="D22" i="52"/>
  <c r="J19" i="52"/>
  <c r="J18" i="52"/>
  <c r="K185" i="37"/>
  <c r="K225" i="37"/>
  <c r="N19" i="52"/>
  <c r="N18" i="52"/>
  <c r="K187" i="37"/>
  <c r="K227" i="37"/>
  <c r="F19" i="52"/>
  <c r="F18" i="52"/>
  <c r="K183" i="37"/>
  <c r="K223" i="37"/>
  <c r="H19" i="52"/>
  <c r="H18" i="52"/>
  <c r="K184" i="37"/>
  <c r="K224" i="37"/>
  <c r="L19" i="52"/>
  <c r="L18" i="52"/>
  <c r="K186" i="37"/>
  <c r="K226" i="37"/>
  <c r="S176" i="51"/>
  <c r="N246" i="51"/>
  <c r="S203" i="51"/>
  <c r="S246" i="51"/>
  <c r="H84" i="37"/>
  <c r="H114" i="45"/>
  <c r="H114" i="46"/>
  <c r="H83" i="37"/>
  <c r="H113" i="46"/>
  <c r="H113" i="45"/>
  <c r="H26" i="37"/>
  <c r="H37" i="46"/>
  <c r="H37" i="45"/>
  <c r="I241" i="37"/>
  <c r="I313" i="46"/>
  <c r="I313" i="45"/>
  <c r="J63" i="46"/>
  <c r="E13" i="37"/>
  <c r="E12" i="51"/>
  <c r="E12" i="45"/>
  <c r="E12" i="46"/>
  <c r="J135" i="46"/>
  <c r="J132" i="46"/>
  <c r="J134" i="46"/>
  <c r="J133" i="46"/>
  <c r="J131" i="46"/>
  <c r="J136" i="46"/>
  <c r="J201" i="37"/>
  <c r="J271" i="46"/>
  <c r="J271" i="45"/>
  <c r="E26" i="37"/>
  <c r="L26" i="37"/>
  <c r="M26" i="37"/>
  <c r="N26" i="37"/>
  <c r="E37" i="45"/>
  <c r="L37" i="45"/>
  <c r="M37" i="45"/>
  <c r="N37" i="45"/>
  <c r="E37" i="46"/>
  <c r="L37" i="46"/>
  <c r="M37" i="46"/>
  <c r="N37" i="46"/>
  <c r="J67" i="37"/>
  <c r="J80" i="45"/>
  <c r="J80" i="46"/>
  <c r="J139" i="46"/>
  <c r="E177" i="37"/>
  <c r="E229" i="46"/>
  <c r="E229" i="45"/>
  <c r="Q7" i="35"/>
  <c r="E290" i="37"/>
  <c r="K7" i="35"/>
  <c r="M7" i="35"/>
  <c r="I7" i="35"/>
  <c r="G7" i="35"/>
  <c r="O7" i="35"/>
  <c r="H191" i="37"/>
  <c r="H245" i="45"/>
  <c r="H245" i="46"/>
  <c r="H61" i="37"/>
  <c r="H73" i="46"/>
  <c r="H73" i="45"/>
  <c r="L71" i="30"/>
  <c r="L70" i="30"/>
  <c r="L68" i="30"/>
  <c r="L69" i="30"/>
  <c r="L67" i="30"/>
  <c r="N24" i="30"/>
  <c r="N27" i="30"/>
  <c r="N23" i="30"/>
  <c r="N25" i="30"/>
  <c r="N26" i="30"/>
  <c r="E259" i="37"/>
  <c r="L259" i="37"/>
  <c r="M259" i="37"/>
  <c r="N259" i="37"/>
  <c r="U259" i="37"/>
  <c r="E344" i="45"/>
  <c r="L344" i="45"/>
  <c r="M344" i="45"/>
  <c r="N344" i="45"/>
  <c r="E344" i="46"/>
  <c r="L344" i="46"/>
  <c r="M344" i="46"/>
  <c r="N344" i="46"/>
  <c r="J60" i="46"/>
  <c r="H142" i="37"/>
  <c r="H192" i="45"/>
  <c r="H192" i="46"/>
  <c r="H85" i="37"/>
  <c r="H115" i="46"/>
  <c r="H115" i="45"/>
  <c r="H28" i="37"/>
  <c r="H39" i="45"/>
  <c r="H39" i="46"/>
  <c r="E183" i="37"/>
  <c r="E236" i="46"/>
  <c r="E236" i="45"/>
  <c r="O23" i="35"/>
  <c r="I23" i="35"/>
  <c r="K23" i="35"/>
  <c r="G23" i="35"/>
  <c r="Q23" i="35"/>
  <c r="E297" i="37"/>
  <c r="M23" i="35"/>
  <c r="J73" i="37"/>
  <c r="J87" i="46"/>
  <c r="J87" i="45"/>
  <c r="J104" i="37"/>
  <c r="J102" i="37"/>
  <c r="J100" i="37"/>
  <c r="J101" i="37"/>
  <c r="J103" i="37"/>
  <c r="L113" i="30"/>
  <c r="L114" i="30"/>
  <c r="L115" i="30"/>
  <c r="L116" i="30"/>
  <c r="L112" i="30"/>
  <c r="J200" i="37"/>
  <c r="J275" i="46"/>
  <c r="J300" i="46"/>
  <c r="J270" i="45"/>
  <c r="J270" i="46"/>
  <c r="J275" i="45"/>
  <c r="J300" i="45"/>
  <c r="R25" i="30"/>
  <c r="H291" i="37"/>
  <c r="H327" i="37"/>
  <c r="R26" i="30"/>
  <c r="H292" i="37"/>
  <c r="H328" i="37"/>
  <c r="R23" i="30"/>
  <c r="H289" i="37"/>
  <c r="H325" i="37"/>
  <c r="R24" i="30"/>
  <c r="H290" i="37"/>
  <c r="H326" i="37"/>
  <c r="J75" i="52"/>
  <c r="J74" i="52"/>
  <c r="K309" i="37"/>
  <c r="H75" i="52"/>
  <c r="H74" i="52"/>
  <c r="K308" i="37"/>
  <c r="L75" i="52"/>
  <c r="L74" i="52"/>
  <c r="K310" i="37"/>
  <c r="F75" i="52"/>
  <c r="F74" i="52"/>
  <c r="K307" i="37"/>
  <c r="N158" i="30"/>
  <c r="N156" i="30"/>
  <c r="N160" i="30"/>
  <c r="N159" i="30"/>
  <c r="N157" i="30"/>
  <c r="J67" i="30"/>
  <c r="J69" i="30"/>
  <c r="J70" i="30"/>
  <c r="J71" i="30"/>
  <c r="J68" i="30"/>
  <c r="J61" i="46"/>
  <c r="E236" i="37"/>
  <c r="E308" i="45"/>
  <c r="E308" i="46"/>
  <c r="Q9" i="35"/>
  <c r="E291" i="37"/>
  <c r="M9" i="35"/>
  <c r="G9" i="35"/>
  <c r="O9" i="35"/>
  <c r="I9" i="35"/>
  <c r="K9" i="35"/>
  <c r="H190" i="37"/>
  <c r="H244" i="45"/>
  <c r="H244" i="46"/>
  <c r="I292" i="45"/>
  <c r="E31" i="37"/>
  <c r="L31" i="37"/>
  <c r="M31" i="37"/>
  <c r="N31" i="37"/>
  <c r="U31" i="37"/>
  <c r="E42" i="45"/>
  <c r="L42" i="45"/>
  <c r="M42" i="45"/>
  <c r="N42" i="45"/>
  <c r="E42" i="46"/>
  <c r="L42" i="46"/>
  <c r="M42" i="46"/>
  <c r="N42" i="46"/>
  <c r="H96" i="37"/>
  <c r="H92" i="37"/>
  <c r="H123" i="45"/>
  <c r="H94" i="37"/>
  <c r="H127" i="45"/>
  <c r="H125" i="46"/>
  <c r="H127" i="46"/>
  <c r="H123" i="46"/>
  <c r="H136" i="46"/>
  <c r="H125" i="45"/>
  <c r="I39" i="32"/>
  <c r="M39" i="32"/>
  <c r="G46" i="32"/>
  <c r="K39" i="32"/>
  <c r="O39" i="32"/>
  <c r="J48" i="37"/>
  <c r="E124" i="37"/>
  <c r="E158" i="45"/>
  <c r="E158" i="46"/>
  <c r="E66" i="37"/>
  <c r="E79" i="45"/>
  <c r="E79" i="46"/>
  <c r="M21" i="35"/>
  <c r="K21" i="35"/>
  <c r="Q21" i="35"/>
  <c r="E296" i="37"/>
  <c r="G21" i="35"/>
  <c r="O21" i="35"/>
  <c r="I21" i="35"/>
  <c r="I221" i="37"/>
  <c r="K77" i="32"/>
  <c r="K73" i="32"/>
  <c r="I77" i="32"/>
  <c r="I73" i="32"/>
  <c r="G84" i="32"/>
  <c r="Q77" i="32"/>
  <c r="Q73" i="32"/>
  <c r="O77" i="32"/>
  <c r="O73" i="32"/>
  <c r="M77" i="32"/>
  <c r="M73" i="32"/>
  <c r="I166" i="46"/>
  <c r="I168" i="46"/>
  <c r="I170" i="46"/>
  <c r="I167" i="46"/>
  <c r="I169" i="46"/>
  <c r="L294" i="37"/>
  <c r="E241" i="37"/>
  <c r="E313" i="45"/>
  <c r="E313" i="46"/>
  <c r="Q19" i="35"/>
  <c r="E295" i="37"/>
  <c r="M19" i="35"/>
  <c r="I19" i="35"/>
  <c r="K19" i="35"/>
  <c r="O19" i="35"/>
  <c r="G19" i="35"/>
  <c r="M234" i="45"/>
  <c r="J74" i="37"/>
  <c r="J88" i="46"/>
  <c r="J88" i="45"/>
  <c r="J72" i="37"/>
  <c r="J86" i="46"/>
  <c r="J86" i="45"/>
  <c r="H214" i="46"/>
  <c r="K136" i="32"/>
  <c r="K134" i="32"/>
  <c r="M136" i="32"/>
  <c r="M134" i="32"/>
  <c r="G142" i="32"/>
  <c r="I136" i="32"/>
  <c r="I134" i="32"/>
  <c r="O136" i="32"/>
  <c r="O134" i="32"/>
  <c r="N298" i="51"/>
  <c r="S259" i="51"/>
  <c r="S298" i="51"/>
  <c r="E130" i="37"/>
  <c r="L130" i="37"/>
  <c r="M130" i="37"/>
  <c r="N130" i="37"/>
  <c r="U130" i="37"/>
  <c r="E165" i="46"/>
  <c r="L165" i="46"/>
  <c r="M165" i="46"/>
  <c r="N165" i="46"/>
  <c r="E165" i="45"/>
  <c r="L165" i="45"/>
  <c r="M165" i="45"/>
  <c r="N165" i="45"/>
  <c r="E246" i="37"/>
  <c r="L246" i="37"/>
  <c r="M246" i="37"/>
  <c r="N246" i="37"/>
  <c r="E318" i="45"/>
  <c r="L318" i="45"/>
  <c r="M318" i="45"/>
  <c r="N318" i="45"/>
  <c r="E318" i="46"/>
  <c r="L318" i="46"/>
  <c r="M318" i="46"/>
  <c r="N318" i="46"/>
  <c r="I291" i="37"/>
  <c r="I326" i="37"/>
  <c r="I291" i="46"/>
  <c r="E198" i="37"/>
  <c r="L198" i="37"/>
  <c r="M198" i="37"/>
  <c r="N198" i="37"/>
  <c r="E268" i="45"/>
  <c r="L268" i="45"/>
  <c r="M268" i="45"/>
  <c r="N268" i="45"/>
  <c r="E268" i="46"/>
  <c r="L268" i="46"/>
  <c r="M268" i="46"/>
  <c r="N268" i="46"/>
  <c r="J66" i="37"/>
  <c r="J106" i="37"/>
  <c r="J79" i="46"/>
  <c r="J79" i="45"/>
  <c r="K27" i="32"/>
  <c r="K23" i="32"/>
  <c r="I27" i="32"/>
  <c r="I23" i="32"/>
  <c r="O27" i="32"/>
  <c r="O23" i="32"/>
  <c r="Q27" i="32"/>
  <c r="Q23" i="32"/>
  <c r="M27" i="32"/>
  <c r="M23" i="32"/>
  <c r="G34" i="32"/>
  <c r="L289" i="37"/>
  <c r="G13" i="35"/>
  <c r="O13" i="35"/>
  <c r="Q13" i="35"/>
  <c r="K13" i="35"/>
  <c r="I13" i="35"/>
  <c r="M13" i="35"/>
  <c r="H193" i="37"/>
  <c r="H247" i="45"/>
  <c r="H247" i="46"/>
  <c r="H60" i="37"/>
  <c r="H100" i="37"/>
  <c r="H72" i="45"/>
  <c r="H72" i="46"/>
  <c r="D114" i="52"/>
  <c r="L111" i="52"/>
  <c r="L110" i="52"/>
  <c r="H111" i="52"/>
  <c r="H110" i="52"/>
  <c r="F111" i="52"/>
  <c r="F110" i="52"/>
  <c r="K264" i="37"/>
  <c r="J111" i="52"/>
  <c r="J110" i="52"/>
  <c r="J62" i="45"/>
  <c r="E87" i="37"/>
  <c r="L87" i="37"/>
  <c r="M87" i="37"/>
  <c r="N87" i="37"/>
  <c r="E118" i="45"/>
  <c r="E118" i="46"/>
  <c r="J60" i="45"/>
  <c r="I96" i="32"/>
  <c r="K96" i="32"/>
  <c r="O96" i="32"/>
  <c r="M96" i="32"/>
  <c r="H141" i="37"/>
  <c r="H191" i="45"/>
  <c r="H191" i="46"/>
  <c r="S248" i="51"/>
  <c r="I183" i="37"/>
  <c r="I187" i="37"/>
  <c r="I227" i="37"/>
  <c r="I240" i="46"/>
  <c r="I299" i="46"/>
  <c r="I241" i="45"/>
  <c r="I300" i="45"/>
  <c r="I241" i="46"/>
  <c r="I300" i="46"/>
  <c r="I236" i="45"/>
  <c r="I240" i="45"/>
  <c r="I299" i="45"/>
  <c r="I236" i="46"/>
  <c r="H82" i="37"/>
  <c r="H112" i="45"/>
  <c r="H112" i="46"/>
  <c r="H29" i="37"/>
  <c r="H40" i="46"/>
  <c r="H40" i="45"/>
  <c r="J63" i="45"/>
  <c r="J125" i="37"/>
  <c r="J165" i="37"/>
  <c r="J159" i="45"/>
  <c r="J159" i="46"/>
  <c r="E14" i="37"/>
  <c r="E13" i="51"/>
  <c r="E13" i="46"/>
  <c r="E13" i="45"/>
  <c r="J132" i="37"/>
  <c r="J167" i="45"/>
  <c r="J167" i="46"/>
  <c r="E185" i="37"/>
  <c r="E238" i="46"/>
  <c r="E238" i="45"/>
  <c r="L291" i="37"/>
  <c r="H131" i="37"/>
  <c r="H166" i="46"/>
  <c r="H166" i="45"/>
  <c r="E16" i="37"/>
  <c r="E15" i="46"/>
  <c r="E15" i="51"/>
  <c r="E15" i="45"/>
  <c r="H177" i="37"/>
  <c r="H217" i="37"/>
  <c r="H229" i="46"/>
  <c r="H288" i="46"/>
  <c r="H229" i="45"/>
  <c r="H288" i="45"/>
  <c r="H132" i="45"/>
  <c r="L12" i="51"/>
  <c r="E51" i="51"/>
  <c r="L7" i="46"/>
  <c r="J142" i="46"/>
  <c r="H236" i="37"/>
  <c r="H272" i="37"/>
  <c r="H308" i="45"/>
  <c r="H357" i="45"/>
  <c r="H308" i="46"/>
  <c r="H357" i="46"/>
  <c r="E140" i="37"/>
  <c r="L140" i="37"/>
  <c r="M140" i="37"/>
  <c r="N140" i="37"/>
  <c r="E190" i="46"/>
  <c r="L190" i="46"/>
  <c r="M190" i="46"/>
  <c r="N190" i="46"/>
  <c r="E190" i="45"/>
  <c r="L190" i="45"/>
  <c r="M190" i="45"/>
  <c r="N190" i="45"/>
  <c r="E60" i="35"/>
  <c r="Q58" i="35"/>
  <c r="E309" i="37"/>
  <c r="L309" i="37"/>
  <c r="M309" i="37"/>
  <c r="N309" i="37"/>
  <c r="U309" i="37"/>
  <c r="G58" i="35"/>
  <c r="O58" i="35"/>
  <c r="M58" i="35"/>
  <c r="K58" i="35"/>
  <c r="I58" i="35"/>
  <c r="I88" i="46"/>
  <c r="I90" i="46"/>
  <c r="I91" i="46"/>
  <c r="I87" i="46"/>
  <c r="I89" i="46"/>
  <c r="L118" i="37"/>
  <c r="L72" i="46"/>
  <c r="I331" i="37"/>
  <c r="I296" i="37"/>
  <c r="H331" i="37"/>
  <c r="H255" i="37"/>
  <c r="H340" i="45"/>
  <c r="H340" i="46"/>
  <c r="I136" i="46"/>
  <c r="L77" i="46"/>
  <c r="H187" i="37"/>
  <c r="H240" i="45"/>
  <c r="H240" i="46"/>
  <c r="H299" i="46"/>
  <c r="H186" i="37"/>
  <c r="H239" i="46"/>
  <c r="H239" i="45"/>
  <c r="H74" i="37"/>
  <c r="H88" i="46"/>
  <c r="H88" i="45"/>
  <c r="I184" i="37"/>
  <c r="I223" i="37"/>
  <c r="K325" i="37"/>
  <c r="K273" i="37"/>
  <c r="K326" i="37"/>
  <c r="K275" i="37"/>
  <c r="K272" i="37"/>
  <c r="K328" i="37"/>
  <c r="K327" i="37"/>
  <c r="K274" i="37"/>
  <c r="E122" i="37"/>
  <c r="E155" i="45"/>
  <c r="E155" i="46"/>
  <c r="I292" i="37"/>
  <c r="I328" i="37"/>
  <c r="I327" i="37"/>
  <c r="J256" i="37"/>
  <c r="J341" i="45"/>
  <c r="J341" i="46"/>
  <c r="E242" i="37"/>
  <c r="E314" i="46"/>
  <c r="E314" i="45"/>
  <c r="J131" i="37"/>
  <c r="J166" i="46"/>
  <c r="J166" i="45"/>
  <c r="E15" i="37"/>
  <c r="E14" i="46"/>
  <c r="E14" i="51"/>
  <c r="E14" i="45"/>
  <c r="L79" i="46"/>
  <c r="E216" i="45"/>
  <c r="L158" i="45"/>
  <c r="H136" i="45"/>
  <c r="E238" i="37"/>
  <c r="E310" i="45"/>
  <c r="E310" i="46"/>
  <c r="L308" i="46"/>
  <c r="H67" i="37"/>
  <c r="H80" i="45"/>
  <c r="H80" i="46"/>
  <c r="H139" i="46"/>
  <c r="H66" i="37"/>
  <c r="H79" i="45"/>
  <c r="H79" i="46"/>
  <c r="H198" i="37"/>
  <c r="H268" i="45"/>
  <c r="H268" i="46"/>
  <c r="H134" i="37"/>
  <c r="H169" i="45"/>
  <c r="H169" i="46"/>
  <c r="E127" i="37"/>
  <c r="E161" i="46"/>
  <c r="E161" i="45"/>
  <c r="L236" i="46"/>
  <c r="H181" i="37"/>
  <c r="H221" i="37"/>
  <c r="H233" i="46"/>
  <c r="H292" i="46"/>
  <c r="H233" i="45"/>
  <c r="H292" i="45"/>
  <c r="H125" i="37"/>
  <c r="H159" i="46"/>
  <c r="H159" i="45"/>
  <c r="H217" i="45"/>
  <c r="H132" i="46"/>
  <c r="E178" i="37"/>
  <c r="E230" i="45"/>
  <c r="E230" i="46"/>
  <c r="L229" i="46"/>
  <c r="J107" i="37"/>
  <c r="L13" i="37"/>
  <c r="E48" i="37"/>
  <c r="I242" i="37"/>
  <c r="I277" i="37"/>
  <c r="I359" i="46"/>
  <c r="I311" i="46"/>
  <c r="I360" i="46"/>
  <c r="H104" i="37"/>
  <c r="E63" i="37"/>
  <c r="E75" i="46"/>
  <c r="E75" i="45"/>
  <c r="L292" i="37"/>
  <c r="L7" i="51"/>
  <c r="E46" i="51"/>
  <c r="J140" i="45"/>
  <c r="H239" i="37"/>
  <c r="H275" i="37"/>
  <c r="H311" i="46"/>
  <c r="H360" i="46"/>
  <c r="H311" i="45"/>
  <c r="H360" i="45"/>
  <c r="J218" i="37"/>
  <c r="J217" i="37"/>
  <c r="J221" i="37"/>
  <c r="J219" i="37"/>
  <c r="J220" i="37"/>
  <c r="E199" i="37"/>
  <c r="L199" i="37"/>
  <c r="M199" i="37"/>
  <c r="N199" i="37"/>
  <c r="U199" i="37"/>
  <c r="E269" i="45"/>
  <c r="L269" i="45"/>
  <c r="M269" i="45"/>
  <c r="N269" i="45"/>
  <c r="E269" i="46"/>
  <c r="L269" i="46"/>
  <c r="M269" i="46"/>
  <c r="N269" i="46"/>
  <c r="H249" i="37"/>
  <c r="H321" i="46"/>
  <c r="H321" i="45"/>
  <c r="I73" i="37"/>
  <c r="I74" i="37"/>
  <c r="I75" i="37"/>
  <c r="I76" i="37"/>
  <c r="H121" i="37"/>
  <c r="H161" i="37"/>
  <c r="H154" i="45"/>
  <c r="H212" i="45"/>
  <c r="H154" i="46"/>
  <c r="H212" i="46"/>
  <c r="I159" i="46"/>
  <c r="I217" i="46"/>
  <c r="I162" i="46"/>
  <c r="I220" i="46"/>
  <c r="I161" i="46"/>
  <c r="I163" i="46"/>
  <c r="I216" i="46"/>
  <c r="I160" i="46"/>
  <c r="L275" i="46"/>
  <c r="H134" i="45"/>
  <c r="H102" i="37"/>
  <c r="J141" i="46"/>
  <c r="J209" i="45"/>
  <c r="J214" i="45"/>
  <c r="J210" i="45"/>
  <c r="J212" i="45"/>
  <c r="J213" i="45"/>
  <c r="J211" i="45"/>
  <c r="H16" i="37"/>
  <c r="H51" i="37"/>
  <c r="H15" i="45"/>
  <c r="H15" i="51"/>
  <c r="H54" i="51"/>
  <c r="H15" i="46"/>
  <c r="I239" i="37"/>
  <c r="I275" i="37"/>
  <c r="I274" i="37"/>
  <c r="H293" i="45"/>
  <c r="H293" i="46"/>
  <c r="H19" i="37"/>
  <c r="H18" i="45"/>
  <c r="H18" i="46"/>
  <c r="E148" i="37"/>
  <c r="L148" i="37"/>
  <c r="M148" i="37"/>
  <c r="N148" i="37"/>
  <c r="U148" i="37"/>
  <c r="E199" i="46"/>
  <c r="L199" i="46"/>
  <c r="M199" i="46"/>
  <c r="N199" i="46"/>
  <c r="E199" i="45"/>
  <c r="L199" i="45"/>
  <c r="M199" i="45"/>
  <c r="N199" i="45"/>
  <c r="E90" i="37"/>
  <c r="L90" i="37"/>
  <c r="M90" i="37"/>
  <c r="N90" i="37"/>
  <c r="U90" i="37"/>
  <c r="E121" i="45"/>
  <c r="L121" i="45"/>
  <c r="M121" i="45"/>
  <c r="N121" i="45"/>
  <c r="E121" i="46"/>
  <c r="L121" i="46"/>
  <c r="M121" i="46"/>
  <c r="N121" i="46"/>
  <c r="L60" i="37"/>
  <c r="E73" i="37"/>
  <c r="L73" i="37"/>
  <c r="M73" i="37"/>
  <c r="N73" i="37"/>
  <c r="U73" i="37"/>
  <c r="E87" i="45"/>
  <c r="L87" i="45"/>
  <c r="M87" i="45"/>
  <c r="N87" i="45"/>
  <c r="E87" i="46"/>
  <c r="L87" i="46"/>
  <c r="M87" i="46"/>
  <c r="N87" i="46"/>
  <c r="E131" i="37"/>
  <c r="L131" i="37"/>
  <c r="M131" i="37"/>
  <c r="N131" i="37"/>
  <c r="U131" i="37"/>
  <c r="E166" i="45"/>
  <c r="L166" i="45"/>
  <c r="M166" i="45"/>
  <c r="N166" i="45"/>
  <c r="E166" i="46"/>
  <c r="L166" i="46"/>
  <c r="M166" i="46"/>
  <c r="N166" i="46"/>
  <c r="H9" i="37"/>
  <c r="H44" i="37"/>
  <c r="H8" i="46"/>
  <c r="H56" i="46"/>
  <c r="H8" i="51"/>
  <c r="H47" i="51"/>
  <c r="H8" i="45"/>
  <c r="H56" i="45"/>
  <c r="I115" i="46"/>
  <c r="I114" i="46"/>
  <c r="I116" i="46"/>
  <c r="I112" i="46"/>
  <c r="I113" i="46"/>
  <c r="H333" i="37"/>
  <c r="I192" i="45"/>
  <c r="I194" i="45"/>
  <c r="I190" i="45"/>
  <c r="I191" i="45"/>
  <c r="I193" i="45"/>
  <c r="H257" i="37"/>
  <c r="H342" i="46"/>
  <c r="H342" i="45"/>
  <c r="H184" i="37"/>
  <c r="H224" i="37"/>
  <c r="H237" i="45"/>
  <c r="H237" i="46"/>
  <c r="I154" i="46"/>
  <c r="I212" i="46"/>
  <c r="I155" i="46"/>
  <c r="I213" i="46"/>
  <c r="I156" i="46"/>
  <c r="I152" i="46"/>
  <c r="I210" i="46"/>
  <c r="I153" i="46"/>
  <c r="I211" i="46"/>
  <c r="I209" i="46"/>
  <c r="H75" i="37"/>
  <c r="H89" i="46"/>
  <c r="H89" i="45"/>
  <c r="H243" i="37"/>
  <c r="H315" i="45"/>
  <c r="H315" i="46"/>
  <c r="E181" i="37"/>
  <c r="E233" i="46"/>
  <c r="E233" i="45"/>
  <c r="Q34" i="32"/>
  <c r="Q30" i="32"/>
  <c r="I34" i="32"/>
  <c r="I30" i="32"/>
  <c r="O34" i="32"/>
  <c r="O30" i="32"/>
  <c r="M34" i="32"/>
  <c r="M30" i="32"/>
  <c r="K34" i="32"/>
  <c r="K30" i="32"/>
  <c r="G41" i="32"/>
  <c r="J124" i="37"/>
  <c r="J164" i="37"/>
  <c r="J158" i="46"/>
  <c r="J158" i="45"/>
  <c r="J254" i="37"/>
  <c r="J339" i="45"/>
  <c r="J339" i="46"/>
  <c r="E67" i="37"/>
  <c r="E80" i="45"/>
  <c r="E80" i="46"/>
  <c r="L313" i="45"/>
  <c r="I84" i="32"/>
  <c r="I80" i="32"/>
  <c r="M84" i="32"/>
  <c r="M80" i="32"/>
  <c r="K84" i="32"/>
  <c r="K80" i="32"/>
  <c r="G91" i="32"/>
  <c r="O84" i="32"/>
  <c r="O80" i="32"/>
  <c r="E68" i="37"/>
  <c r="E81" i="45"/>
  <c r="E81" i="46"/>
  <c r="E126" i="37"/>
  <c r="E160" i="45"/>
  <c r="E160" i="46"/>
  <c r="L66" i="37"/>
  <c r="E106" i="37"/>
  <c r="E120" i="37"/>
  <c r="E153" i="45"/>
  <c r="E153" i="46"/>
  <c r="E179" i="37"/>
  <c r="E231" i="45"/>
  <c r="E231" i="46"/>
  <c r="L236" i="37"/>
  <c r="H69" i="37"/>
  <c r="H82" i="46"/>
  <c r="H82" i="45"/>
  <c r="H141" i="45"/>
  <c r="H201" i="37"/>
  <c r="H271" i="46"/>
  <c r="H271" i="45"/>
  <c r="H132" i="37"/>
  <c r="H167" i="46"/>
  <c r="H167" i="45"/>
  <c r="L297" i="37"/>
  <c r="E244" i="37"/>
  <c r="E316" i="46"/>
  <c r="E316" i="45"/>
  <c r="H179" i="37"/>
  <c r="H219" i="37"/>
  <c r="H231" i="45"/>
  <c r="H290" i="45"/>
  <c r="H231" i="46"/>
  <c r="H290" i="46"/>
  <c r="H124" i="37"/>
  <c r="H158" i="46"/>
  <c r="H216" i="46"/>
  <c r="H158" i="45"/>
  <c r="H216" i="45"/>
  <c r="H128" i="37"/>
  <c r="H168" i="37"/>
  <c r="H162" i="45"/>
  <c r="H162" i="46"/>
  <c r="E9" i="37"/>
  <c r="E8" i="45"/>
  <c r="E8" i="51"/>
  <c r="E8" i="46"/>
  <c r="L290" i="37"/>
  <c r="L12" i="45"/>
  <c r="E60" i="45"/>
  <c r="I362" i="45"/>
  <c r="I314" i="45"/>
  <c r="L22" i="52"/>
  <c r="L21" i="52"/>
  <c r="K244" i="37"/>
  <c r="K280" i="37"/>
  <c r="J22" i="52"/>
  <c r="J21" i="52"/>
  <c r="K243" i="37"/>
  <c r="K279" i="37"/>
  <c r="D25" i="52"/>
  <c r="F22" i="52"/>
  <c r="F21" i="52"/>
  <c r="K241" i="37"/>
  <c r="K277" i="37"/>
  <c r="H22" i="52"/>
  <c r="H21" i="52"/>
  <c r="K242" i="37"/>
  <c r="K278" i="37"/>
  <c r="S260" i="51"/>
  <c r="S299" i="51"/>
  <c r="N299" i="51"/>
  <c r="L196" i="45"/>
  <c r="E221" i="45"/>
  <c r="H135" i="45"/>
  <c r="E11" i="37"/>
  <c r="E10" i="46"/>
  <c r="E10" i="45"/>
  <c r="E10" i="51"/>
  <c r="L7" i="45"/>
  <c r="H237" i="37"/>
  <c r="H273" i="37"/>
  <c r="H309" i="45"/>
  <c r="H358" i="45"/>
  <c r="H309" i="46"/>
  <c r="H358" i="46"/>
  <c r="S265" i="51"/>
  <c r="S304" i="51"/>
  <c r="N304" i="51"/>
  <c r="E255" i="37"/>
  <c r="L255" i="37"/>
  <c r="M255" i="37"/>
  <c r="N255" i="37"/>
  <c r="U255" i="37"/>
  <c r="E340" i="46"/>
  <c r="L340" i="46"/>
  <c r="M340" i="46"/>
  <c r="N340" i="46"/>
  <c r="E340" i="45"/>
  <c r="L340" i="45"/>
  <c r="M340" i="45"/>
  <c r="N340" i="45"/>
  <c r="E27" i="37"/>
  <c r="L27" i="37"/>
  <c r="M27" i="37"/>
  <c r="N27" i="37"/>
  <c r="U27" i="37"/>
  <c r="E38" i="45"/>
  <c r="L38" i="45"/>
  <c r="M38" i="45"/>
  <c r="N38" i="45"/>
  <c r="E38" i="46"/>
  <c r="L38" i="46"/>
  <c r="M38" i="46"/>
  <c r="N38" i="46"/>
  <c r="H247" i="37"/>
  <c r="H319" i="46"/>
  <c r="H319" i="45"/>
  <c r="I67" i="37"/>
  <c r="I68" i="37"/>
  <c r="I69" i="37"/>
  <c r="I66" i="37"/>
  <c r="I106" i="37"/>
  <c r="I70" i="37"/>
  <c r="I110" i="37"/>
  <c r="I81" i="45"/>
  <c r="I80" i="46"/>
  <c r="I81" i="46"/>
  <c r="I80" i="45"/>
  <c r="I82" i="46"/>
  <c r="I79" i="45"/>
  <c r="I138" i="45"/>
  <c r="I84" i="46"/>
  <c r="I143" i="46"/>
  <c r="I84" i="45"/>
  <c r="I143" i="45"/>
  <c r="I83" i="45"/>
  <c r="I79" i="46"/>
  <c r="I138" i="46"/>
  <c r="I82" i="45"/>
  <c r="I83" i="46"/>
  <c r="I142" i="46"/>
  <c r="H122" i="37"/>
  <c r="H162" i="37"/>
  <c r="H155" i="45"/>
  <c r="H213" i="45"/>
  <c r="H155" i="46"/>
  <c r="H213" i="46"/>
  <c r="L151" i="46"/>
  <c r="J109" i="37"/>
  <c r="H15" i="37"/>
  <c r="H50" i="37"/>
  <c r="H14" i="45"/>
  <c r="H62" i="45"/>
  <c r="H14" i="51"/>
  <c r="H53" i="51"/>
  <c r="H14" i="46"/>
  <c r="H20" i="37"/>
  <c r="H19" i="46"/>
  <c r="H19" i="45"/>
  <c r="E207" i="37"/>
  <c r="L207" i="37"/>
  <c r="M207" i="37"/>
  <c r="N207" i="37"/>
  <c r="U207" i="37"/>
  <c r="E278" i="46"/>
  <c r="L278" i="46"/>
  <c r="M278" i="46"/>
  <c r="N278" i="46"/>
  <c r="E278" i="45"/>
  <c r="L278" i="45"/>
  <c r="M278" i="45"/>
  <c r="N278" i="45"/>
  <c r="E34" i="37"/>
  <c r="L34" i="37"/>
  <c r="M34" i="37"/>
  <c r="N34" i="37"/>
  <c r="U34" i="37"/>
  <c r="E45" i="45"/>
  <c r="L45" i="45"/>
  <c r="M45" i="45"/>
  <c r="N45" i="45"/>
  <c r="E45" i="46"/>
  <c r="L45" i="46"/>
  <c r="M45" i="46"/>
  <c r="N45" i="46"/>
  <c r="L72" i="45"/>
  <c r="I359" i="45"/>
  <c r="I311" i="45"/>
  <c r="I360" i="45"/>
  <c r="E247" i="37"/>
  <c r="L247" i="37"/>
  <c r="M247" i="37"/>
  <c r="N247" i="37"/>
  <c r="E319" i="46"/>
  <c r="L319" i="46"/>
  <c r="M319" i="46"/>
  <c r="N319" i="46"/>
  <c r="E319" i="45"/>
  <c r="L319" i="45"/>
  <c r="M319" i="45"/>
  <c r="N319" i="45"/>
  <c r="O40" i="35"/>
  <c r="K40" i="35"/>
  <c r="G40" i="35"/>
  <c r="I40" i="35"/>
  <c r="Q40" i="35"/>
  <c r="E302" i="37"/>
  <c r="L302" i="37"/>
  <c r="M302" i="37"/>
  <c r="N302" i="37"/>
  <c r="U302" i="37"/>
  <c r="M40" i="35"/>
  <c r="H10" i="37"/>
  <c r="H45" i="37"/>
  <c r="H9" i="46"/>
  <c r="H57" i="46"/>
  <c r="H9" i="45"/>
  <c r="H57" i="45"/>
  <c r="H9" i="51"/>
  <c r="H48" i="51"/>
  <c r="E128" i="37"/>
  <c r="E162" i="45"/>
  <c r="E162" i="46"/>
  <c r="E187" i="37"/>
  <c r="E240" i="45"/>
  <c r="E240" i="46"/>
  <c r="I141" i="37"/>
  <c r="I140" i="37"/>
  <c r="I142" i="37"/>
  <c r="I143" i="37"/>
  <c r="H254" i="37"/>
  <c r="H339" i="45"/>
  <c r="H339" i="46"/>
  <c r="H185" i="37"/>
  <c r="H238" i="45"/>
  <c r="H238" i="46"/>
  <c r="H297" i="46"/>
  <c r="I121" i="37"/>
  <c r="I161" i="37"/>
  <c r="I120" i="37"/>
  <c r="I160" i="37"/>
  <c r="I119" i="37"/>
  <c r="I159" i="37"/>
  <c r="I122" i="37"/>
  <c r="I162" i="37"/>
  <c r="I158" i="37"/>
  <c r="H76" i="37"/>
  <c r="H90" i="46"/>
  <c r="H90" i="45"/>
  <c r="H73" i="37"/>
  <c r="H87" i="46"/>
  <c r="H87" i="45"/>
  <c r="H242" i="37"/>
  <c r="H278" i="37"/>
  <c r="H314" i="45"/>
  <c r="H314" i="46"/>
  <c r="H363" i="46"/>
  <c r="I295" i="45"/>
  <c r="I237" i="45"/>
  <c r="L118" i="46"/>
  <c r="F114" i="52"/>
  <c r="F113" i="52"/>
  <c r="K317" i="37"/>
  <c r="H114" i="52"/>
  <c r="H113" i="52"/>
  <c r="J114" i="52"/>
  <c r="J113" i="52"/>
  <c r="L114" i="52"/>
  <c r="L113" i="52"/>
  <c r="E64" i="37"/>
  <c r="E76" i="46"/>
  <c r="E76" i="45"/>
  <c r="J126" i="37"/>
  <c r="J166" i="37"/>
  <c r="J160" i="45"/>
  <c r="J218" i="45"/>
  <c r="J160" i="46"/>
  <c r="J218" i="46"/>
  <c r="I142" i="32"/>
  <c r="I140" i="32"/>
  <c r="J307" i="37"/>
  <c r="O142" i="32"/>
  <c r="O140" i="32"/>
  <c r="J310" i="37"/>
  <c r="M142" i="32"/>
  <c r="M140" i="32"/>
  <c r="J309" i="37"/>
  <c r="K142" i="32"/>
  <c r="K140" i="32"/>
  <c r="J308" i="37"/>
  <c r="E184" i="37"/>
  <c r="E237" i="45"/>
  <c r="E237" i="46"/>
  <c r="L241" i="37"/>
  <c r="J130" i="37"/>
  <c r="J165" i="45"/>
  <c r="J165" i="46"/>
  <c r="E243" i="37"/>
  <c r="E315" i="45"/>
  <c r="E315" i="46"/>
  <c r="L158" i="46"/>
  <c r="I46" i="32"/>
  <c r="M46" i="32"/>
  <c r="O46" i="32"/>
  <c r="K46" i="32"/>
  <c r="E62" i="37"/>
  <c r="E74" i="45"/>
  <c r="E74" i="46"/>
  <c r="H68" i="37"/>
  <c r="H81" i="45"/>
  <c r="H140" i="45"/>
  <c r="H81" i="46"/>
  <c r="H140" i="46"/>
  <c r="H202" i="37"/>
  <c r="H272" i="46"/>
  <c r="H272" i="45"/>
  <c r="H130" i="37"/>
  <c r="H165" i="46"/>
  <c r="H165" i="45"/>
  <c r="L236" i="45"/>
  <c r="H126" i="37"/>
  <c r="H160" i="45"/>
  <c r="H218" i="45"/>
  <c r="H160" i="46"/>
  <c r="E61" i="37"/>
  <c r="E73" i="45"/>
  <c r="E73" i="46"/>
  <c r="L229" i="45"/>
  <c r="J139" i="45"/>
  <c r="I314" i="46"/>
  <c r="I362" i="46"/>
  <c r="H135" i="46"/>
  <c r="E180" i="37"/>
  <c r="E232" i="45"/>
  <c r="E232" i="46"/>
  <c r="J140" i="46"/>
  <c r="H246" i="37"/>
  <c r="H318" i="45"/>
  <c r="H318" i="46"/>
  <c r="H120" i="37"/>
  <c r="H160" i="37"/>
  <c r="H153" i="45"/>
  <c r="H211" i="45"/>
  <c r="H153" i="46"/>
  <c r="H211" i="46"/>
  <c r="I160" i="45"/>
  <c r="I218" i="45"/>
  <c r="I159" i="45"/>
  <c r="I217" i="45"/>
  <c r="I162" i="45"/>
  <c r="I163" i="45"/>
  <c r="I161" i="45"/>
  <c r="I219" i="45"/>
  <c r="I216" i="45"/>
  <c r="H134" i="46"/>
  <c r="H133" i="45"/>
  <c r="J214" i="46"/>
  <c r="J210" i="46"/>
  <c r="J209" i="46"/>
  <c r="J213" i="46"/>
  <c r="J212" i="46"/>
  <c r="J211" i="46"/>
  <c r="H14" i="37"/>
  <c r="H13" i="45"/>
  <c r="H61" i="45"/>
  <c r="H13" i="46"/>
  <c r="H61" i="46"/>
  <c r="H13" i="51"/>
  <c r="H52" i="51"/>
  <c r="H18" i="37"/>
  <c r="H17" i="45"/>
  <c r="H17" i="46"/>
  <c r="E19" i="37"/>
  <c r="L19" i="37"/>
  <c r="M19" i="37"/>
  <c r="N19" i="37"/>
  <c r="E18" i="51"/>
  <c r="L18" i="51"/>
  <c r="M18" i="51"/>
  <c r="N18" i="51"/>
  <c r="E18" i="46"/>
  <c r="L18" i="46"/>
  <c r="M18" i="46"/>
  <c r="N18" i="46"/>
  <c r="E18" i="45"/>
  <c r="L18" i="45"/>
  <c r="M18" i="45"/>
  <c r="N18" i="45"/>
  <c r="E44" i="35"/>
  <c r="Q36" i="35"/>
  <c r="E301" i="37"/>
  <c r="L301" i="37"/>
  <c r="M301" i="37"/>
  <c r="N301" i="37"/>
  <c r="U301" i="37"/>
  <c r="O36" i="35"/>
  <c r="K36" i="35"/>
  <c r="I36" i="35"/>
  <c r="G36" i="35"/>
  <c r="M36" i="35"/>
  <c r="H11" i="37"/>
  <c r="H46" i="37"/>
  <c r="H10" i="51"/>
  <c r="H49" i="51"/>
  <c r="H10" i="45"/>
  <c r="H58" i="45"/>
  <c r="H10" i="46"/>
  <c r="H58" i="46"/>
  <c r="I114" i="45"/>
  <c r="I115" i="45"/>
  <c r="I113" i="45"/>
  <c r="I116" i="45"/>
  <c r="I112" i="45"/>
  <c r="H241" i="37"/>
  <c r="H277" i="37"/>
  <c r="H313" i="45"/>
  <c r="H313" i="46"/>
  <c r="E143" i="45"/>
  <c r="L118" i="45"/>
  <c r="H131" i="46"/>
  <c r="J128" i="37"/>
  <c r="J168" i="37"/>
  <c r="J162" i="46"/>
  <c r="J220" i="46"/>
  <c r="J162" i="45"/>
  <c r="J220" i="45"/>
  <c r="J138" i="45"/>
  <c r="L295" i="37"/>
  <c r="E331" i="37"/>
  <c r="J133" i="37"/>
  <c r="J168" i="46"/>
  <c r="J168" i="45"/>
  <c r="I237" i="46"/>
  <c r="I295" i="46"/>
  <c r="H131" i="45"/>
  <c r="M289" i="37"/>
  <c r="J127" i="37"/>
  <c r="J161" i="46"/>
  <c r="J219" i="46"/>
  <c r="J161" i="45"/>
  <c r="J219" i="45"/>
  <c r="J138" i="46"/>
  <c r="J257" i="37"/>
  <c r="J342" i="45"/>
  <c r="J342" i="46"/>
  <c r="J255" i="37"/>
  <c r="J340" i="46"/>
  <c r="J340" i="45"/>
  <c r="N234" i="45"/>
  <c r="E125" i="37"/>
  <c r="E159" i="45"/>
  <c r="E159" i="46"/>
  <c r="L313" i="46"/>
  <c r="M294" i="37"/>
  <c r="J134" i="37"/>
  <c r="J169" i="45"/>
  <c r="J169" i="46"/>
  <c r="L296" i="37"/>
  <c r="E332" i="37"/>
  <c r="L79" i="45"/>
  <c r="L124" i="37"/>
  <c r="E10" i="37"/>
  <c r="E9" i="51"/>
  <c r="E9" i="45"/>
  <c r="E9" i="46"/>
  <c r="L308" i="45"/>
  <c r="H70" i="37"/>
  <c r="H110" i="37"/>
  <c r="H83" i="46"/>
  <c r="H142" i="46"/>
  <c r="H83" i="45"/>
  <c r="H142" i="45"/>
  <c r="H199" i="37"/>
  <c r="H269" i="46"/>
  <c r="H269" i="45"/>
  <c r="H200" i="37"/>
  <c r="H270" i="46"/>
  <c r="H275" i="46"/>
  <c r="H300" i="46"/>
  <c r="H270" i="45"/>
  <c r="H275" i="45"/>
  <c r="H300" i="45"/>
  <c r="H133" i="37"/>
  <c r="H168" i="45"/>
  <c r="H168" i="46"/>
  <c r="E186" i="37"/>
  <c r="E239" i="46"/>
  <c r="E239" i="45"/>
  <c r="E69" i="37"/>
  <c r="E82" i="45"/>
  <c r="E82" i="46"/>
  <c r="L183" i="37"/>
  <c r="E223" i="37"/>
  <c r="H180" i="37"/>
  <c r="H220" i="37"/>
  <c r="H232" i="45"/>
  <c r="H291" i="45"/>
  <c r="H232" i="46"/>
  <c r="H291" i="46"/>
  <c r="H178" i="37"/>
  <c r="H218" i="37"/>
  <c r="H230" i="45"/>
  <c r="H289" i="45"/>
  <c r="H230" i="46"/>
  <c r="H289" i="46"/>
  <c r="H127" i="37"/>
  <c r="H161" i="46"/>
  <c r="H219" i="46"/>
  <c r="H161" i="45"/>
  <c r="H219" i="45"/>
  <c r="H101" i="37"/>
  <c r="E309" i="45"/>
  <c r="E237" i="37"/>
  <c r="E309" i="46"/>
  <c r="E119" i="37"/>
  <c r="E152" i="45"/>
  <c r="E152" i="46"/>
  <c r="L177" i="37"/>
  <c r="L12" i="46"/>
  <c r="E60" i="46"/>
  <c r="E221" i="46"/>
  <c r="L196" i="46"/>
  <c r="E121" i="37"/>
  <c r="E154" i="45"/>
  <c r="E154" i="46"/>
  <c r="E239" i="37"/>
  <c r="E311" i="45"/>
  <c r="E311" i="46"/>
  <c r="L8" i="37"/>
  <c r="J108" i="37"/>
  <c r="H238" i="37"/>
  <c r="H274" i="37"/>
  <c r="H310" i="45"/>
  <c r="H359" i="45"/>
  <c r="H310" i="46"/>
  <c r="H359" i="46"/>
  <c r="I195" i="32"/>
  <c r="I192" i="32"/>
  <c r="G201" i="32"/>
  <c r="I201" i="32"/>
  <c r="I198" i="32"/>
  <c r="J317" i="37"/>
  <c r="E82" i="37"/>
  <c r="L82" i="37"/>
  <c r="M82" i="37"/>
  <c r="N82" i="37"/>
  <c r="U82" i="37"/>
  <c r="E112" i="45"/>
  <c r="L112" i="45"/>
  <c r="M112" i="45"/>
  <c r="N112" i="45"/>
  <c r="E112" i="46"/>
  <c r="L112" i="46"/>
  <c r="M112" i="46"/>
  <c r="N112" i="46"/>
  <c r="H248" i="37"/>
  <c r="H320" i="46"/>
  <c r="H320" i="45"/>
  <c r="N234" i="46"/>
  <c r="I87" i="45"/>
  <c r="I88" i="45"/>
  <c r="I90" i="45"/>
  <c r="I91" i="45"/>
  <c r="I89" i="45"/>
  <c r="H118" i="37"/>
  <c r="H158" i="37"/>
  <c r="H151" i="45"/>
  <c r="H209" i="45"/>
  <c r="H151" i="46"/>
  <c r="H209" i="46"/>
  <c r="H119" i="37"/>
  <c r="H159" i="37"/>
  <c r="H152" i="46"/>
  <c r="H210" i="46"/>
  <c r="H152" i="45"/>
  <c r="H210" i="45"/>
  <c r="I126" i="37"/>
  <c r="I166" i="37"/>
  <c r="I128" i="37"/>
  <c r="I168" i="37"/>
  <c r="I125" i="37"/>
  <c r="I164" i="37"/>
  <c r="I127" i="37"/>
  <c r="I167" i="37"/>
  <c r="L275" i="45"/>
  <c r="H103" i="37"/>
  <c r="L151" i="45"/>
  <c r="J141" i="45"/>
  <c r="J161" i="37"/>
  <c r="J162" i="37"/>
  <c r="J160" i="37"/>
  <c r="J158" i="37"/>
  <c r="J159" i="37"/>
  <c r="H13" i="37"/>
  <c r="H48" i="37"/>
  <c r="H12" i="46"/>
  <c r="H60" i="46"/>
  <c r="H12" i="45"/>
  <c r="H60" i="45"/>
  <c r="H12" i="51"/>
  <c r="H51" i="51"/>
  <c r="H21" i="37"/>
  <c r="H20" i="46"/>
  <c r="H20" i="45"/>
  <c r="E262" i="37"/>
  <c r="E347" i="45"/>
  <c r="L347" i="45"/>
  <c r="M347" i="45"/>
  <c r="N347" i="45"/>
  <c r="E347" i="46"/>
  <c r="L347" i="46"/>
  <c r="M347" i="46"/>
  <c r="N347" i="46"/>
  <c r="G69" i="35"/>
  <c r="E71" i="35"/>
  <c r="I69" i="35"/>
  <c r="K69" i="35"/>
  <c r="O69" i="35"/>
  <c r="M69" i="35"/>
  <c r="Q69" i="35"/>
  <c r="E317" i="37"/>
  <c r="L317" i="37"/>
  <c r="M317" i="37"/>
  <c r="N317" i="37"/>
  <c r="E190" i="37"/>
  <c r="L190" i="37"/>
  <c r="M190" i="37"/>
  <c r="N190" i="37"/>
  <c r="U190" i="37"/>
  <c r="E244" i="45"/>
  <c r="L244" i="45"/>
  <c r="M244" i="45"/>
  <c r="N244" i="45"/>
  <c r="E244" i="46"/>
  <c r="L244" i="46"/>
  <c r="M244" i="46"/>
  <c r="N244" i="46"/>
  <c r="S204" i="51"/>
  <c r="S247" i="51"/>
  <c r="N247" i="51"/>
  <c r="H8" i="37"/>
  <c r="H43" i="37"/>
  <c r="H7" i="45"/>
  <c r="H55" i="45"/>
  <c r="H7" i="46"/>
  <c r="H55" i="46"/>
  <c r="H7" i="51"/>
  <c r="H46" i="51"/>
  <c r="I83" i="37"/>
  <c r="I85" i="37"/>
  <c r="I84" i="37"/>
  <c r="I82" i="37"/>
  <c r="H330" i="37"/>
  <c r="E70" i="37"/>
  <c r="E83" i="45"/>
  <c r="E83" i="46"/>
  <c r="I192" i="46"/>
  <c r="I190" i="46"/>
  <c r="I193" i="46"/>
  <c r="I191" i="46"/>
  <c r="I194" i="46"/>
  <c r="H256" i="37"/>
  <c r="H341" i="46"/>
  <c r="H341" i="45"/>
  <c r="I136" i="45"/>
  <c r="L77" i="45"/>
  <c r="H183" i="37"/>
  <c r="H223" i="37"/>
  <c r="H236" i="45"/>
  <c r="H295" i="45"/>
  <c r="H236" i="46"/>
  <c r="H295" i="46"/>
  <c r="I154" i="45"/>
  <c r="I212" i="45"/>
  <c r="I155" i="45"/>
  <c r="I213" i="45"/>
  <c r="I209" i="45"/>
  <c r="I153" i="45"/>
  <c r="I211" i="45"/>
  <c r="I152" i="45"/>
  <c r="I210" i="45"/>
  <c r="I156" i="45"/>
  <c r="H72" i="37"/>
  <c r="H86" i="45"/>
  <c r="H86" i="46"/>
  <c r="H244" i="37"/>
  <c r="H316" i="46"/>
  <c r="H365" i="46"/>
  <c r="H316" i="45"/>
  <c r="E150" i="37"/>
  <c r="E201" i="45"/>
  <c r="E201" i="46"/>
  <c r="M275" i="45"/>
  <c r="L300" i="45"/>
  <c r="M124" i="37"/>
  <c r="L164" i="37"/>
  <c r="M296" i="37"/>
  <c r="E217" i="46"/>
  <c r="L159" i="46"/>
  <c r="L74" i="45"/>
  <c r="E364" i="46"/>
  <c r="L315" i="46"/>
  <c r="E296" i="46"/>
  <c r="L237" i="46"/>
  <c r="I238" i="45"/>
  <c r="I296" i="45"/>
  <c r="L187" i="37"/>
  <c r="M72" i="45"/>
  <c r="M151" i="46"/>
  <c r="I139" i="45"/>
  <c r="I107" i="37"/>
  <c r="L11" i="37"/>
  <c r="L244" i="37"/>
  <c r="L179" i="37"/>
  <c r="L160" i="45"/>
  <c r="L68" i="37"/>
  <c r="E108" i="37"/>
  <c r="E139" i="46"/>
  <c r="L80" i="46"/>
  <c r="J186" i="37"/>
  <c r="J239" i="45"/>
  <c r="J298" i="45"/>
  <c r="J239" i="46"/>
  <c r="J298" i="46"/>
  <c r="L233" i="46"/>
  <c r="I214" i="46"/>
  <c r="L156" i="46"/>
  <c r="L75" i="45"/>
  <c r="L295" i="46"/>
  <c r="M236" i="46"/>
  <c r="H106" i="37"/>
  <c r="M77" i="46"/>
  <c r="E256" i="37"/>
  <c r="L256" i="37"/>
  <c r="M256" i="37"/>
  <c r="N256" i="37"/>
  <c r="U256" i="37"/>
  <c r="E341" i="45"/>
  <c r="L341" i="45"/>
  <c r="M341" i="45"/>
  <c r="N341" i="45"/>
  <c r="E341" i="46"/>
  <c r="L341" i="46"/>
  <c r="M341" i="46"/>
  <c r="N341" i="46"/>
  <c r="M7" i="46"/>
  <c r="L15" i="51"/>
  <c r="L238" i="45"/>
  <c r="H280" i="37"/>
  <c r="I214" i="45"/>
  <c r="L156" i="45"/>
  <c r="L83" i="45"/>
  <c r="E92" i="37"/>
  <c r="E123" i="45"/>
  <c r="E123" i="46"/>
  <c r="L69" i="37"/>
  <c r="L138" i="45"/>
  <c r="M79" i="45"/>
  <c r="N294" i="37"/>
  <c r="E132" i="37"/>
  <c r="L132" i="37"/>
  <c r="M132" i="37"/>
  <c r="N132" i="37"/>
  <c r="E167" i="45"/>
  <c r="L167" i="45"/>
  <c r="M167" i="45"/>
  <c r="N167" i="45"/>
  <c r="E167" i="46"/>
  <c r="L167" i="46"/>
  <c r="M167" i="46"/>
  <c r="N167" i="46"/>
  <c r="M229" i="45"/>
  <c r="E295" i="45"/>
  <c r="L62" i="37"/>
  <c r="L315" i="45"/>
  <c r="E364" i="45"/>
  <c r="E143" i="46"/>
  <c r="E49" i="51"/>
  <c r="L10" i="51"/>
  <c r="L8" i="46"/>
  <c r="H220" i="46"/>
  <c r="E333" i="37"/>
  <c r="J192" i="37"/>
  <c r="J246" i="45"/>
  <c r="J246" i="46"/>
  <c r="E139" i="45"/>
  <c r="L80" i="45"/>
  <c r="G48" i="32"/>
  <c r="M41" i="32"/>
  <c r="M37" i="32"/>
  <c r="I41" i="32"/>
  <c r="I37" i="32"/>
  <c r="O41" i="32"/>
  <c r="O37" i="32"/>
  <c r="K41" i="32"/>
  <c r="K37" i="32"/>
  <c r="L181" i="37"/>
  <c r="H63" i="46"/>
  <c r="L46" i="51"/>
  <c r="M7" i="51"/>
  <c r="L75" i="46"/>
  <c r="M13" i="37"/>
  <c r="L48" i="37"/>
  <c r="L230" i="46"/>
  <c r="L161" i="45"/>
  <c r="M308" i="46"/>
  <c r="E138" i="46"/>
  <c r="L14" i="46"/>
  <c r="M72" i="46"/>
  <c r="E83" i="37"/>
  <c r="L83" i="37"/>
  <c r="M83" i="37"/>
  <c r="N83" i="37"/>
  <c r="U83" i="37"/>
  <c r="E113" i="46"/>
  <c r="L113" i="46"/>
  <c r="M113" i="46"/>
  <c r="N113" i="46"/>
  <c r="E113" i="45"/>
  <c r="L113" i="45"/>
  <c r="M113" i="45"/>
  <c r="N113" i="45"/>
  <c r="E28" i="37"/>
  <c r="L28" i="37"/>
  <c r="M28" i="37"/>
  <c r="N28" i="37"/>
  <c r="U28" i="37"/>
  <c r="E39" i="46"/>
  <c r="L39" i="46"/>
  <c r="M39" i="46"/>
  <c r="N39" i="46"/>
  <c r="E39" i="45"/>
  <c r="L39" i="45"/>
  <c r="M39" i="45"/>
  <c r="N39" i="45"/>
  <c r="L15" i="46"/>
  <c r="L238" i="46"/>
  <c r="L14" i="37"/>
  <c r="E49" i="37"/>
  <c r="M77" i="45"/>
  <c r="L70" i="37"/>
  <c r="E209" i="37"/>
  <c r="E280" i="46"/>
  <c r="E280" i="45"/>
  <c r="G71" i="35"/>
  <c r="E73" i="35"/>
  <c r="I71" i="35"/>
  <c r="Q71" i="35"/>
  <c r="E319" i="37"/>
  <c r="L319" i="37"/>
  <c r="M319" i="37"/>
  <c r="N319" i="37"/>
  <c r="U319" i="37"/>
  <c r="M71" i="35"/>
  <c r="O71" i="35"/>
  <c r="K71" i="35"/>
  <c r="L262" i="37"/>
  <c r="E330" i="37"/>
  <c r="J264" i="37"/>
  <c r="J349" i="46"/>
  <c r="J353" i="46"/>
  <c r="J349" i="45"/>
  <c r="J351" i="46"/>
  <c r="J351" i="45"/>
  <c r="J353" i="45"/>
  <c r="L311" i="45"/>
  <c r="L121" i="37"/>
  <c r="M12" i="46"/>
  <c r="L60" i="46"/>
  <c r="L152" i="45"/>
  <c r="L309" i="45"/>
  <c r="H167" i="37"/>
  <c r="M183" i="37"/>
  <c r="L223" i="37"/>
  <c r="L239" i="45"/>
  <c r="L9" i="45"/>
  <c r="E138" i="45"/>
  <c r="E362" i="46"/>
  <c r="L125" i="37"/>
  <c r="E165" i="37"/>
  <c r="J167" i="37"/>
  <c r="H362" i="46"/>
  <c r="E191" i="37"/>
  <c r="L191" i="37"/>
  <c r="M191" i="37"/>
  <c r="N191" i="37"/>
  <c r="E245" i="46"/>
  <c r="L245" i="46"/>
  <c r="M245" i="46"/>
  <c r="N245" i="46"/>
  <c r="E245" i="45"/>
  <c r="L245" i="45"/>
  <c r="M245" i="45"/>
  <c r="N245" i="45"/>
  <c r="E248" i="37"/>
  <c r="L248" i="37"/>
  <c r="M248" i="37"/>
  <c r="N248" i="37"/>
  <c r="U248" i="37"/>
  <c r="E320" i="45"/>
  <c r="L320" i="45"/>
  <c r="M320" i="45"/>
  <c r="N320" i="45"/>
  <c r="E320" i="46"/>
  <c r="L320" i="46"/>
  <c r="M320" i="46"/>
  <c r="N320" i="46"/>
  <c r="I221" i="45"/>
  <c r="L232" i="45"/>
  <c r="I363" i="46"/>
  <c r="I315" i="46"/>
  <c r="L73" i="46"/>
  <c r="H108" i="37"/>
  <c r="E216" i="46"/>
  <c r="L243" i="37"/>
  <c r="E277" i="37"/>
  <c r="L184" i="37"/>
  <c r="E224" i="37"/>
  <c r="L76" i="45"/>
  <c r="M118" i="46"/>
  <c r="L143" i="46"/>
  <c r="H225" i="37"/>
  <c r="L240" i="46"/>
  <c r="L162" i="45"/>
  <c r="E75" i="37"/>
  <c r="L75" i="37"/>
  <c r="M75" i="37"/>
  <c r="N75" i="37"/>
  <c r="U75" i="37"/>
  <c r="E89" i="45"/>
  <c r="L89" i="45"/>
  <c r="M89" i="45"/>
  <c r="N89" i="45"/>
  <c r="E89" i="46"/>
  <c r="L89" i="46"/>
  <c r="M89" i="46"/>
  <c r="N89" i="46"/>
  <c r="H62" i="46"/>
  <c r="I139" i="46"/>
  <c r="I109" i="37"/>
  <c r="L10" i="45"/>
  <c r="M12" i="45"/>
  <c r="L60" i="45"/>
  <c r="L8" i="51"/>
  <c r="E47" i="51"/>
  <c r="H220" i="45"/>
  <c r="H164" i="37"/>
  <c r="L316" i="45"/>
  <c r="M297" i="37"/>
  <c r="L333" i="37"/>
  <c r="H141" i="46"/>
  <c r="L231" i="46"/>
  <c r="L153" i="45"/>
  <c r="M66" i="37"/>
  <c r="L106" i="37"/>
  <c r="L81" i="46"/>
  <c r="K91" i="32"/>
  <c r="K87" i="32"/>
  <c r="I91" i="32"/>
  <c r="I87" i="32"/>
  <c r="G98" i="32"/>
  <c r="M91" i="32"/>
  <c r="M87" i="32"/>
  <c r="O91" i="32"/>
  <c r="O87" i="32"/>
  <c r="M313" i="45"/>
  <c r="L362" i="45"/>
  <c r="L67" i="37"/>
  <c r="E107" i="37"/>
  <c r="J216" i="45"/>
  <c r="J184" i="37"/>
  <c r="J224" i="37"/>
  <c r="J237" i="45"/>
  <c r="J237" i="46"/>
  <c r="J296" i="46"/>
  <c r="J187" i="37"/>
  <c r="J227" i="37"/>
  <c r="J240" i="45"/>
  <c r="J299" i="45"/>
  <c r="J240" i="46"/>
  <c r="J299" i="46"/>
  <c r="E300" i="46"/>
  <c r="I221" i="46"/>
  <c r="L63" i="37"/>
  <c r="L230" i="45"/>
  <c r="H217" i="46"/>
  <c r="L161" i="46"/>
  <c r="H138" i="46"/>
  <c r="H139" i="45"/>
  <c r="L310" i="46"/>
  <c r="L138" i="46"/>
  <c r="M79" i="46"/>
  <c r="L15" i="37"/>
  <c r="E363" i="45"/>
  <c r="L314" i="45"/>
  <c r="L155" i="46"/>
  <c r="I185" i="37"/>
  <c r="I224" i="37"/>
  <c r="H298" i="45"/>
  <c r="H299" i="45"/>
  <c r="I297" i="37"/>
  <c r="I333" i="37"/>
  <c r="I332" i="37"/>
  <c r="E141" i="37"/>
  <c r="L141" i="37"/>
  <c r="M141" i="37"/>
  <c r="N141" i="37"/>
  <c r="U141" i="37"/>
  <c r="E191" i="46"/>
  <c r="L191" i="46"/>
  <c r="M191" i="46"/>
  <c r="N191" i="46"/>
  <c r="E191" i="45"/>
  <c r="L191" i="45"/>
  <c r="M191" i="45"/>
  <c r="N191" i="45"/>
  <c r="M12" i="51"/>
  <c r="L51" i="51"/>
  <c r="L16" i="37"/>
  <c r="L185" i="37"/>
  <c r="E61" i="45"/>
  <c r="L13" i="45"/>
  <c r="J217" i="46"/>
  <c r="L83" i="46"/>
  <c r="M8" i="37"/>
  <c r="L154" i="46"/>
  <c r="M177" i="37"/>
  <c r="L309" i="46"/>
  <c r="L82" i="45"/>
  <c r="L186" i="37"/>
  <c r="L10" i="37"/>
  <c r="N289" i="37"/>
  <c r="I238" i="46"/>
  <c r="I296" i="46"/>
  <c r="E74" i="37"/>
  <c r="L74" i="37"/>
  <c r="M74" i="37"/>
  <c r="N74" i="37"/>
  <c r="E88" i="45"/>
  <c r="L88" i="45"/>
  <c r="M88" i="45"/>
  <c r="N88" i="45"/>
  <c r="E88" i="46"/>
  <c r="L88" i="46"/>
  <c r="M88" i="46"/>
  <c r="N88" i="46"/>
  <c r="G44" i="35"/>
  <c r="K44" i="35"/>
  <c r="M44" i="35"/>
  <c r="I44" i="35"/>
  <c r="L61" i="37"/>
  <c r="M236" i="45"/>
  <c r="L295" i="45"/>
  <c r="L64" i="37"/>
  <c r="E192" i="37"/>
  <c r="L192" i="37"/>
  <c r="M192" i="37"/>
  <c r="N192" i="37"/>
  <c r="U192" i="37"/>
  <c r="E246" i="46"/>
  <c r="L246" i="46"/>
  <c r="M246" i="46"/>
  <c r="N246" i="46"/>
  <c r="E246" i="45"/>
  <c r="L246" i="45"/>
  <c r="M246" i="45"/>
  <c r="N246" i="45"/>
  <c r="E133" i="37"/>
  <c r="L133" i="37"/>
  <c r="M133" i="37"/>
  <c r="N133" i="37"/>
  <c r="E168" i="46"/>
  <c r="L168" i="46"/>
  <c r="M168" i="46"/>
  <c r="N168" i="46"/>
  <c r="E168" i="45"/>
  <c r="L168" i="45"/>
  <c r="M168" i="45"/>
  <c r="N168" i="45"/>
  <c r="M7" i="45"/>
  <c r="H25" i="52"/>
  <c r="H24" i="52"/>
  <c r="K295" i="37"/>
  <c r="K331" i="37"/>
  <c r="J25" i="52"/>
  <c r="J24" i="52"/>
  <c r="K296" i="37"/>
  <c r="K332" i="37"/>
  <c r="L25" i="52"/>
  <c r="L24" i="52"/>
  <c r="K297" i="37"/>
  <c r="K333" i="37"/>
  <c r="F25" i="52"/>
  <c r="F24" i="52"/>
  <c r="K294" i="37"/>
  <c r="K330" i="37"/>
  <c r="M290" i="37"/>
  <c r="L9" i="37"/>
  <c r="J191" i="37"/>
  <c r="J245" i="45"/>
  <c r="J245" i="46"/>
  <c r="H364" i="45"/>
  <c r="H296" i="45"/>
  <c r="I218" i="46"/>
  <c r="M229" i="46"/>
  <c r="L238" i="37"/>
  <c r="L14" i="51"/>
  <c r="L242" i="37"/>
  <c r="E278" i="37"/>
  <c r="L122" i="37"/>
  <c r="H226" i="37"/>
  <c r="L13" i="51"/>
  <c r="E52" i="51"/>
  <c r="M151" i="45"/>
  <c r="L311" i="46"/>
  <c r="L154" i="45"/>
  <c r="L152" i="46"/>
  <c r="L237" i="37"/>
  <c r="L9" i="46"/>
  <c r="E217" i="45"/>
  <c r="L159" i="45"/>
  <c r="M295" i="37"/>
  <c r="L232" i="46"/>
  <c r="H218" i="46"/>
  <c r="L237" i="45"/>
  <c r="E296" i="45"/>
  <c r="H297" i="45"/>
  <c r="L162" i="46"/>
  <c r="E249" i="37"/>
  <c r="L249" i="37"/>
  <c r="M249" i="37"/>
  <c r="N249" i="37"/>
  <c r="E321" i="45"/>
  <c r="L321" i="45"/>
  <c r="M321" i="45"/>
  <c r="N321" i="45"/>
  <c r="E321" i="46"/>
  <c r="L321" i="46"/>
  <c r="M321" i="46"/>
  <c r="N321" i="46"/>
  <c r="I141" i="45"/>
  <c r="I140" i="46"/>
  <c r="M236" i="37"/>
  <c r="L153" i="46"/>
  <c r="L126" i="37"/>
  <c r="J189" i="37"/>
  <c r="J243" i="45"/>
  <c r="J243" i="46"/>
  <c r="J183" i="37"/>
  <c r="J236" i="46"/>
  <c r="J295" i="46"/>
  <c r="J236" i="45"/>
  <c r="J295" i="45"/>
  <c r="H279" i="37"/>
  <c r="H365" i="45"/>
  <c r="E264" i="37"/>
  <c r="E349" i="45"/>
  <c r="E349" i="46"/>
  <c r="E36" i="37"/>
  <c r="E47" i="45"/>
  <c r="E47" i="46"/>
  <c r="E300" i="45"/>
  <c r="I165" i="37"/>
  <c r="L239" i="37"/>
  <c r="M196" i="46"/>
  <c r="L221" i="46"/>
  <c r="L119" i="37"/>
  <c r="L82" i="46"/>
  <c r="L239" i="46"/>
  <c r="M308" i="45"/>
  <c r="E48" i="51"/>
  <c r="L9" i="51"/>
  <c r="E164" i="37"/>
  <c r="L362" i="46"/>
  <c r="M313" i="46"/>
  <c r="M118" i="45"/>
  <c r="L143" i="45"/>
  <c r="H362" i="45"/>
  <c r="E20" i="37"/>
  <c r="L20" i="37"/>
  <c r="M20" i="37"/>
  <c r="N20" i="37"/>
  <c r="U20" i="37"/>
  <c r="E19" i="51"/>
  <c r="L19" i="51"/>
  <c r="M19" i="51"/>
  <c r="N19" i="51"/>
  <c r="E19" i="45"/>
  <c r="L19" i="45"/>
  <c r="M19" i="45"/>
  <c r="N19" i="45"/>
  <c r="E19" i="46"/>
  <c r="L19" i="46"/>
  <c r="M19" i="46"/>
  <c r="N19" i="46"/>
  <c r="H49" i="37"/>
  <c r="I220" i="45"/>
  <c r="L180" i="37"/>
  <c r="L73" i="45"/>
  <c r="H166" i="37"/>
  <c r="L74" i="46"/>
  <c r="M158" i="46"/>
  <c r="L216" i="46"/>
  <c r="M241" i="37"/>
  <c r="L277" i="37"/>
  <c r="L76" i="46"/>
  <c r="H363" i="45"/>
  <c r="L240" i="45"/>
  <c r="L128" i="37"/>
  <c r="E21" i="37"/>
  <c r="L21" i="37"/>
  <c r="M21" i="37"/>
  <c r="N21" i="37"/>
  <c r="U21" i="37"/>
  <c r="E20" i="51"/>
  <c r="L20" i="51"/>
  <c r="M20" i="51"/>
  <c r="N20" i="51"/>
  <c r="E20" i="46"/>
  <c r="L20" i="46"/>
  <c r="M20" i="46"/>
  <c r="N20" i="46"/>
  <c r="E20" i="45"/>
  <c r="L20" i="45"/>
  <c r="M20" i="45"/>
  <c r="N20" i="45"/>
  <c r="I142" i="45"/>
  <c r="I141" i="46"/>
  <c r="I140" i="45"/>
  <c r="I108" i="37"/>
  <c r="L10" i="46"/>
  <c r="M196" i="45"/>
  <c r="L221" i="45"/>
  <c r="I363" i="45"/>
  <c r="I315" i="45"/>
  <c r="L8" i="45"/>
  <c r="L316" i="46"/>
  <c r="H109" i="37"/>
  <c r="L231" i="45"/>
  <c r="L120" i="37"/>
  <c r="E218" i="46"/>
  <c r="L160" i="46"/>
  <c r="L81" i="45"/>
  <c r="J190" i="37"/>
  <c r="J244" i="45"/>
  <c r="J244" i="46"/>
  <c r="E362" i="45"/>
  <c r="J216" i="46"/>
  <c r="J185" i="37"/>
  <c r="J225" i="37"/>
  <c r="J238" i="46"/>
  <c r="J238" i="45"/>
  <c r="J297" i="45"/>
  <c r="L233" i="45"/>
  <c r="H364" i="46"/>
  <c r="H296" i="46"/>
  <c r="M60" i="37"/>
  <c r="H63" i="45"/>
  <c r="M275" i="46"/>
  <c r="L300" i="46"/>
  <c r="I219" i="46"/>
  <c r="M292" i="37"/>
  <c r="I243" i="37"/>
  <c r="I278" i="37"/>
  <c r="L178" i="37"/>
  <c r="H165" i="37"/>
  <c r="E295" i="46"/>
  <c r="L127" i="37"/>
  <c r="H138" i="45"/>
  <c r="H107" i="37"/>
  <c r="L310" i="45"/>
  <c r="M158" i="45"/>
  <c r="L216" i="45"/>
  <c r="L14" i="45"/>
  <c r="E363" i="46"/>
  <c r="L314" i="46"/>
  <c r="L155" i="45"/>
  <c r="H298" i="46"/>
  <c r="H227" i="37"/>
  <c r="M118" i="37"/>
  <c r="E200" i="37"/>
  <c r="L200" i="37"/>
  <c r="M200" i="37"/>
  <c r="N200" i="37"/>
  <c r="U200" i="37"/>
  <c r="E270" i="45"/>
  <c r="L270" i="45"/>
  <c r="M270" i="45"/>
  <c r="N270" i="45"/>
  <c r="E270" i="46"/>
  <c r="L270" i="46"/>
  <c r="M270" i="46"/>
  <c r="N270" i="46"/>
  <c r="Q60" i="35"/>
  <c r="E310" i="37"/>
  <c r="L310" i="37"/>
  <c r="M310" i="37"/>
  <c r="N310" i="37"/>
  <c r="U310" i="37"/>
  <c r="E62" i="35"/>
  <c r="M60" i="35"/>
  <c r="I60" i="35"/>
  <c r="G60" i="35"/>
  <c r="O60" i="35"/>
  <c r="K60" i="35"/>
  <c r="L15" i="45"/>
  <c r="M291" i="37"/>
  <c r="L13" i="46"/>
  <c r="E61" i="46"/>
  <c r="J217" i="45"/>
  <c r="E142" i="37"/>
  <c r="L142" i="37"/>
  <c r="M142" i="37"/>
  <c r="N142" i="37"/>
  <c r="U142" i="37"/>
  <c r="E192" i="46"/>
  <c r="L192" i="46"/>
  <c r="M192" i="46"/>
  <c r="N192" i="46"/>
  <c r="E192" i="45"/>
  <c r="L363" i="46"/>
  <c r="M314" i="46"/>
  <c r="M233" i="45"/>
  <c r="M160" i="46"/>
  <c r="L218" i="46"/>
  <c r="M231" i="45"/>
  <c r="M10" i="46"/>
  <c r="M240" i="45"/>
  <c r="N118" i="45"/>
  <c r="N143" i="45"/>
  <c r="M143" i="45"/>
  <c r="M239" i="46"/>
  <c r="L47" i="46"/>
  <c r="M153" i="46"/>
  <c r="M232" i="46"/>
  <c r="L217" i="45"/>
  <c r="M159" i="45"/>
  <c r="M154" i="45"/>
  <c r="M242" i="37"/>
  <c r="L278" i="37"/>
  <c r="M238" i="37"/>
  <c r="M82" i="45"/>
  <c r="M185" i="37"/>
  <c r="L225" i="37"/>
  <c r="M314" i="45"/>
  <c r="L363" i="45"/>
  <c r="I98" i="32"/>
  <c r="I94" i="32"/>
  <c r="J299" i="37"/>
  <c r="M98" i="32"/>
  <c r="M94" i="32"/>
  <c r="J301" i="37"/>
  <c r="O98" i="32"/>
  <c r="O94" i="32"/>
  <c r="J302" i="37"/>
  <c r="K98" i="32"/>
  <c r="K94" i="32"/>
  <c r="J300" i="37"/>
  <c r="N118" i="46"/>
  <c r="N143" i="46"/>
  <c r="M143" i="46"/>
  <c r="M184" i="37"/>
  <c r="L224" i="37"/>
  <c r="M73" i="46"/>
  <c r="M239" i="45"/>
  <c r="M121" i="37"/>
  <c r="J358" i="46"/>
  <c r="J359" i="46"/>
  <c r="J357" i="46"/>
  <c r="J360" i="46"/>
  <c r="M262" i="37"/>
  <c r="L330" i="37"/>
  <c r="L280" i="45"/>
  <c r="M70" i="37"/>
  <c r="M14" i="37"/>
  <c r="L49" i="37"/>
  <c r="N72" i="46"/>
  <c r="M75" i="46"/>
  <c r="J244" i="37"/>
  <c r="J316" i="46"/>
  <c r="J365" i="46"/>
  <c r="J316" i="45"/>
  <c r="M80" i="45"/>
  <c r="L139" i="45"/>
  <c r="M8" i="46"/>
  <c r="N79" i="45"/>
  <c r="M138" i="45"/>
  <c r="L123" i="46"/>
  <c r="M238" i="45"/>
  <c r="L297" i="45"/>
  <c r="N236" i="46"/>
  <c r="M295" i="46"/>
  <c r="M156" i="46"/>
  <c r="E218" i="45"/>
  <c r="M244" i="37"/>
  <c r="N72" i="45"/>
  <c r="I239" i="45"/>
  <c r="I298" i="45"/>
  <c r="I297" i="45"/>
  <c r="N124" i="37"/>
  <c r="M164" i="37"/>
  <c r="L201" i="45"/>
  <c r="N291" i="37"/>
  <c r="E257" i="37"/>
  <c r="L257" i="37"/>
  <c r="M257" i="37"/>
  <c r="N257" i="37"/>
  <c r="U257" i="37"/>
  <c r="E342" i="45"/>
  <c r="L342" i="45"/>
  <c r="M342" i="45"/>
  <c r="N342" i="45"/>
  <c r="E342" i="46"/>
  <c r="K62" i="35"/>
  <c r="I62" i="35"/>
  <c r="M62" i="35"/>
  <c r="N158" i="45"/>
  <c r="M216" i="45"/>
  <c r="I244" i="37"/>
  <c r="I280" i="37"/>
  <c r="I279" i="37"/>
  <c r="N60" i="37"/>
  <c r="M8" i="45"/>
  <c r="N241" i="37"/>
  <c r="M277" i="37"/>
  <c r="M73" i="45"/>
  <c r="M362" i="46"/>
  <c r="N313" i="46"/>
  <c r="N362" i="46"/>
  <c r="M119" i="37"/>
  <c r="M239" i="37"/>
  <c r="L47" i="45"/>
  <c r="L264" i="37"/>
  <c r="L296" i="45"/>
  <c r="M237" i="45"/>
  <c r="M237" i="37"/>
  <c r="N151" i="45"/>
  <c r="M14" i="51"/>
  <c r="L53" i="51"/>
  <c r="N236" i="45"/>
  <c r="M295" i="45"/>
  <c r="E193" i="37"/>
  <c r="E247" i="46"/>
  <c r="E247" i="45"/>
  <c r="M10" i="37"/>
  <c r="N177" i="37"/>
  <c r="N8" i="37"/>
  <c r="M13" i="45"/>
  <c r="L61" i="45"/>
  <c r="I186" i="37"/>
  <c r="I226" i="37"/>
  <c r="I225" i="37"/>
  <c r="M230" i="45"/>
  <c r="M362" i="45"/>
  <c r="N313" i="45"/>
  <c r="N362" i="45"/>
  <c r="J246" i="37"/>
  <c r="J318" i="45"/>
  <c r="J318" i="46"/>
  <c r="M231" i="46"/>
  <c r="N297" i="37"/>
  <c r="M333" i="37"/>
  <c r="N12" i="45"/>
  <c r="N60" i="45"/>
  <c r="M60" i="45"/>
  <c r="M240" i="46"/>
  <c r="M76" i="45"/>
  <c r="I364" i="46"/>
  <c r="I316" i="46"/>
  <c r="I365" i="46"/>
  <c r="M309" i="45"/>
  <c r="J272" i="37"/>
  <c r="J326" i="37"/>
  <c r="J275" i="37"/>
  <c r="J328" i="37"/>
  <c r="J327" i="37"/>
  <c r="J273" i="37"/>
  <c r="J274" i="37"/>
  <c r="J325" i="37"/>
  <c r="E152" i="37"/>
  <c r="E203" i="45"/>
  <c r="E203" i="46"/>
  <c r="E94" i="37"/>
  <c r="E125" i="46"/>
  <c r="L125" i="46"/>
  <c r="M125" i="46"/>
  <c r="N125" i="46"/>
  <c r="E125" i="45"/>
  <c r="L280" i="46"/>
  <c r="M238" i="46"/>
  <c r="L297" i="46"/>
  <c r="M14" i="46"/>
  <c r="L62" i="46"/>
  <c r="N308" i="46"/>
  <c r="M230" i="46"/>
  <c r="J241" i="37"/>
  <c r="J277" i="37"/>
  <c r="J313" i="46"/>
  <c r="J313" i="45"/>
  <c r="J362" i="45"/>
  <c r="L49" i="51"/>
  <c r="M10" i="51"/>
  <c r="M315" i="45"/>
  <c r="L364" i="45"/>
  <c r="L123" i="45"/>
  <c r="M156" i="45"/>
  <c r="E297" i="45"/>
  <c r="N7" i="46"/>
  <c r="N151" i="46"/>
  <c r="L296" i="46"/>
  <c r="M237" i="46"/>
  <c r="L332" i="37"/>
  <c r="L150" i="37"/>
  <c r="L63" i="45"/>
  <c r="M15" i="45"/>
  <c r="E29" i="37"/>
  <c r="L29" i="37"/>
  <c r="M29" i="37"/>
  <c r="N29" i="37"/>
  <c r="U29" i="37"/>
  <c r="E40" i="45"/>
  <c r="L40" i="45"/>
  <c r="M40" i="45"/>
  <c r="N40" i="45"/>
  <c r="E40" i="46"/>
  <c r="L40" i="46"/>
  <c r="M40" i="46"/>
  <c r="N40" i="46"/>
  <c r="E62" i="45"/>
  <c r="E167" i="37"/>
  <c r="N275" i="46"/>
  <c r="N300" i="46"/>
  <c r="M300" i="46"/>
  <c r="E140" i="45"/>
  <c r="N196" i="45"/>
  <c r="N221" i="45"/>
  <c r="M221" i="45"/>
  <c r="M128" i="37"/>
  <c r="M74" i="46"/>
  <c r="L36" i="37"/>
  <c r="J223" i="37"/>
  <c r="E166" i="37"/>
  <c r="M162" i="46"/>
  <c r="L331" i="37"/>
  <c r="M311" i="46"/>
  <c r="M122" i="37"/>
  <c r="E53" i="51"/>
  <c r="N229" i="46"/>
  <c r="M9" i="37"/>
  <c r="N7" i="45"/>
  <c r="M64" i="37"/>
  <c r="E134" i="37"/>
  <c r="E169" i="46"/>
  <c r="E169" i="45"/>
  <c r="M309" i="46"/>
  <c r="M83" i="46"/>
  <c r="M16" i="37"/>
  <c r="L51" i="37"/>
  <c r="E50" i="37"/>
  <c r="E219" i="46"/>
  <c r="J249" i="37"/>
  <c r="J321" i="46"/>
  <c r="J321" i="45"/>
  <c r="J247" i="37"/>
  <c r="J319" i="45"/>
  <c r="J319" i="46"/>
  <c r="N66" i="37"/>
  <c r="M106" i="37"/>
  <c r="M316" i="45"/>
  <c r="E279" i="37"/>
  <c r="M9" i="45"/>
  <c r="N12" i="46"/>
  <c r="N60" i="46"/>
  <c r="M60" i="46"/>
  <c r="M311" i="45"/>
  <c r="J359" i="45"/>
  <c r="J358" i="45"/>
  <c r="J360" i="45"/>
  <c r="J357" i="45"/>
  <c r="E266" i="37"/>
  <c r="E351" i="46"/>
  <c r="E351" i="45"/>
  <c r="L351" i="45"/>
  <c r="M351" i="45"/>
  <c r="N351" i="45"/>
  <c r="O73" i="35"/>
  <c r="I73" i="35"/>
  <c r="M73" i="35"/>
  <c r="G73" i="35"/>
  <c r="K73" i="35"/>
  <c r="Q73" i="35"/>
  <c r="E321" i="37"/>
  <c r="L321" i="37"/>
  <c r="M321" i="37"/>
  <c r="N321" i="37"/>
  <c r="U321" i="37"/>
  <c r="L209" i="37"/>
  <c r="N77" i="45"/>
  <c r="E297" i="46"/>
  <c r="E62" i="46"/>
  <c r="N7" i="51"/>
  <c r="N46" i="51"/>
  <c r="M46" i="51"/>
  <c r="M181" i="37"/>
  <c r="J243" i="37"/>
  <c r="J279" i="37"/>
  <c r="J315" i="46"/>
  <c r="J315" i="45"/>
  <c r="N229" i="45"/>
  <c r="E109" i="37"/>
  <c r="L92" i="37"/>
  <c r="M15" i="51"/>
  <c r="L54" i="51"/>
  <c r="N77" i="46"/>
  <c r="J226" i="37"/>
  <c r="M68" i="37"/>
  <c r="L108" i="37"/>
  <c r="M179" i="37"/>
  <c r="M11" i="37"/>
  <c r="M187" i="37"/>
  <c r="M74" i="45"/>
  <c r="N296" i="37"/>
  <c r="M332" i="37"/>
  <c r="M300" i="45"/>
  <c r="N275" i="45"/>
  <c r="N300" i="45"/>
  <c r="M13" i="46"/>
  <c r="L61" i="46"/>
  <c r="E63" i="45"/>
  <c r="E84" i="37"/>
  <c r="L84" i="37"/>
  <c r="M84" i="37"/>
  <c r="N84" i="37"/>
  <c r="E114" i="45"/>
  <c r="L114" i="45"/>
  <c r="M114" i="45"/>
  <c r="N114" i="45"/>
  <c r="E114" i="46"/>
  <c r="N118" i="37"/>
  <c r="M155" i="45"/>
  <c r="M14" i="45"/>
  <c r="L62" i="45"/>
  <c r="M310" i="45"/>
  <c r="M127" i="37"/>
  <c r="L167" i="37"/>
  <c r="M178" i="37"/>
  <c r="N292" i="37"/>
  <c r="J297" i="46"/>
  <c r="M81" i="45"/>
  <c r="L140" i="45"/>
  <c r="M120" i="37"/>
  <c r="M316" i="46"/>
  <c r="I316" i="45"/>
  <c r="I365" i="45"/>
  <c r="I364" i="45"/>
  <c r="M76" i="46"/>
  <c r="N158" i="46"/>
  <c r="M216" i="46"/>
  <c r="M180" i="37"/>
  <c r="N308" i="45"/>
  <c r="M82" i="46"/>
  <c r="N196" i="46"/>
  <c r="N221" i="46"/>
  <c r="M221" i="46"/>
  <c r="L349" i="46"/>
  <c r="M126" i="37"/>
  <c r="L166" i="37"/>
  <c r="N236" i="37"/>
  <c r="N295" i="37"/>
  <c r="M331" i="37"/>
  <c r="M9" i="46"/>
  <c r="M152" i="46"/>
  <c r="M13" i="51"/>
  <c r="L52" i="51"/>
  <c r="M61" i="37"/>
  <c r="M186" i="37"/>
  <c r="M154" i="46"/>
  <c r="E225" i="37"/>
  <c r="M155" i="46"/>
  <c r="M15" i="37"/>
  <c r="L50" i="37"/>
  <c r="M310" i="46"/>
  <c r="L219" i="46"/>
  <c r="M161" i="46"/>
  <c r="J296" i="45"/>
  <c r="M67" i="37"/>
  <c r="L107" i="37"/>
  <c r="J248" i="37"/>
  <c r="J320" i="45"/>
  <c r="J320" i="46"/>
  <c r="M81" i="46"/>
  <c r="L140" i="46"/>
  <c r="M153" i="45"/>
  <c r="L47" i="51"/>
  <c r="M8" i="51"/>
  <c r="M10" i="45"/>
  <c r="M162" i="45"/>
  <c r="M243" i="37"/>
  <c r="L279" i="37"/>
  <c r="M232" i="45"/>
  <c r="M125" i="37"/>
  <c r="L165" i="37"/>
  <c r="N183" i="37"/>
  <c r="M223" i="37"/>
  <c r="M152" i="45"/>
  <c r="E211" i="37"/>
  <c r="E282" i="46"/>
  <c r="E282" i="45"/>
  <c r="E38" i="37"/>
  <c r="E49" i="45"/>
  <c r="L49" i="45"/>
  <c r="M49" i="45"/>
  <c r="N49" i="45"/>
  <c r="E49" i="46"/>
  <c r="L49" i="46"/>
  <c r="M49" i="46"/>
  <c r="N49" i="46"/>
  <c r="E63" i="46"/>
  <c r="M161" i="45"/>
  <c r="N13" i="37"/>
  <c r="M48" i="37"/>
  <c r="J242" i="37"/>
  <c r="J278" i="37"/>
  <c r="J314" i="46"/>
  <c r="J363" i="46"/>
  <c r="J314" i="45"/>
  <c r="K48" i="32"/>
  <c r="K44" i="32"/>
  <c r="J295" i="37"/>
  <c r="J331" i="37"/>
  <c r="O48" i="32"/>
  <c r="O44" i="32"/>
  <c r="J297" i="37"/>
  <c r="J333" i="37"/>
  <c r="I48" i="32"/>
  <c r="I44" i="32"/>
  <c r="J294" i="37"/>
  <c r="M48" i="32"/>
  <c r="M44" i="32"/>
  <c r="J296" i="37"/>
  <c r="J332" i="37"/>
  <c r="M62" i="37"/>
  <c r="U294" i="37"/>
  <c r="M69" i="37"/>
  <c r="M83" i="45"/>
  <c r="E54" i="51"/>
  <c r="M75" i="45"/>
  <c r="M233" i="46"/>
  <c r="M80" i="46"/>
  <c r="L139" i="46"/>
  <c r="M160" i="45"/>
  <c r="L218" i="45"/>
  <c r="M315" i="46"/>
  <c r="L364" i="46"/>
  <c r="L217" i="46"/>
  <c r="M159" i="46"/>
  <c r="L201" i="46"/>
  <c r="E201" i="37"/>
  <c r="L201" i="37"/>
  <c r="M201" i="37"/>
  <c r="N201" i="37"/>
  <c r="U201" i="37"/>
  <c r="E271" i="46"/>
  <c r="E271" i="45"/>
  <c r="L48" i="51"/>
  <c r="M9" i="51"/>
  <c r="L349" i="45"/>
  <c r="N290" i="37"/>
  <c r="E76" i="37"/>
  <c r="E90" i="46"/>
  <c r="E90" i="45"/>
  <c r="I297" i="46"/>
  <c r="I239" i="46"/>
  <c r="I298" i="46"/>
  <c r="N12" i="51"/>
  <c r="N51" i="51"/>
  <c r="M51" i="51"/>
  <c r="N79" i="46"/>
  <c r="M138" i="46"/>
  <c r="M63" i="37"/>
  <c r="E140" i="46"/>
  <c r="M15" i="46"/>
  <c r="U290" i="37"/>
  <c r="N69" i="37"/>
  <c r="M109" i="37"/>
  <c r="N62" i="37"/>
  <c r="N10" i="45"/>
  <c r="N67" i="37"/>
  <c r="M107" i="37"/>
  <c r="N15" i="37"/>
  <c r="M50" i="37"/>
  <c r="N186" i="37"/>
  <c r="M226" i="37"/>
  <c r="N216" i="46"/>
  <c r="N178" i="37"/>
  <c r="M61" i="46"/>
  <c r="N13" i="46"/>
  <c r="N61" i="46"/>
  <c r="N179" i="37"/>
  <c r="L266" i="37"/>
  <c r="M266" i="37"/>
  <c r="N266" i="37"/>
  <c r="U266" i="37"/>
  <c r="N309" i="46"/>
  <c r="N311" i="46"/>
  <c r="M36" i="37"/>
  <c r="L43" i="37"/>
  <c r="N15" i="45"/>
  <c r="N63" i="45"/>
  <c r="M63" i="45"/>
  <c r="M49" i="51"/>
  <c r="N10" i="51"/>
  <c r="N49" i="51"/>
  <c r="L203" i="46"/>
  <c r="E210" i="46"/>
  <c r="E211" i="46"/>
  <c r="N10" i="37"/>
  <c r="N237" i="37"/>
  <c r="N239" i="37"/>
  <c r="M280" i="45"/>
  <c r="N73" i="46"/>
  <c r="N233" i="46"/>
  <c r="N152" i="45"/>
  <c r="N232" i="45"/>
  <c r="N162" i="45"/>
  <c r="M47" i="51"/>
  <c r="N8" i="51"/>
  <c r="N47" i="51"/>
  <c r="N153" i="45"/>
  <c r="N154" i="46"/>
  <c r="M52" i="51"/>
  <c r="N13" i="51"/>
  <c r="N52" i="51"/>
  <c r="N9" i="46"/>
  <c r="N120" i="37"/>
  <c r="L46" i="37"/>
  <c r="N15" i="51"/>
  <c r="N54" i="51"/>
  <c r="M54" i="51"/>
  <c r="N74" i="45"/>
  <c r="N11" i="37"/>
  <c r="N68" i="37"/>
  <c r="M108" i="37"/>
  <c r="E40" i="37"/>
  <c r="L40" i="37"/>
  <c r="M40" i="37"/>
  <c r="N40" i="37"/>
  <c r="E51" i="46"/>
  <c r="E51" i="45"/>
  <c r="L365" i="45"/>
  <c r="N106" i="37"/>
  <c r="U66" i="37"/>
  <c r="E226" i="37"/>
  <c r="L169" i="46"/>
  <c r="E220" i="46"/>
  <c r="N122" i="37"/>
  <c r="E359" i="45"/>
  <c r="N237" i="46"/>
  <c r="N296" i="46"/>
  <c r="M296" i="46"/>
  <c r="N156" i="45"/>
  <c r="N230" i="46"/>
  <c r="L152" i="37"/>
  <c r="E162" i="37"/>
  <c r="E159" i="37"/>
  <c r="N240" i="46"/>
  <c r="E141" i="45"/>
  <c r="L247" i="46"/>
  <c r="M47" i="45"/>
  <c r="N119" i="37"/>
  <c r="N73" i="45"/>
  <c r="N8" i="45"/>
  <c r="E143" i="37"/>
  <c r="L143" i="37"/>
  <c r="M143" i="37"/>
  <c r="N143" i="37"/>
  <c r="U143" i="37"/>
  <c r="E193" i="45"/>
  <c r="L193" i="45"/>
  <c r="M193" i="45"/>
  <c r="N193" i="45"/>
  <c r="E193" i="46"/>
  <c r="L193" i="46"/>
  <c r="M193" i="46"/>
  <c r="N193" i="46"/>
  <c r="M201" i="45"/>
  <c r="N244" i="37"/>
  <c r="M280" i="37"/>
  <c r="N138" i="45"/>
  <c r="M139" i="45"/>
  <c r="N80" i="45"/>
  <c r="N139" i="45"/>
  <c r="N75" i="46"/>
  <c r="N262" i="37"/>
  <c r="M330" i="37"/>
  <c r="N239" i="45"/>
  <c r="N184" i="37"/>
  <c r="M224" i="37"/>
  <c r="N314" i="45"/>
  <c r="N363" i="45"/>
  <c r="M363" i="45"/>
  <c r="N82" i="45"/>
  <c r="N141" i="45"/>
  <c r="M141" i="45"/>
  <c r="N242" i="37"/>
  <c r="M278" i="37"/>
  <c r="N153" i="46"/>
  <c r="N239" i="46"/>
  <c r="N231" i="45"/>
  <c r="L90" i="45"/>
  <c r="L38" i="37"/>
  <c r="E46" i="37"/>
  <c r="E44" i="37"/>
  <c r="E45" i="37"/>
  <c r="N223" i="37"/>
  <c r="U183" i="37"/>
  <c r="N243" i="37"/>
  <c r="M279" i="37"/>
  <c r="N152" i="46"/>
  <c r="U295" i="37"/>
  <c r="N331" i="37"/>
  <c r="U331" i="37"/>
  <c r="N126" i="37"/>
  <c r="M166" i="37"/>
  <c r="N332" i="37"/>
  <c r="N187" i="37"/>
  <c r="J364" i="46"/>
  <c r="E96" i="37"/>
  <c r="E127" i="45"/>
  <c r="E127" i="46"/>
  <c r="E131" i="46"/>
  <c r="N162" i="46"/>
  <c r="M280" i="46"/>
  <c r="N76" i="45"/>
  <c r="N231" i="46"/>
  <c r="M264" i="37"/>
  <c r="E202" i="37"/>
  <c r="L202" i="37"/>
  <c r="M202" i="37"/>
  <c r="N202" i="37"/>
  <c r="E272" i="45"/>
  <c r="L272" i="45"/>
  <c r="M272" i="45"/>
  <c r="N272" i="45"/>
  <c r="E272" i="46"/>
  <c r="L272" i="46"/>
  <c r="M272" i="46"/>
  <c r="N272" i="46"/>
  <c r="N164" i="37"/>
  <c r="U124" i="37"/>
  <c r="M123" i="46"/>
  <c r="N8" i="46"/>
  <c r="N121" i="37"/>
  <c r="N185" i="37"/>
  <c r="M225" i="37"/>
  <c r="N238" i="37"/>
  <c r="N154" i="45"/>
  <c r="M47" i="46"/>
  <c r="N160" i="46"/>
  <c r="N218" i="46"/>
  <c r="M218" i="46"/>
  <c r="N15" i="46"/>
  <c r="N63" i="46"/>
  <c r="M63" i="46"/>
  <c r="N63" i="37"/>
  <c r="L90" i="46"/>
  <c r="L271" i="45"/>
  <c r="E298" i="45"/>
  <c r="M201" i="46"/>
  <c r="M218" i="45"/>
  <c r="N160" i="45"/>
  <c r="N218" i="45"/>
  <c r="N83" i="45"/>
  <c r="L282" i="45"/>
  <c r="E291" i="45"/>
  <c r="E154" i="37"/>
  <c r="E205" i="46"/>
  <c r="E205" i="45"/>
  <c r="E268" i="37"/>
  <c r="L268" i="37"/>
  <c r="M268" i="37"/>
  <c r="N268" i="37"/>
  <c r="U268" i="37"/>
  <c r="E353" i="45"/>
  <c r="E360" i="45"/>
  <c r="E353" i="46"/>
  <c r="N311" i="45"/>
  <c r="N9" i="45"/>
  <c r="E289" i="45"/>
  <c r="N16" i="37"/>
  <c r="M51" i="37"/>
  <c r="L169" i="45"/>
  <c r="N64" i="37"/>
  <c r="N9" i="37"/>
  <c r="N74" i="46"/>
  <c r="N128" i="37"/>
  <c r="M123" i="45"/>
  <c r="N238" i="46"/>
  <c r="N297" i="46"/>
  <c r="M297" i="46"/>
  <c r="L125" i="45"/>
  <c r="E132" i="45"/>
  <c r="L203" i="45"/>
  <c r="E211" i="45"/>
  <c r="N309" i="45"/>
  <c r="N13" i="45"/>
  <c r="N61" i="45"/>
  <c r="M61" i="45"/>
  <c r="U177" i="37"/>
  <c r="L247" i="45"/>
  <c r="E299" i="45"/>
  <c r="N295" i="45"/>
  <c r="M296" i="45"/>
  <c r="N237" i="45"/>
  <c r="N296" i="45"/>
  <c r="U241" i="37"/>
  <c r="E292" i="45"/>
  <c r="E85" i="37"/>
  <c r="L85" i="37"/>
  <c r="M85" i="37"/>
  <c r="N85" i="37"/>
  <c r="E115" i="46"/>
  <c r="L115" i="46"/>
  <c r="M115" i="46"/>
  <c r="N115" i="46"/>
  <c r="E115" i="45"/>
  <c r="L115" i="45"/>
  <c r="M115" i="45"/>
  <c r="N115" i="45"/>
  <c r="L280" i="37"/>
  <c r="N156" i="46"/>
  <c r="N238" i="45"/>
  <c r="N297" i="45"/>
  <c r="M297" i="45"/>
  <c r="J280" i="37"/>
  <c r="N70" i="37"/>
  <c r="L141" i="45"/>
  <c r="M217" i="45"/>
  <c r="N159" i="45"/>
  <c r="N217" i="45"/>
  <c r="N240" i="45"/>
  <c r="N233" i="45"/>
  <c r="L192" i="45"/>
  <c r="E219" i="45"/>
  <c r="L63" i="46"/>
  <c r="L76" i="37"/>
  <c r="E110" i="37"/>
  <c r="M349" i="45"/>
  <c r="L271" i="46"/>
  <c r="E298" i="46"/>
  <c r="E214" i="46"/>
  <c r="M364" i="46"/>
  <c r="N315" i="46"/>
  <c r="N364" i="46"/>
  <c r="N75" i="45"/>
  <c r="J363" i="45"/>
  <c r="N48" i="37"/>
  <c r="U48" i="37"/>
  <c r="U13" i="37"/>
  <c r="L282" i="46"/>
  <c r="E289" i="46"/>
  <c r="N310" i="46"/>
  <c r="N155" i="46"/>
  <c r="N61" i="37"/>
  <c r="U236" i="37"/>
  <c r="M349" i="46"/>
  <c r="N82" i="46"/>
  <c r="N180" i="37"/>
  <c r="N76" i="46"/>
  <c r="U292" i="37"/>
  <c r="N127" i="37"/>
  <c r="M167" i="37"/>
  <c r="M62" i="45"/>
  <c r="N14" i="45"/>
  <c r="N62" i="45"/>
  <c r="N138" i="46"/>
  <c r="N9" i="51"/>
  <c r="N48" i="51"/>
  <c r="M48" i="51"/>
  <c r="M217" i="46"/>
  <c r="N159" i="46"/>
  <c r="N217" i="46"/>
  <c r="E280" i="37"/>
  <c r="N80" i="46"/>
  <c r="N139" i="46"/>
  <c r="M139" i="46"/>
  <c r="L109" i="37"/>
  <c r="J330" i="37"/>
  <c r="N161" i="45"/>
  <c r="L211" i="37"/>
  <c r="N125" i="37"/>
  <c r="M165" i="37"/>
  <c r="E365" i="45"/>
  <c r="M140" i="46"/>
  <c r="N81" i="46"/>
  <c r="N140" i="46"/>
  <c r="N161" i="46"/>
  <c r="N219" i="46"/>
  <c r="M219" i="46"/>
  <c r="L226" i="37"/>
  <c r="E274" i="37"/>
  <c r="N316" i="46"/>
  <c r="N81" i="45"/>
  <c r="N140" i="45"/>
  <c r="M140" i="45"/>
  <c r="N310" i="45"/>
  <c r="N155" i="45"/>
  <c r="L114" i="46"/>
  <c r="E141" i="46"/>
  <c r="M92" i="37"/>
  <c r="J364" i="45"/>
  <c r="N181" i="37"/>
  <c r="M209" i="37"/>
  <c r="E213" i="37"/>
  <c r="E221" i="37"/>
  <c r="E284" i="46"/>
  <c r="E288" i="46"/>
  <c r="E284" i="45"/>
  <c r="L351" i="46"/>
  <c r="E359" i="46"/>
  <c r="N316" i="45"/>
  <c r="N365" i="45"/>
  <c r="M365" i="45"/>
  <c r="N83" i="46"/>
  <c r="L134" i="37"/>
  <c r="E43" i="37"/>
  <c r="M150" i="37"/>
  <c r="M364" i="45"/>
  <c r="N315" i="45"/>
  <c r="N364" i="45"/>
  <c r="J362" i="46"/>
  <c r="N14" i="46"/>
  <c r="N62" i="46"/>
  <c r="M62" i="46"/>
  <c r="E293" i="46"/>
  <c r="L94" i="37"/>
  <c r="E102" i="37"/>
  <c r="E101" i="37"/>
  <c r="E104" i="37"/>
  <c r="U297" i="37"/>
  <c r="N230" i="45"/>
  <c r="E51" i="37"/>
  <c r="L45" i="37"/>
  <c r="L193" i="37"/>
  <c r="E227" i="37"/>
  <c r="N14" i="51"/>
  <c r="N53" i="51"/>
  <c r="M53" i="51"/>
  <c r="E328" i="37"/>
  <c r="N216" i="45"/>
  <c r="L342" i="46"/>
  <c r="E365" i="46"/>
  <c r="U291" i="37"/>
  <c r="N295" i="46"/>
  <c r="J365" i="45"/>
  <c r="N14" i="37"/>
  <c r="M49" i="37"/>
  <c r="E293" i="45"/>
  <c r="N232" i="46"/>
  <c r="N10" i="46"/>
  <c r="M363" i="46"/>
  <c r="N314" i="46"/>
  <c r="N363" i="46"/>
  <c r="M213" i="46"/>
  <c r="M342" i="46"/>
  <c r="L365" i="46"/>
  <c r="E218" i="37"/>
  <c r="U61" i="37"/>
  <c r="M192" i="45"/>
  <c r="L219" i="45"/>
  <c r="N51" i="37"/>
  <c r="U51" i="37"/>
  <c r="U16" i="37"/>
  <c r="N47" i="46"/>
  <c r="M274" i="37"/>
  <c r="L327" i="37"/>
  <c r="L325" i="37"/>
  <c r="U262" i="37"/>
  <c r="N330" i="37"/>
  <c r="U330" i="37"/>
  <c r="L51" i="45"/>
  <c r="E55" i="45"/>
  <c r="E58" i="45"/>
  <c r="E57" i="45"/>
  <c r="E56" i="45"/>
  <c r="M203" i="46"/>
  <c r="L212" i="46"/>
  <c r="E273" i="37"/>
  <c r="N50" i="37"/>
  <c r="U50" i="37"/>
  <c r="U15" i="37"/>
  <c r="U69" i="37"/>
  <c r="N109" i="37"/>
  <c r="U109" i="37"/>
  <c r="E133" i="46"/>
  <c r="N150" i="37"/>
  <c r="E220" i="37"/>
  <c r="M271" i="46"/>
  <c r="L298" i="46"/>
  <c r="N277" i="37"/>
  <c r="U277" i="37"/>
  <c r="M125" i="45"/>
  <c r="L205" i="45"/>
  <c r="E209" i="45"/>
  <c r="E213" i="45"/>
  <c r="M271" i="45"/>
  <c r="L298" i="45"/>
  <c r="L328" i="37"/>
  <c r="N264" i="37"/>
  <c r="M325" i="37"/>
  <c r="M326" i="37"/>
  <c r="M327" i="37"/>
  <c r="M328" i="37"/>
  <c r="M272" i="37"/>
  <c r="N280" i="46"/>
  <c r="L127" i="45"/>
  <c r="M127" i="45"/>
  <c r="N127" i="45"/>
  <c r="E133" i="45"/>
  <c r="E136" i="45"/>
  <c r="E134" i="45"/>
  <c r="E135" i="45"/>
  <c r="N279" i="37"/>
  <c r="U243" i="37"/>
  <c r="M90" i="45"/>
  <c r="L142" i="45"/>
  <c r="N47" i="45"/>
  <c r="L51" i="46"/>
  <c r="E57" i="46"/>
  <c r="E56" i="46"/>
  <c r="N108" i="37"/>
  <c r="U108" i="37"/>
  <c r="U68" i="37"/>
  <c r="M275" i="37"/>
  <c r="L213" i="46"/>
  <c r="E55" i="46"/>
  <c r="L274" i="37"/>
  <c r="L275" i="37"/>
  <c r="M94" i="37"/>
  <c r="E131" i="45"/>
  <c r="E135" i="46"/>
  <c r="E168" i="37"/>
  <c r="L284" i="45"/>
  <c r="M284" i="45"/>
  <c r="N284" i="45"/>
  <c r="E290" i="45"/>
  <c r="N209" i="37"/>
  <c r="E58" i="46"/>
  <c r="M211" i="37"/>
  <c r="E291" i="46"/>
  <c r="L135" i="45"/>
  <c r="E210" i="45"/>
  <c r="U128" i="37"/>
  <c r="U9" i="37"/>
  <c r="M169" i="45"/>
  <c r="L220" i="45"/>
  <c r="L353" i="46"/>
  <c r="L357" i="46"/>
  <c r="E360" i="46"/>
  <c r="E358" i="46"/>
  <c r="E357" i="46"/>
  <c r="L205" i="46"/>
  <c r="M205" i="46"/>
  <c r="N205" i="46"/>
  <c r="E209" i="46"/>
  <c r="L209" i="46"/>
  <c r="E142" i="46"/>
  <c r="N123" i="46"/>
  <c r="L272" i="37"/>
  <c r="E327" i="37"/>
  <c r="L96" i="37"/>
  <c r="M96" i="37"/>
  <c r="N96" i="37"/>
  <c r="U96" i="37"/>
  <c r="E103" i="37"/>
  <c r="E100" i="37"/>
  <c r="U242" i="37"/>
  <c r="N278" i="37"/>
  <c r="U278" i="37"/>
  <c r="N201" i="45"/>
  <c r="E326" i="37"/>
  <c r="M152" i="37"/>
  <c r="L160" i="37"/>
  <c r="M169" i="46"/>
  <c r="L220" i="46"/>
  <c r="U239" i="37"/>
  <c r="N275" i="37"/>
  <c r="E212" i="46"/>
  <c r="N36" i="37"/>
  <c r="N226" i="37"/>
  <c r="U186" i="37"/>
  <c r="N107" i="37"/>
  <c r="U62" i="37"/>
  <c r="L213" i="37"/>
  <c r="L220" i="37"/>
  <c r="E217" i="37"/>
  <c r="M247" i="45"/>
  <c r="L299" i="45"/>
  <c r="L127" i="46"/>
  <c r="E132" i="46"/>
  <c r="E134" i="46"/>
  <c r="E142" i="45"/>
  <c r="N224" i="37"/>
  <c r="U224" i="37"/>
  <c r="N280" i="37"/>
  <c r="U280" i="37"/>
  <c r="U244" i="37"/>
  <c r="M247" i="46"/>
  <c r="L299" i="46"/>
  <c r="U237" i="37"/>
  <c r="N273" i="37"/>
  <c r="U273" i="37"/>
  <c r="L273" i="37"/>
  <c r="M193" i="37"/>
  <c r="L227" i="37"/>
  <c r="N333" i="37"/>
  <c r="U333" i="37"/>
  <c r="M351" i="46"/>
  <c r="L358" i="46"/>
  <c r="L359" i="46"/>
  <c r="M114" i="46"/>
  <c r="L141" i="46"/>
  <c r="N165" i="37"/>
  <c r="U125" i="37"/>
  <c r="N167" i="37"/>
  <c r="U167" i="37"/>
  <c r="U127" i="37"/>
  <c r="M76" i="37"/>
  <c r="L110" i="37"/>
  <c r="E220" i="45"/>
  <c r="M282" i="45"/>
  <c r="M291" i="45"/>
  <c r="N49" i="37"/>
  <c r="U14" i="37"/>
  <c r="E136" i="46"/>
  <c r="E325" i="37"/>
  <c r="M134" i="37"/>
  <c r="L168" i="37"/>
  <c r="L284" i="46"/>
  <c r="E290" i="46"/>
  <c r="E292" i="46"/>
  <c r="N92" i="37"/>
  <c r="M100" i="37"/>
  <c r="L210" i="46"/>
  <c r="E219" i="37"/>
  <c r="L134" i="45"/>
  <c r="N349" i="46"/>
  <c r="M282" i="46"/>
  <c r="L292" i="46"/>
  <c r="N349" i="45"/>
  <c r="E214" i="45"/>
  <c r="E272" i="37"/>
  <c r="M203" i="45"/>
  <c r="L214" i="45"/>
  <c r="L211" i="45"/>
  <c r="N123" i="45"/>
  <c r="M131" i="45"/>
  <c r="M136" i="45"/>
  <c r="L353" i="45"/>
  <c r="E358" i="45"/>
  <c r="E357" i="45"/>
  <c r="L154" i="37"/>
  <c r="E160" i="37"/>
  <c r="E158" i="37"/>
  <c r="E161" i="37"/>
  <c r="N201" i="46"/>
  <c r="M209" i="46"/>
  <c r="M90" i="46"/>
  <c r="L142" i="46"/>
  <c r="N225" i="37"/>
  <c r="U225" i="37"/>
  <c r="U185" i="37"/>
  <c r="L326" i="37"/>
  <c r="N166" i="37"/>
  <c r="U166" i="37"/>
  <c r="U126" i="37"/>
  <c r="M38" i="37"/>
  <c r="L44" i="37"/>
  <c r="M211" i="46"/>
  <c r="U119" i="37"/>
  <c r="E299" i="46"/>
  <c r="U11" i="37"/>
  <c r="U120" i="37"/>
  <c r="N280" i="45"/>
  <c r="M288" i="45"/>
  <c r="M273" i="37"/>
  <c r="U10" i="37"/>
  <c r="E213" i="46"/>
  <c r="E275" i="37"/>
  <c r="U178" i="37"/>
  <c r="E212" i="45"/>
  <c r="E288" i="45"/>
  <c r="N212" i="46"/>
  <c r="N351" i="46"/>
  <c r="M360" i="46"/>
  <c r="M127" i="46"/>
  <c r="L132" i="46"/>
  <c r="L131" i="46"/>
  <c r="L133" i="46"/>
  <c r="L135" i="46"/>
  <c r="L136" i="46"/>
  <c r="L134" i="46"/>
  <c r="L218" i="37"/>
  <c r="L100" i="37"/>
  <c r="L101" i="37"/>
  <c r="M154" i="37"/>
  <c r="L158" i="37"/>
  <c r="L161" i="37"/>
  <c r="N282" i="46"/>
  <c r="U92" i="37"/>
  <c r="N100" i="37"/>
  <c r="L162" i="37"/>
  <c r="M205" i="45"/>
  <c r="M213" i="45"/>
  <c r="L209" i="45"/>
  <c r="L212" i="45"/>
  <c r="M135" i="45"/>
  <c r="N45" i="37"/>
  <c r="U45" i="37"/>
  <c r="N38" i="37"/>
  <c r="M44" i="37"/>
  <c r="M45" i="37"/>
  <c r="M46" i="37"/>
  <c r="N134" i="37"/>
  <c r="M168" i="37"/>
  <c r="N247" i="46"/>
  <c r="N299" i="46"/>
  <c r="M299" i="46"/>
  <c r="N102" i="37"/>
  <c r="U102" i="37"/>
  <c r="L159" i="37"/>
  <c r="L292" i="45"/>
  <c r="N169" i="45"/>
  <c r="N220" i="45"/>
  <c r="M220" i="45"/>
  <c r="L132" i="45"/>
  <c r="N211" i="37"/>
  <c r="M221" i="37"/>
  <c r="U209" i="37"/>
  <c r="L104" i="37"/>
  <c r="N90" i="45"/>
  <c r="N142" i="45"/>
  <c r="M142" i="45"/>
  <c r="N271" i="45"/>
  <c r="N298" i="45"/>
  <c r="M298" i="45"/>
  <c r="L133" i="45"/>
  <c r="N104" i="37"/>
  <c r="N101" i="37"/>
  <c r="U101" i="37"/>
  <c r="M353" i="45"/>
  <c r="L358" i="45"/>
  <c r="L359" i="45"/>
  <c r="L360" i="45"/>
  <c r="L357" i="45"/>
  <c r="M284" i="46"/>
  <c r="L291" i="46"/>
  <c r="L290" i="46"/>
  <c r="L293" i="46"/>
  <c r="N282" i="45"/>
  <c r="M290" i="45"/>
  <c r="M289" i="45"/>
  <c r="M292" i="45"/>
  <c r="M213" i="37"/>
  <c r="L217" i="37"/>
  <c r="N44" i="37"/>
  <c r="U44" i="37"/>
  <c r="N94" i="37"/>
  <c r="M103" i="37"/>
  <c r="M51" i="46"/>
  <c r="L55" i="46"/>
  <c r="L58" i="46"/>
  <c r="L57" i="46"/>
  <c r="L56" i="46"/>
  <c r="U150" i="37"/>
  <c r="M102" i="37"/>
  <c r="M293" i="45"/>
  <c r="L290" i="45"/>
  <c r="N114" i="46"/>
  <c r="N141" i="46"/>
  <c r="M141" i="46"/>
  <c r="N169" i="46"/>
  <c r="N220" i="46"/>
  <c r="M220" i="46"/>
  <c r="L219" i="37"/>
  <c r="L103" i="37"/>
  <c r="N203" i="46"/>
  <c r="M214" i="46"/>
  <c r="M212" i="46"/>
  <c r="N192" i="45"/>
  <c r="N219" i="45"/>
  <c r="M219" i="45"/>
  <c r="L293" i="45"/>
  <c r="N288" i="45"/>
  <c r="M104" i="37"/>
  <c r="L210" i="45"/>
  <c r="L291" i="45"/>
  <c r="M289" i="46"/>
  <c r="M210" i="46"/>
  <c r="L288" i="46"/>
  <c r="N90" i="46"/>
  <c r="N142" i="46"/>
  <c r="M142" i="46"/>
  <c r="L213" i="45"/>
  <c r="N203" i="45"/>
  <c r="M210" i="45"/>
  <c r="M214" i="45"/>
  <c r="M101" i="37"/>
  <c r="L289" i="45"/>
  <c r="L136" i="45"/>
  <c r="N76" i="37"/>
  <c r="M110" i="37"/>
  <c r="N193" i="37"/>
  <c r="M227" i="37"/>
  <c r="N211" i="46"/>
  <c r="N247" i="45"/>
  <c r="N299" i="45"/>
  <c r="M299" i="45"/>
  <c r="M43" i="37"/>
  <c r="N152" i="37"/>
  <c r="U152" i="37"/>
  <c r="M161" i="37"/>
  <c r="M353" i="46"/>
  <c r="L360" i="46"/>
  <c r="L131" i="45"/>
  <c r="L211" i="46"/>
  <c r="L221" i="37"/>
  <c r="L102" i="37"/>
  <c r="L288" i="45"/>
  <c r="M293" i="46"/>
  <c r="U264" i="37"/>
  <c r="N325" i="37"/>
  <c r="N272" i="37"/>
  <c r="U272" i="37"/>
  <c r="N328" i="37"/>
  <c r="U328" i="37"/>
  <c r="N326" i="37"/>
  <c r="U326" i="37"/>
  <c r="N327" i="37"/>
  <c r="U327" i="37"/>
  <c r="N274" i="37"/>
  <c r="U274" i="37"/>
  <c r="N125" i="45"/>
  <c r="M134" i="45"/>
  <c r="M133" i="45"/>
  <c r="M132" i="45"/>
  <c r="N271" i="46"/>
  <c r="N298" i="46"/>
  <c r="M298" i="46"/>
  <c r="M158" i="37"/>
  <c r="L214" i="46"/>
  <c r="M51" i="45"/>
  <c r="L57" i="45"/>
  <c r="L58" i="45"/>
  <c r="L56" i="45"/>
  <c r="L55" i="45"/>
  <c r="N342" i="46"/>
  <c r="N365" i="46"/>
  <c r="M365" i="46"/>
  <c r="M358" i="46"/>
  <c r="L289" i="46"/>
  <c r="N288" i="46"/>
  <c r="N134" i="45"/>
  <c r="N135" i="45"/>
  <c r="N162" i="37"/>
  <c r="U162" i="37"/>
  <c r="N132" i="45"/>
  <c r="N353" i="46"/>
  <c r="N357" i="46"/>
  <c r="M357" i="46"/>
  <c r="N212" i="45"/>
  <c r="N213" i="46"/>
  <c r="N214" i="46"/>
  <c r="N290" i="46"/>
  <c r="N213" i="37"/>
  <c r="U213" i="37"/>
  <c r="M217" i="37"/>
  <c r="M220" i="37"/>
  <c r="M219" i="37"/>
  <c r="M218" i="37"/>
  <c r="M359" i="46"/>
  <c r="U38" i="37"/>
  <c r="N46" i="37"/>
  <c r="N51" i="45"/>
  <c r="M58" i="45"/>
  <c r="M56" i="45"/>
  <c r="M55" i="45"/>
  <c r="M57" i="45"/>
  <c r="N136" i="45"/>
  <c r="N159" i="37"/>
  <c r="U159" i="37"/>
  <c r="N205" i="45"/>
  <c r="M209" i="45"/>
  <c r="N292" i="46"/>
  <c r="U76" i="37"/>
  <c r="N110" i="37"/>
  <c r="U110" i="37"/>
  <c r="N51" i="46"/>
  <c r="M55" i="46"/>
  <c r="M57" i="46"/>
  <c r="M56" i="46"/>
  <c r="M58" i="46"/>
  <c r="U134" i="37"/>
  <c r="N168" i="37"/>
  <c r="U168" i="37"/>
  <c r="N289" i="46"/>
  <c r="N133" i="45"/>
  <c r="N210" i="46"/>
  <c r="M212" i="45"/>
  <c r="N360" i="46"/>
  <c r="N291" i="45"/>
  <c r="N290" i="45"/>
  <c r="N292" i="45"/>
  <c r="N289" i="45"/>
  <c r="N284" i="46"/>
  <c r="N291" i="46"/>
  <c r="M292" i="46"/>
  <c r="M290" i="46"/>
  <c r="N211" i="45"/>
  <c r="M288" i="46"/>
  <c r="U211" i="37"/>
  <c r="N220" i="37"/>
  <c r="N221" i="37"/>
  <c r="U221" i="37"/>
  <c r="N218" i="37"/>
  <c r="U218" i="37"/>
  <c r="N219" i="37"/>
  <c r="U219" i="37"/>
  <c r="N227" i="37"/>
  <c r="M211" i="45"/>
  <c r="N358" i="46"/>
  <c r="N131" i="45"/>
  <c r="N293" i="45"/>
  <c r="N209" i="46"/>
  <c r="U94" i="37"/>
  <c r="N103" i="37"/>
  <c r="U103" i="37"/>
  <c r="N353" i="45"/>
  <c r="M359" i="45"/>
  <c r="M360" i="45"/>
  <c r="M358" i="45"/>
  <c r="M357" i="45"/>
  <c r="N217" i="37"/>
  <c r="U217" i="37"/>
  <c r="N160" i="37"/>
  <c r="U160" i="37"/>
  <c r="N209" i="45"/>
  <c r="M291" i="46"/>
  <c r="N154" i="37"/>
  <c r="U154" i="37"/>
  <c r="M160" i="37"/>
  <c r="M159" i="37"/>
  <c r="M162" i="37"/>
  <c r="N293" i="46"/>
  <c r="N43" i="37"/>
  <c r="U43" i="37"/>
  <c r="N127" i="46"/>
  <c r="M134" i="46"/>
  <c r="M135" i="46"/>
  <c r="M132" i="46"/>
  <c r="M133" i="46"/>
  <c r="M131" i="46"/>
  <c r="M136" i="46"/>
  <c r="N158" i="37"/>
  <c r="N359" i="45"/>
  <c r="N360" i="45"/>
  <c r="N358" i="45"/>
  <c r="N357" i="45"/>
  <c r="N58" i="46"/>
  <c r="N56" i="46"/>
  <c r="N57" i="46"/>
  <c r="N55" i="46"/>
  <c r="N56" i="45"/>
  <c r="N58" i="45"/>
  <c r="N57" i="45"/>
  <c r="N55" i="45"/>
  <c r="N134" i="46"/>
  <c r="N133" i="46"/>
  <c r="N131" i="46"/>
  <c r="N132" i="46"/>
  <c r="N136" i="46"/>
  <c r="N135" i="46"/>
  <c r="N214" i="45"/>
  <c r="N213" i="45"/>
  <c r="N161" i="37"/>
  <c r="N210" i="45"/>
  <c r="N359" i="46"/>
</calcChain>
</file>

<file path=xl/comments1.xml><?xml version="1.0" encoding="utf-8"?>
<comments xmlns="http://schemas.openxmlformats.org/spreadsheetml/2006/main">
  <authors>
    <author>lamhong</author>
  </authors>
  <commentList>
    <comment ref="B3" authorId="0">
      <text>
        <r>
          <rPr>
            <b/>
            <sz val="9"/>
            <color indexed="81"/>
            <rFont val="Tahoma"/>
            <charset val="1"/>
          </rPr>
          <t>bảng 4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lamhong</author>
  </authors>
  <commentList>
    <comment ref="B5" authorId="0">
      <text>
        <r>
          <rPr>
            <b/>
            <sz val="9"/>
            <color indexed="81"/>
            <rFont val="Tahoma"/>
            <charset val="1"/>
          </rPr>
          <t>BẢNG 44</t>
        </r>
      </text>
    </comment>
    <comment ref="B33" authorId="0">
      <text>
        <r>
          <rPr>
            <b/>
            <sz val="9"/>
            <color indexed="81"/>
            <rFont val="Tahoma"/>
            <charset val="1"/>
          </rPr>
          <t>bảng 47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1" authorId="0">
      <text>
        <r>
          <rPr>
            <b/>
            <sz val="9"/>
            <color indexed="81"/>
            <rFont val="Tahoma"/>
            <charset val="1"/>
          </rPr>
          <t>bảng 50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28" authorId="0">
      <text>
        <r>
          <rPr>
            <b/>
            <sz val="9"/>
            <color indexed="81"/>
            <rFont val="Tahoma"/>
            <charset val="1"/>
          </rPr>
          <t>bảng 54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8" authorId="0">
      <text>
        <r>
          <rPr>
            <b/>
            <sz val="9"/>
            <color indexed="81"/>
            <rFont val="Tahoma"/>
            <charset val="1"/>
          </rPr>
          <t>BẢNG 58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90" authorId="0">
      <text>
        <r>
          <rPr>
            <b/>
            <sz val="9"/>
            <color indexed="81"/>
            <rFont val="Tahoma"/>
            <charset val="1"/>
          </rPr>
          <t>Bảng 61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lamhong</author>
  </authors>
  <commentList>
    <comment ref="B5" authorId="0">
      <text>
        <r>
          <rPr>
            <sz val="9"/>
            <color indexed="81"/>
            <rFont val="Tahoma"/>
            <charset val="1"/>
          </rPr>
          <t xml:space="preserve">Bảng 46
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BẢNG 53</t>
        </r>
      </text>
    </comment>
    <comment ref="B54" authorId="0">
      <text>
        <r>
          <rPr>
            <b/>
            <sz val="9"/>
            <color indexed="81"/>
            <rFont val="Tahoma"/>
            <charset val="1"/>
          </rPr>
          <t>Bảng 57</t>
        </r>
      </text>
    </comment>
    <comment ref="B79" authorId="0">
      <text>
        <r>
          <rPr>
            <b/>
            <sz val="9"/>
            <color indexed="81"/>
            <rFont val="Tahoma"/>
            <charset val="1"/>
          </rPr>
          <t>bảng 60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98" authorId="0">
      <text>
        <r>
          <rPr>
            <b/>
            <sz val="9"/>
            <color indexed="81"/>
            <rFont val="Tahoma"/>
            <charset val="1"/>
          </rPr>
          <t>BẢNG 63</t>
        </r>
      </text>
    </comment>
  </commentList>
</comments>
</file>

<file path=xl/comments4.xml><?xml version="1.0" encoding="utf-8"?>
<comments xmlns="http://schemas.openxmlformats.org/spreadsheetml/2006/main">
  <authors>
    <author>lamhong</author>
  </authors>
  <commentList>
    <comment ref="B7" authorId="0">
      <text>
        <r>
          <rPr>
            <b/>
            <sz val="9"/>
            <color indexed="81"/>
            <rFont val="Tahoma"/>
            <charset val="1"/>
          </rPr>
          <t>Bảng 49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57" authorId="0">
      <text>
        <r>
          <rPr>
            <b/>
            <sz val="9"/>
            <color indexed="81"/>
            <rFont val="Tahoma"/>
            <charset val="1"/>
          </rPr>
          <t>BẢNG 52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08" authorId="0">
      <text>
        <r>
          <rPr>
            <b/>
            <sz val="9"/>
            <color indexed="81"/>
            <rFont val="Tahoma"/>
            <charset val="1"/>
          </rPr>
          <t>BẢNG 56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52" authorId="0">
      <text>
        <r>
          <rPr>
            <b/>
            <sz val="9"/>
            <color indexed="81"/>
            <rFont val="Tahoma"/>
            <charset val="1"/>
          </rPr>
          <t>BẢNG 59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6" authorId="0">
      <text>
        <r>
          <rPr>
            <b/>
            <sz val="9"/>
            <color indexed="81"/>
            <rFont val="Tahoma"/>
            <charset val="1"/>
          </rPr>
          <t>BẢNG 62</t>
        </r>
      </text>
    </comment>
  </commentList>
</comments>
</file>

<file path=xl/sharedStrings.xml><?xml version="1.0" encoding="utf-8"?>
<sst xmlns="http://schemas.openxmlformats.org/spreadsheetml/2006/main" count="4881" uniqueCount="575">
  <si>
    <t>TT</t>
  </si>
  <si>
    <t>ha</t>
  </si>
  <si>
    <t>Ha</t>
  </si>
  <si>
    <t>I</t>
  </si>
  <si>
    <t>II</t>
  </si>
  <si>
    <t>A</t>
  </si>
  <si>
    <t>B</t>
  </si>
  <si>
    <t>C</t>
  </si>
  <si>
    <t>1-6</t>
  </si>
  <si>
    <t>1</t>
  </si>
  <si>
    <t>2</t>
  </si>
  <si>
    <t>3</t>
  </si>
  <si>
    <t>4</t>
  </si>
  <si>
    <t>5</t>
  </si>
  <si>
    <t>6</t>
  </si>
  <si>
    <t>1-4</t>
  </si>
  <si>
    <t>§Møc</t>
  </si>
  <si>
    <t>c«ng</t>
  </si>
  <si>
    <t>PCKV</t>
  </si>
  <si>
    <t>PCKV 0,1</t>
  </si>
  <si>
    <t>0,1</t>
  </si>
  <si>
    <t>(CPTT)</t>
  </si>
  <si>
    <t>(CP chung)</t>
  </si>
  <si>
    <t>2,34</t>
  </si>
  <si>
    <t>T</t>
  </si>
  <si>
    <t>H</t>
  </si>
  <si>
    <t>E ke</t>
  </si>
  <si>
    <t>Q</t>
  </si>
  <si>
    <t>kg</t>
  </si>
  <si>
    <t>Ram</t>
  </si>
  <si>
    <t>Q.</t>
  </si>
  <si>
    <t>Kg</t>
  </si>
  <si>
    <t>m3</t>
  </si>
  <si>
    <t xml:space="preserve">TH </t>
  </si>
  <si>
    <t>1/200</t>
  </si>
  <si>
    <t>1/500</t>
  </si>
  <si>
    <t>1/1000</t>
  </si>
  <si>
    <t>1/2000</t>
  </si>
  <si>
    <t>1/5000</t>
  </si>
  <si>
    <t>Kw</t>
  </si>
  <si>
    <t>Tuýp</t>
  </si>
  <si>
    <t>KK1</t>
  </si>
  <si>
    <t>KK2</t>
  </si>
  <si>
    <t>KK3</t>
  </si>
  <si>
    <t>KK4</t>
  </si>
  <si>
    <t>KK5</t>
  </si>
  <si>
    <t>Mia</t>
  </si>
  <si>
    <t>Diamat</t>
  </si>
  <si>
    <t>25-20%</t>
  </si>
  <si>
    <t>ram</t>
  </si>
  <si>
    <t>tuýp</t>
  </si>
  <si>
    <t>(2KTV4+2KTV6+1KTV10)</t>
  </si>
  <si>
    <t>(A)</t>
  </si>
  <si>
    <t>(B)</t>
  </si>
  <si>
    <t>(C)</t>
  </si>
  <si>
    <t>(D)</t>
  </si>
  <si>
    <t>(1)</t>
  </si>
  <si>
    <t>(2)</t>
  </si>
  <si>
    <t>(3)</t>
  </si>
  <si>
    <t>(4)</t>
  </si>
  <si>
    <t>(5)</t>
  </si>
  <si>
    <t>(6)</t>
  </si>
  <si>
    <t>(10)</t>
  </si>
  <si>
    <t>CP chung</t>
  </si>
  <si>
    <t>I- PHẦN NGOẠI NGHIỆP</t>
  </si>
  <si>
    <t>Số        TT</t>
  </si>
  <si>
    <t>ĐV tính</t>
  </si>
  <si>
    <t>Lương ngày</t>
  </si>
  <si>
    <t>Tỷ lệ 1/200</t>
  </si>
  <si>
    <t>Tỷ lệ 1/500</t>
  </si>
  <si>
    <t>Tỷ lệ 1/1000</t>
  </si>
  <si>
    <t>Tỷ lệ 1/2000</t>
  </si>
  <si>
    <t>Tỷ lệ 1/5000</t>
  </si>
  <si>
    <t>Đối soát thực địa</t>
  </si>
  <si>
    <t>Mảnh</t>
  </si>
  <si>
    <t>Lưới đo vẽ</t>
  </si>
  <si>
    <t>100 thửa</t>
  </si>
  <si>
    <t>Đo vẽ chi tiết</t>
  </si>
  <si>
    <t>II- PHẦN NỘI NGHIỆP</t>
  </si>
  <si>
    <t>Số hóa bản đồ địa chính:</t>
  </si>
  <si>
    <t>Chỉnh lý loại đất</t>
  </si>
  <si>
    <t>Lập bản vẽ bản đồ số</t>
  </si>
  <si>
    <t>Nhóm 5KTV6,0</t>
  </si>
  <si>
    <t>Nhóm 5KTV</t>
  </si>
  <si>
    <r>
      <t xml:space="preserve">Bổ sung sổ mục kê </t>
    </r>
    <r>
      <rPr>
        <sz val="10"/>
        <rFont val="Arial"/>
        <family val="2"/>
      </rPr>
      <t>(1KTV6)</t>
    </r>
  </si>
  <si>
    <t>7</t>
  </si>
  <si>
    <r>
      <t xml:space="preserve">Xác nhận hồ sơ các cấp </t>
    </r>
    <r>
      <rPr>
        <sz val="10"/>
        <rFont val="Arial"/>
        <family val="2"/>
      </rPr>
      <t>(1KTV6)</t>
    </r>
  </si>
  <si>
    <t>8</t>
  </si>
  <si>
    <t>9</t>
  </si>
  <si>
    <t>Danh mục                                             công việc</t>
  </si>
  <si>
    <t>Danh mục                                            công việc</t>
  </si>
  <si>
    <t>Loại KK</t>
  </si>
  <si>
    <t xml:space="preserve"> (Áp dụng theo đơn giá Số hóa bản đồ địa chính)</t>
  </si>
  <si>
    <t>CHI PHÍ NHÂN CÔNG ĐO ĐẠC CHỈNH LÝ BẢN ĐỒ ĐỊA CHÍNH</t>
  </si>
  <si>
    <t>đồng/công</t>
  </si>
  <si>
    <t>đồng/công;</t>
  </si>
  <si>
    <t>STT</t>
  </si>
  <si>
    <t>Nội dung</t>
  </si>
  <si>
    <t>Đơn vị tính</t>
  </si>
  <si>
    <t>Mức áp dụng</t>
  </si>
  <si>
    <t>Ghi chú</t>
  </si>
  <si>
    <t>Lương tối thiểu chung</t>
  </si>
  <si>
    <t>đồng/tháng</t>
  </si>
  <si>
    <t>Lương phụ</t>
  </si>
  <si>
    <t>%</t>
  </si>
  <si>
    <t>Trên lương cấp bậc</t>
  </si>
  <si>
    <t>Phụ cấp lưu động</t>
  </si>
  <si>
    <t>Phụ cấp trách nhiệm</t>
  </si>
  <si>
    <t>Trên lương tối thiểu, tính cho tổ 5 người</t>
  </si>
  <si>
    <t>Số ngày làm việc trong tháng</t>
  </si>
  <si>
    <t>ngày</t>
  </si>
  <si>
    <t>đồng/ngày</t>
  </si>
  <si>
    <t>CHI PHÍ DỤNG CỤ CHO CÔNG TÁC ĐO ĐẠC CHỈNH LÝ BẢN ĐỒ ĐỊA CHÍNH</t>
  </si>
  <si>
    <t>A - PHẦN NGOẠI NGHIỆP</t>
  </si>
  <si>
    <t>I- ĐỐI SOÁT THỰC ĐỊA</t>
  </si>
  <si>
    <t>Tính cho một mảnh bản đồ</t>
  </si>
  <si>
    <t>ĐVT</t>
  </si>
  <si>
    <t>Áo rét BHLĐ</t>
  </si>
  <si>
    <t>cái</t>
  </si>
  <si>
    <t>Ba lô</t>
  </si>
  <si>
    <t>Giầy cao cổ</t>
  </si>
  <si>
    <t>đôi</t>
  </si>
  <si>
    <t>Mũ cứng</t>
  </si>
  <si>
    <t>Quần áo BHLĐ</t>
  </si>
  <si>
    <t>bộ</t>
  </si>
  <si>
    <t>Tất sợi</t>
  </si>
  <si>
    <t>Bi đông nhựa</t>
  </si>
  <si>
    <t>Ống đựng bản đồ</t>
  </si>
  <si>
    <t>Thước cuộn vải 50 m</t>
  </si>
  <si>
    <t>Máy tính cầm tay</t>
  </si>
  <si>
    <t>Đồng hồ báo thức</t>
  </si>
  <si>
    <t xml:space="preserve"> Cộng dụng cụ chính (A)</t>
  </si>
  <si>
    <t>Tổng cộng (A+B)</t>
  </si>
  <si>
    <t>Đơn giá: đồng/ha</t>
  </si>
  <si>
    <t xml:space="preserve">Áo mưa bạt </t>
  </si>
  <si>
    <t xml:space="preserve">Giầy </t>
  </si>
  <si>
    <t xml:space="preserve">Áo rét BHLĐ </t>
  </si>
  <si>
    <t>Máy toàn đạc</t>
  </si>
  <si>
    <t>Máy tính xách tay</t>
  </si>
  <si>
    <t>Sổ điện tử</t>
  </si>
  <si>
    <t>Máy vi tính</t>
  </si>
  <si>
    <t>Bộ đồ nề</t>
  </si>
  <si>
    <t>Bộ</t>
  </si>
  <si>
    <t>Máy in phun Ao</t>
  </si>
  <si>
    <t>Bộ khắc chữ mặt mốc</t>
  </si>
  <si>
    <t>Máy điều hòa</t>
  </si>
  <si>
    <t>Cờ hiệu nhỏ</t>
  </si>
  <si>
    <t>Cái</t>
  </si>
  <si>
    <t>Máy pho to Ao</t>
  </si>
  <si>
    <t>Compa đơn</t>
  </si>
  <si>
    <t>Phần mềm vẽ BĐ</t>
  </si>
  <si>
    <t>Compa kép</t>
  </si>
  <si>
    <t>Điện năng</t>
  </si>
  <si>
    <t>Cưa cành</t>
  </si>
  <si>
    <t>Cuốc bàn</t>
  </si>
  <si>
    <t>Xe ô tô 9-12 chỗ</t>
  </si>
  <si>
    <t>Cuốc chim</t>
  </si>
  <si>
    <t>Bộ máy GPS 3 máy</t>
  </si>
  <si>
    <t>Dao phát cây</t>
  </si>
  <si>
    <t>Đèn pin</t>
  </si>
  <si>
    <t>Địa bàn kỹ thuật</t>
  </si>
  <si>
    <t>Găng tay bạt</t>
  </si>
  <si>
    <t>Hòm sắt đựng tàI liệu</t>
  </si>
  <si>
    <t>Hòm đựng máy, d. cụ</t>
  </si>
  <si>
    <t>Kìm cắt thép</t>
  </si>
  <si>
    <t>Máy tính tay casio</t>
  </si>
  <si>
    <t>Nilon che máy tấm 5m</t>
  </si>
  <si>
    <t>tấm</t>
  </si>
  <si>
    <t>Nilon gói tài liệu</t>
  </si>
  <si>
    <t>Tấm</t>
  </si>
  <si>
    <t>ống đựng bản đồ</t>
  </si>
  <si>
    <t>ống nhòm</t>
  </si>
  <si>
    <t>Ô che máy</t>
  </si>
  <si>
    <t>Qui phạm</t>
  </si>
  <si>
    <t>Thước đo độ</t>
  </si>
  <si>
    <t>Thước 3 cạnh ( tỷ lệ)</t>
  </si>
  <si>
    <t>Thước cuộn vải 50m</t>
  </si>
  <si>
    <t>Thước thép cuộn 2m</t>
  </si>
  <si>
    <t>Túi đựng tài liệu</t>
  </si>
  <si>
    <t>Xẻng</t>
  </si>
  <si>
    <t>Xô tôn đựng nước</t>
  </si>
  <si>
    <t>Bảng ngắm</t>
  </si>
  <si>
    <t>ẩm kế</t>
  </si>
  <si>
    <t>Nhiệt kế</t>
  </si>
  <si>
    <t>áp kế</t>
  </si>
  <si>
    <t>Máy in laze A4 0,5 kw</t>
  </si>
  <si>
    <t>Điện</t>
  </si>
  <si>
    <t>Bản đồ địa hình</t>
  </si>
  <si>
    <t>tờ</t>
  </si>
  <si>
    <t>Bảng tổng hợp TQ</t>
  </si>
  <si>
    <t>Bảng tính toán</t>
  </si>
  <si>
    <t>Băng dính loại vừa</t>
  </si>
  <si>
    <t>Cuộn</t>
  </si>
  <si>
    <t>Bìa đóng sổ</t>
  </si>
  <si>
    <t>Biên bản bàn giao TQ</t>
  </si>
  <si>
    <t xml:space="preserve">Đĩa mềm </t>
  </si>
  <si>
    <t>Đĩa CD</t>
  </si>
  <si>
    <t>đĩa</t>
  </si>
  <si>
    <t>Giấy Kroky</t>
  </si>
  <si>
    <t>Giấy A4 (nội)</t>
  </si>
  <si>
    <t>Mực in Lazer A4</t>
  </si>
  <si>
    <t>Hộp</t>
  </si>
  <si>
    <t>Mực  đen</t>
  </si>
  <si>
    <t>lọ</t>
  </si>
  <si>
    <t>Pin đèn</t>
  </si>
  <si>
    <t>Sổ kiểm nghiệm máy</t>
  </si>
  <si>
    <t>Sổ ghi chép</t>
  </si>
  <si>
    <t>Số liệu toạ độ đIểm gốc</t>
  </si>
  <si>
    <t>đIểm</t>
  </si>
  <si>
    <t>Số liệu độ cao đIểm gốc</t>
  </si>
  <si>
    <t>Xăng</t>
  </si>
  <si>
    <t>Lít</t>
  </si>
  <si>
    <t>Dầu nhờn</t>
  </si>
  <si>
    <t>Ngòi bút vẽ KT</t>
  </si>
  <si>
    <t>Giấy Ao loại 100g/m2</t>
  </si>
  <si>
    <t>Ghi chú điểm toạ độ cũ</t>
  </si>
  <si>
    <t>Ghi chú điểm độ cao cũ</t>
  </si>
  <si>
    <t>Ghi chú điểm toạ độ mới</t>
  </si>
  <si>
    <t>Sơn đỏ</t>
  </si>
  <si>
    <t>Sổ đo góc</t>
  </si>
  <si>
    <t>Sổ đo cạnh</t>
  </si>
  <si>
    <t>Sổ đo thiên đỉnh</t>
  </si>
  <si>
    <t>Xi măng</t>
  </si>
  <si>
    <t>Cát</t>
  </si>
  <si>
    <t>Đá dăm</t>
  </si>
  <si>
    <t>Dấu sứ</t>
  </si>
  <si>
    <t>Gỗ cốt pha dày 3 cm</t>
  </si>
  <si>
    <t>Đinh</t>
  </si>
  <si>
    <t>Sắt 10</t>
  </si>
  <si>
    <t>Búa đập đá, đóng cọc</t>
  </si>
  <si>
    <t>Bút kẻ thẳng</t>
  </si>
  <si>
    <t>Compa vòng tròn nhỏ</t>
  </si>
  <si>
    <t>Thước thép 30 m</t>
  </si>
  <si>
    <t>Ký hiệu bản đồ</t>
  </si>
  <si>
    <t>Kẹp sắt</t>
  </si>
  <si>
    <t>Pin khô</t>
  </si>
  <si>
    <t>Bút xoay đơn</t>
  </si>
  <si>
    <t>Thước 3 cạnh (tỷ lệ)</t>
  </si>
  <si>
    <t>Thước bẹt nhựa 60 cm</t>
  </si>
  <si>
    <t>Bản đồ ĐGHC 364/CT</t>
  </si>
  <si>
    <t>Cọc gỗ 4x30 cm +đinh 3cm</t>
  </si>
  <si>
    <t>Giấy can</t>
  </si>
  <si>
    <t>Mét</t>
  </si>
  <si>
    <t>Giấy gói hàng</t>
  </si>
  <si>
    <t>Tờ</t>
  </si>
  <si>
    <t>Mực màu</t>
  </si>
  <si>
    <t>Đinh sắt 10,15cm &amp; đệm</t>
  </si>
  <si>
    <t>Lưu điện</t>
  </si>
  <si>
    <t>Chuột máy tính</t>
  </si>
  <si>
    <t>Đầu ghi CD</t>
  </si>
  <si>
    <t>Mực in phun (4 hộp màu)</t>
  </si>
  <si>
    <t>USB 1GB</t>
  </si>
  <si>
    <t>Mực in Lazer A3</t>
  </si>
  <si>
    <t>Số</t>
  </si>
  <si>
    <t xml:space="preserve">Danh mục </t>
  </si>
  <si>
    <t>ĐV</t>
  </si>
  <si>
    <t xml:space="preserve"> đơn giá </t>
  </si>
  <si>
    <t>Dụng cụ</t>
  </si>
  <si>
    <t>tính</t>
  </si>
  <si>
    <t xml:space="preserve"> (đ) </t>
  </si>
  <si>
    <t xml:space="preserve"> (đ/ca) </t>
  </si>
  <si>
    <t>Thiết bị</t>
  </si>
  <si>
    <t>(năm)</t>
  </si>
  <si>
    <t>Khó khăn 1</t>
  </si>
  <si>
    <t>Khó khăn 2</t>
  </si>
  <si>
    <t>Khó khăn 3</t>
  </si>
  <si>
    <t>Khó khăn 4</t>
  </si>
  <si>
    <t>Khó khăn 5</t>
  </si>
  <si>
    <t>II- LƯỚI KHỐNG CHẾ ĐO VẼ</t>
  </si>
  <si>
    <t>Tính cho 100 thửa</t>
  </si>
  <si>
    <t>Búa đóng cọc</t>
  </si>
  <si>
    <t xml:space="preserve">Hòm sắt đựng tàI liệu </t>
  </si>
  <si>
    <t>quyển</t>
  </si>
  <si>
    <t>Quy phạm</t>
  </si>
  <si>
    <t>Máy tính tay</t>
  </si>
  <si>
    <t>Dụng cụ nhỏ (B=5%A)</t>
  </si>
  <si>
    <t>Cộng dụng cụ chính (A)</t>
  </si>
  <si>
    <t>Đơn giá: đồng/thửa</t>
  </si>
  <si>
    <t>thửa</t>
  </si>
  <si>
    <t>III- ĐO VẼ CHI TIẾT</t>
  </si>
  <si>
    <t>Vật liệu</t>
  </si>
  <si>
    <t>Đồng hồ treo tường</t>
  </si>
  <si>
    <t>Ghế tựa</t>
  </si>
  <si>
    <t>Bàn làm việc</t>
  </si>
  <si>
    <t>Tủ tài liệu</t>
  </si>
  <si>
    <t>Thước nhựa 30 cm</t>
  </si>
  <si>
    <t>Bàn đục lỗ</t>
  </si>
  <si>
    <t>Bàn dập ghim bé</t>
  </si>
  <si>
    <t>Bàn dập ghim to</t>
  </si>
  <si>
    <t>Kéo cắt giấy</t>
  </si>
  <si>
    <t>Dép xốp</t>
  </si>
  <si>
    <t>Đôi</t>
  </si>
  <si>
    <t>Cặp tài liệu (trình ký)</t>
  </si>
  <si>
    <t>Quạt trần 100 W</t>
  </si>
  <si>
    <t>Đèn neon 40 W</t>
  </si>
  <si>
    <t>Bàn vẽ kỹ thuật</t>
  </si>
  <si>
    <t>Giá để tài liệu</t>
  </si>
  <si>
    <t>Quạt thông gió 40W</t>
  </si>
  <si>
    <t xml:space="preserve"> Bút chì màu </t>
  </si>
  <si>
    <t xml:space="preserve"> cái </t>
  </si>
  <si>
    <t xml:space="preserve"> Tẩy chì </t>
  </si>
  <si>
    <t xml:space="preserve"> Kẹp giấy loại nhỏ </t>
  </si>
  <si>
    <t>B - PHẦN NỘI NGHIỆP</t>
  </si>
  <si>
    <t>I- SỐ HÓA BẢN ĐỒ ĐỊA CHÍNH</t>
  </si>
  <si>
    <t>Áp dụng theo đơn giá số hóa bản đồ địa chính</t>
  </si>
  <si>
    <t>ĐM (ca)</t>
  </si>
  <si>
    <t>T-Tiền (đồng)</t>
  </si>
  <si>
    <t>Danh mục                           dụng cụ chính</t>
  </si>
  <si>
    <t>Đơn giá ca máy (đồng/ca)</t>
  </si>
  <si>
    <t>Áo blu</t>
  </si>
  <si>
    <t>Tủ đựng tài liệu</t>
  </si>
  <si>
    <t>Đèn neon 40W</t>
  </si>
  <si>
    <t>Quạt trần 100W</t>
  </si>
  <si>
    <t>Ổn áp (chung) 10A</t>
  </si>
  <si>
    <t>USB flash</t>
  </si>
  <si>
    <t>Giày cao cổ</t>
  </si>
  <si>
    <t>Hòm sắt đựng tài liệu</t>
  </si>
  <si>
    <t>Thước nhựa bẹt 60 cm</t>
  </si>
  <si>
    <t>Máy ổn áp (chung)</t>
  </si>
  <si>
    <t>Đầu ghi CD 0,4 kw</t>
  </si>
  <si>
    <t>Đèn neon 0,04 kw</t>
  </si>
  <si>
    <t>Đèn bàn 100W</t>
  </si>
  <si>
    <t>Đơn giá: đồng/ha          loại khó khăn 1 - 6</t>
  </si>
  <si>
    <t xml:space="preserve">Ghi chú: </t>
  </si>
  <si>
    <t>CHI PHÍ VẬT LIỆU CHO CÔNG TÁC ĐO ĐẠC CHỈNH LÝ BẢN ĐỒ ĐỊA CHÍNH</t>
  </si>
  <si>
    <t>Đơn giá             vật liệu (đồng)</t>
  </si>
  <si>
    <t>Danh mục các                          vật liệu chính</t>
  </si>
  <si>
    <t>Đ-Mức</t>
  </si>
  <si>
    <t>Tính cho 01 thửa</t>
  </si>
  <si>
    <t>Ghi chú: Mức vật liệu cho công tác Lưới khống chế đo vẽ tính bằng 0,05 mức vật liệu của công tác Đo vẽ chi tiết</t>
  </si>
  <si>
    <t>Bản đồ địa giới HC</t>
  </si>
  <si>
    <t>Bảng tổng hợp thành quả</t>
  </si>
  <si>
    <t>cuộn</t>
  </si>
  <si>
    <t>BB bàn giao thành quả</t>
  </si>
  <si>
    <t>Giấy A4</t>
  </si>
  <si>
    <t>Sổ đo các loại</t>
  </si>
  <si>
    <t>Cọc gỗ 4 x 30 cm, đinh 3 cm</t>
  </si>
  <si>
    <t>Cộng vật liệu chính (A)</t>
  </si>
  <si>
    <t>Vật liệu phụ (B=8%A)</t>
  </si>
  <si>
    <t>Bản đồ địa chính</t>
  </si>
  <si>
    <t>Bút chì màu</t>
  </si>
  <si>
    <t>Tẩy chì</t>
  </si>
  <si>
    <t>Kẹp giấy loại nhỏ</t>
  </si>
  <si>
    <t xml:space="preserve"> Cộng vật liệu chính (A)</t>
  </si>
  <si>
    <t>Bản đồ địa giới hành chính</t>
  </si>
  <si>
    <t>Mực in Lazer</t>
  </si>
  <si>
    <t>hộp</t>
  </si>
  <si>
    <t>Mực in Plotter 4 màu</t>
  </si>
  <si>
    <t>CHI PHÍ THIẾT BỊ CHO CÔNG TÁC ĐO ĐẠC CHỈNH LÝ BẢN ĐỒ ĐỊA CHÍNH</t>
  </si>
  <si>
    <t>Không sử dụng thiết bị</t>
  </si>
  <si>
    <t xml:space="preserve"> Ca/100 thửa </t>
  </si>
  <si>
    <t>Danh mục</t>
  </si>
  <si>
    <t>Số lượng</t>
  </si>
  <si>
    <t xml:space="preserve"> Nguyên giá (đồng) </t>
  </si>
  <si>
    <t>Bản đồ tỷ lệ 1/200</t>
  </si>
  <si>
    <t>Sổ</t>
  </si>
  <si>
    <t>Máy vi tính xách tay</t>
  </si>
  <si>
    <t>Bản đồ tỷ lệ 1/500</t>
  </si>
  <si>
    <t>Bản đồ tỷ lệ 1/1.000</t>
  </si>
  <si>
    <t>Bản đồ tỷ lệ 1/2.000</t>
  </si>
  <si>
    <t>Bản đồ tỷ lệ 1/5.000</t>
  </si>
  <si>
    <t>Máy vi tính PC</t>
  </si>
  <si>
    <t>Thửa</t>
  </si>
  <si>
    <t>Bổ sung sổ mục kê</t>
  </si>
  <si>
    <t>Biên tập và in bản đồ</t>
  </si>
  <si>
    <t>Xác nhận hồ sơ các cấp</t>
  </si>
  <si>
    <t>Giao nộp sản phẩm</t>
  </si>
  <si>
    <t>ĐƠN GIÁ CHI TIẾT SẢN PHẨM ĐO ĐẠC CHỈNH LÝ BẢN ĐỒ ĐỊA CHÍNH TỶ LỆ 1/2.000 - KHU VỰC NÔNG THÔN</t>
  </si>
  <si>
    <t>Chi phí trực tiếp</t>
  </si>
  <si>
    <t>LĐKT</t>
  </si>
  <si>
    <t>LĐPT</t>
  </si>
  <si>
    <t>N. lượng</t>
  </si>
  <si>
    <t>Cộng</t>
  </si>
  <si>
    <t xml:space="preserve"> (7)=(1)+(2)+...+(6) </t>
  </si>
  <si>
    <t xml:space="preserve"> (8)=(7)x25(20)% </t>
  </si>
  <si>
    <t xml:space="preserve"> (9)=(7)+(8) </t>
  </si>
  <si>
    <t>Số            TT</t>
  </si>
  <si>
    <t>Tên sản phẩm</t>
  </si>
  <si>
    <t>Đ vị tính</t>
  </si>
  <si>
    <t>Đơn giá                    sản phẩm</t>
  </si>
  <si>
    <t>PHẦN NGOẠI NGHIỆP</t>
  </si>
  <si>
    <t>Lưới khống chế đo vẽ</t>
  </si>
  <si>
    <t>PHẦN NỘI NGHIỆP</t>
  </si>
  <si>
    <t>Số hóa bản đồ địa chính (chỉ thực hiện khi chỉnh lý bản đồ địa chính dạng giấy): Sử dụng đơn giá số hóa bản đồ địa chính)</t>
  </si>
  <si>
    <t>Chuyển nội dung chỉnh lý</t>
  </si>
  <si>
    <t>lên bản đồ gốc</t>
  </si>
  <si>
    <t>Chuyển chỉnh lý loại đất</t>
  </si>
  <si>
    <t>lên bản đồ địa chính gốc</t>
  </si>
  <si>
    <t>Chi phí vật liệu (đồng/thửa)</t>
  </si>
  <si>
    <t>TỔNG HỢP</t>
  </si>
  <si>
    <t>Phần đối soát thực địa; Biên tập và in bản đồ; xác nhận hồ sơ các cấp; giao nộp sản phẩm</t>
  </si>
  <si>
    <t>Phần đo đạc; lập bản vẽ; chỉnh lý bản đồ; bổ sung sổ mục kê</t>
  </si>
  <si>
    <t>Chuyển chỉnh lý loại đất lên</t>
  </si>
  <si>
    <t>bản đồ địa chính gốc</t>
  </si>
  <si>
    <t>ĐƠN GIÁ CHI TIẾT SẢN PHẨM ĐO ĐẠC CHỈNH LÝ BẢN ĐỒ ĐỊA CHÍNH TỶ LỆ 1/1.000 - KHU VỰC NÔNG THÔN</t>
  </si>
  <si>
    <t>ĐƠN GIÁ CHI TIẾT SẢN PHẨM ĐO ĐẠC CHỈNH LÝ BẢN ĐỒ ĐỊA CHÍNH TỶ LỆ 1/500 - KHU VỰC NÔNG THÔN</t>
  </si>
  <si>
    <t>II- ĐO VẼ CHI TIẾT</t>
  </si>
  <si>
    <t>ĐƠN GIÁ CHI TIẾT SẢN PHẨM ĐO ĐẠC CHỈNH LÝ BẢN ĐỒ ĐỊA CHÍNH TỶ LỆ 1/5.000 - KHU VỰC NÔNG THÔN</t>
  </si>
  <si>
    <t>ĐƠN GIÁ CHI TIẾT SẢN PHẨM ĐO ĐẠC CHỈNH LÝ BẢN ĐỒ ĐỊA CHÍNH TỶ LỆ 1/500 - KHU VỰC ĐÔ THỊ</t>
  </si>
  <si>
    <t>ĐƠN GIÁ CHI TIẾT SẢN PHẨM ĐO ĐẠC CHỈNH LÝ BẢN ĐỒ ĐỊA CHÍNH TỶ LỆ 1/1.000 - KHU VỰC ĐÔ THỊ</t>
  </si>
  <si>
    <t>ĐƠN GIÁ CHI TIẾT SẢN PHẨM ĐO ĐẠC CHỈNH LÝ BẢN ĐỒ ĐỊA CHÍNH TỶ LỆ 1/2.000 - KHU VỰC ĐÔ THỊ</t>
  </si>
  <si>
    <t>ĐƠN GIÁ CHI TIẾT SẢN PHẨM ĐO ĐẠC CHỈNH LÝ BẢN ĐỒ ĐỊA CHÍNH TỶ LỆ 1/5.000 - KHU VỰC ĐÔ THỊ</t>
  </si>
  <si>
    <t>Trên lương tối thiểu chung</t>
  </si>
  <si>
    <t>Phụ cấp độc hại, nguy hiểm</t>
  </si>
  <si>
    <t>Số TT</t>
  </si>
  <si>
    <t>Bậc lương</t>
  </si>
  <si>
    <t>Hệ số</t>
  </si>
  <si>
    <t>Ngoại nghiệp</t>
  </si>
  <si>
    <t>Nội nghiệp</t>
  </si>
  <si>
    <t>Lương tối thiểu chung:</t>
  </si>
  <si>
    <t xml:space="preserve">                 Nội nghiệp</t>
  </si>
  <si>
    <t xml:space="preserve">                 Ngoại nghiệp </t>
  </si>
  <si>
    <t>Phụ cấp khu vực (mức 0,1) cho 1 ngày công ngoại nghiệp</t>
  </si>
  <si>
    <t>Phụ cấp khu vực (mức 0,1) cho 1 ngày công nội nghiệp</t>
  </si>
  <si>
    <t xml:space="preserve">    Trong đó: - Chi phí trực tiếp</t>
  </si>
  <si>
    <t xml:space="preserve">                     - Chi phí chung</t>
  </si>
  <si>
    <t xml:space="preserve">Tỷ lệ tính chi phí chung </t>
  </si>
  <si>
    <t>PCKV:</t>
  </si>
  <si>
    <t>CÁC MỨC CHỈ TIÊU, HỆ SỐ CHỦ YẾU ÁP DỤNG TRONG TÍNH TOÁN ĐƠN GIÁ</t>
  </si>
  <si>
    <t>TỶ LỆ 1/200</t>
  </si>
  <si>
    <t>TỶ LỆ 1/500</t>
  </si>
  <si>
    <t>TỶ LỆ 1/1.000</t>
  </si>
  <si>
    <t>TỶ LỆ 1/2.000</t>
  </si>
  <si>
    <t>TỶ LỆ 1/5.000</t>
  </si>
  <si>
    <t>ĐƠN GIÁ TỔNG HỢP SẢN PHẨM ĐO ĐẠC CHỈNH LÝ BẢN ĐỒ ĐỊA CHÍNH - KHU VỰC NÔNG THÔN</t>
  </si>
  <si>
    <t>ĐƠN GIÁ TỔNG HỢP SẢN PHẨM ĐO ĐẠC CHỈNH LÝ BẢN ĐỒ ĐỊA CHÍNH - KHU VỰC ĐÔ THỊ</t>
  </si>
  <si>
    <t>Chi phí                    chung</t>
  </si>
  <si>
    <t>Chi phí          chung</t>
  </si>
  <si>
    <t>Đơn vị tính: đồng</t>
  </si>
  <si>
    <t>Bản đồ đồ địa chính</t>
  </si>
  <si>
    <t xml:space="preserve">tờ </t>
  </si>
  <si>
    <t xml:space="preserve">Bảng thống kê hiện trạng đo đạc ĐC các loại đất </t>
  </si>
  <si>
    <t>Sổ mục kê</t>
  </si>
  <si>
    <t>Giấy in A3 (nội)</t>
  </si>
  <si>
    <t>Cọc gỗ 4x4x30 cm để XĐRG</t>
  </si>
  <si>
    <t>Áo Blu</t>
  </si>
  <si>
    <t>Máy hút ẩm 2KW</t>
  </si>
  <si>
    <t>Máy hút bụi 1,5KW</t>
  </si>
  <si>
    <t>Bóng đèn 100w</t>
  </si>
  <si>
    <t>Máy ổn áp 10 KVA</t>
  </si>
  <si>
    <t>Lưu điện 600 VA</t>
  </si>
  <si>
    <t>Đèn điện 0,1 kw</t>
  </si>
  <si>
    <t>THSD</t>
  </si>
  <si>
    <r>
      <t xml:space="preserve">Máy toàn đạc DCX </t>
    </r>
    <r>
      <rPr>
        <sz val="10"/>
        <rFont val="Times New Roman"/>
        <family val="1"/>
      </rPr>
      <t xml:space="preserve">≥ </t>
    </r>
    <r>
      <rPr>
        <sz val="10"/>
        <rFont val="Arial"/>
        <family val="2"/>
      </rPr>
      <t>5"</t>
    </r>
  </si>
  <si>
    <r>
      <t xml:space="preserve">Máy toàn đạc DCX </t>
    </r>
    <r>
      <rPr>
        <sz val="10"/>
        <rFont val="Times New Roman"/>
        <family val="1"/>
      </rPr>
      <t xml:space="preserve">&lt; </t>
    </r>
    <r>
      <rPr>
        <sz val="10"/>
        <rFont val="Arial"/>
        <family val="2"/>
      </rPr>
      <t>5"</t>
    </r>
  </si>
  <si>
    <t>Máy bộ đàm (3 máy)</t>
  </si>
  <si>
    <t>Máy in Laser A4 0,6 kw</t>
  </si>
  <si>
    <t>2,67</t>
  </si>
  <si>
    <t>3,00</t>
  </si>
  <si>
    <t>3,33</t>
  </si>
  <si>
    <t>3,66</t>
  </si>
  <si>
    <t>3,99</t>
  </si>
  <si>
    <t>4,32</t>
  </si>
  <si>
    <t>4,65</t>
  </si>
  <si>
    <t>2,26</t>
  </si>
  <si>
    <t>2,46</t>
  </si>
  <si>
    <t>2,66</t>
  </si>
  <si>
    <t>2,86</t>
  </si>
  <si>
    <t>3,06</t>
  </si>
  <si>
    <t>3,26</t>
  </si>
  <si>
    <t>3,46</t>
  </si>
  <si>
    <t>3,86</t>
  </si>
  <si>
    <t>4,06</t>
  </si>
  <si>
    <t>2,41</t>
  </si>
  <si>
    <t>Tỷ lệ 1/10000</t>
  </si>
  <si>
    <t>ĐM
 (công)</t>
  </si>
  <si>
    <t>T-tiền 
(đồng)</t>
  </si>
  <si>
    <t>ĐM
(công)</t>
  </si>
  <si>
    <t>T-tiền
(đồng)</t>
  </si>
  <si>
    <t>ĐV
tính</t>
  </si>
  <si>
    <t xml:space="preserve">    LĐPT khu vực nông thôn:</t>
  </si>
  <si>
    <t>LĐPT khu vực đô thị:</t>
  </si>
  <si>
    <t>Nhóm 2 (1KTV4 + 1KTV6)</t>
  </si>
  <si>
    <t>Lập bản vẽ bản đồ địa chính</t>
  </si>
  <si>
    <t>Nhóm 2 (1KTV6 + 1KTV10)</t>
  </si>
  <si>
    <t xml:space="preserve">Chuyển nội dung chỉnh lý </t>
  </si>
  <si>
    <t>1-5</t>
  </si>
  <si>
    <r>
      <t xml:space="preserve">lên BĐĐC gốc </t>
    </r>
    <r>
      <rPr>
        <sz val="10"/>
        <rFont val="Arial"/>
        <family val="2"/>
      </rPr>
      <t>(1KTV6</t>
    </r>
    <r>
      <rPr>
        <b/>
        <sz val="10"/>
        <rFont val="Arial"/>
        <family val="2"/>
      </rPr>
      <t>)</t>
    </r>
  </si>
  <si>
    <r>
      <t xml:space="preserve">Biên tập bản đồ và in </t>
    </r>
    <r>
      <rPr>
        <sz val="10"/>
        <rFont val="Arial"/>
        <family val="2"/>
      </rPr>
      <t>(1KTV6)</t>
    </r>
  </si>
  <si>
    <r>
      <t xml:space="preserve">Giao nộp sản phẩm </t>
    </r>
    <r>
      <rPr>
        <sz val="10"/>
        <rFont val="Arial"/>
        <family val="2"/>
      </rPr>
      <t>(2KTV6)</t>
    </r>
  </si>
  <si>
    <t>1/10000</t>
  </si>
  <si>
    <t>Đơn giá: đồng/thửa           loại khó khăn 1 - 5</t>
  </si>
  <si>
    <t>V- BIÊN TẬP BẢN ĐỒ VÀ IN; XÁC NHẬN HỒ SƠ CÁC CẤP; GIAO NỘP SẢN PHẨM</t>
  </si>
  <si>
    <t>II- LẬP BẢN VẼ BẢN ĐỒ ĐỊA CHÍNH</t>
  </si>
  <si>
    <t>III- BỔ SUNG SỔ MỤC KÊ</t>
  </si>
  <si>
    <t>IV- BIÊN TẬP BẢN ĐỒ VÀ IN; XÁC NHẬN HỒ SƠ CÁC CẤP; GIAO NỘP SẢN PHẨM</t>
  </si>
  <si>
    <t>Ghi chú:</t>
  </si>
  <si>
    <t>Bản đồ tỷ lệ 1/10.000</t>
  </si>
  <si>
    <t>Máy in laser 0,5 kw</t>
  </si>
  <si>
    <t>Bản đồ tỷ lệ 1/200, 1/500, 1/1.000, 1/2.000, 1/5.000, 1/10.000</t>
  </si>
  <si>
    <t>Lập bản vẽ BĐĐC</t>
  </si>
  <si>
    <t>Biên tập bản đồ và in</t>
  </si>
  <si>
    <t>Phần đối soát thực địa; Biên tập bản đồ và in; xác nhận hồ sơ các cấp; giao nộp sản phẩm</t>
  </si>
  <si>
    <t>ĐƠN GIÁ CHI TIẾT SẢN PHẨM ĐO ĐẠC CHỈNH LÝ BẢN ĐỒ ĐỊA CHÍNH TỶ LỆ 1/10.000 - KHU VỰC NÔNG THÔN</t>
  </si>
  <si>
    <t>Lương
cấp bậc</t>
  </si>
  <si>
    <t>Lương phụ
(11%)</t>
  </si>
  <si>
    <t>Phụ cấp
lưu động
(0,4)</t>
  </si>
  <si>
    <t>Phụ cấp
trách nhiệm
(0,2/5)</t>
  </si>
  <si>
    <t>PC độc hại,
nguy hiểm
(0,2)</t>
  </si>
  <si>
    <t>BHXH, BHYT,
KPCĐ, BHTN
(24%)</t>
  </si>
  <si>
    <t>Lương
tháng</t>
  </si>
  <si>
    <t>Lương
ngày</t>
  </si>
  <si>
    <t>III</t>
  </si>
  <si>
    <t>TỶ LỆ 1/1000</t>
  </si>
  <si>
    <t>IV</t>
  </si>
  <si>
    <t>TỶ LỆ 1/2000</t>
  </si>
  <si>
    <t>V</t>
  </si>
  <si>
    <t>TỶ LỆ 1/5000</t>
  </si>
  <si>
    <t>VI</t>
  </si>
  <si>
    <t>TỶ LỆ 1/10000</t>
  </si>
  <si>
    <r>
      <t xml:space="preserve">Đơn giá
ca máy
</t>
    </r>
    <r>
      <rPr>
        <b/>
        <sz val="9"/>
        <rFont val="Arial"/>
        <family val="2"/>
        <charset val="163"/>
      </rPr>
      <t>(đồng/ca)</t>
    </r>
  </si>
  <si>
    <t>ĐM
(ca)</t>
  </si>
  <si>
    <t>T-Tiền
(đồng)</t>
  </si>
  <si>
    <t>Đơn giá
dụng cụ
(đồng)</t>
  </si>
  <si>
    <t>KW</t>
  </si>
  <si>
    <t>kw</t>
  </si>
  <si>
    <t>Phần đo vẽ chi tiết; lập bản vẽ; chỉnh lý bản đồ; bổ sung sổ mục kê</t>
  </si>
  <si>
    <t xml:space="preserve">ĐƠN GIÁ CHI TIẾT SẢN PHẨM ĐO ĐẠC CHỈNH LÝ BẢN ĐỒ ĐỊA CHÍNH TỶ LỆ 1/200 </t>
  </si>
  <si>
    <t>ĐƠN GIÁ CHI TIẾT SẢN PHẨM ĐO ĐẠC CHỈNH LÝ BẢN ĐỒ ĐỊA CHÍNH TỶ LỆ 1/500</t>
  </si>
  <si>
    <t xml:space="preserve">ĐƠN GIÁ CHI TIẾT SẢN PHẨM ĐO ĐẠC CHỈNH LÝ BẢN ĐỒ ĐỊA CHÍNH TỶ LỆ 1/1.000 </t>
  </si>
  <si>
    <t>ĐƠN GIÁ CHI TIẾT SẢN PHẨM ĐO ĐẠC CHỈNH LÝ BẢN ĐỒ ĐỊA CHÍNH TỶ LỆ 1/2.000</t>
  </si>
  <si>
    <t xml:space="preserve">ĐƠN GIÁ CHI TIẾT SẢN PHẨM ĐO ĐẠC CHỈNH LÝ BẢN ĐỒ ĐỊA CHÍNH TỶ LỆ 1/5.000 </t>
  </si>
  <si>
    <t>ĐƠN GIÁ CHI TIẾT SẢN PHẨM ĐO ĐẠC CHỈNH LÝ BẢN ĐỒ ĐỊA CHÍNH TỶ LỆ 1/10.000</t>
  </si>
  <si>
    <t xml:space="preserve">ĐƠN GIÁ TỔNG HỢP SẢN PHẨM ĐO ĐẠC CHỈNH LÝ BẢN ĐỒ ĐỊA CHÍNH </t>
  </si>
  <si>
    <t>Hệ số mức do thời tiết cho công tác ngoại nghiệp</t>
  </si>
  <si>
    <t>Hệ số mức do thời tiết cho công tác nội nghiệp</t>
  </si>
  <si>
    <t>II- LƯỚI ĐO VẼ</t>
  </si>
  <si>
    <t xml:space="preserve"> </t>
  </si>
  <si>
    <r>
      <t xml:space="preserve">     - </t>
    </r>
    <r>
      <rPr>
        <sz val="11"/>
        <rFont val="Arial"/>
        <family val="2"/>
        <charset val="163"/>
      </rPr>
      <t>Mức tại 2 bảng trên tính cho mảnh bản đồ có mức độ biến động từ 15% số thửa đất trở xuống; trường hợp mảnh bản đồ có mức độ biến động trên 15% số thửa thì số lượng thửa đất biến động trên 15% đến 25% được tính bằng 0,9 lần mức trên; số lượng thửa đất biến động trên 25% đến 40%hoặc trên 40% nhưng các thửa đất biến động không tập trung được tính bằng 0,8 lần mức trên.</t>
    </r>
  </si>
  <si>
    <r>
      <t xml:space="preserve">    - </t>
    </r>
    <r>
      <rPr>
        <sz val="11"/>
        <rFont val="Arial"/>
        <family val="2"/>
      </rPr>
      <t>Mức cho lập bản vẽ truyền thống được tính như mức lập bản vẽ bản đồ số.</t>
    </r>
  </si>
  <si>
    <t>mét</t>
  </si>
  <si>
    <t>Bảng thống kê hiện trạng đo đạc địa chính các loại đất</t>
  </si>
  <si>
    <t>III- LƯỚI ĐO VẼ</t>
  </si>
  <si>
    <t>Bảng thống kê hiện trạng ĐĐĐC các loại đất</t>
  </si>
  <si>
    <t>Bảng thống kê hiện trạng đo đạc ĐC</t>
  </si>
  <si>
    <t>Bảng thống kê hiện trạng Đ Đ Đ C các loại đất</t>
  </si>
  <si>
    <t>C/suất (kW/h)</t>
  </si>
  <si>
    <t>Công suất (kW/h)</t>
  </si>
  <si>
    <t>- Mức tại bảng trên tính cho mảnh bản đồ có mức độ biến động từ 15% số thửa đất trở xuống; trường hợp mảnh bản đồ có mức độ biến động trên 15% số thửa thì số lượng thửa đất đất biến động trên 15% đến 25% được tính bằng 0,9 lần mức trên; số lượng thửa đất biến động trên 25% đến 40% hoặc trên 40% nhưng các thửa đất biến động không tập trung được tính bằng 0,8 lần mức trên</t>
  </si>
  <si>
    <t>GHI CHÚ</t>
  </si>
  <si>
    <t xml:space="preserve"> - Mức tại bảng trên tính cho mảnh bản đồ có biến động từ 15% số thửa đất trở xuống; trường hợp mảnh bản đồ có mức độ biến động trên 15% số thửa thì số lượng thửa đất biến động trên 15% đến 25% được tính bằng 0,9 lần mức trên; số lượng thửa đất biến động trên 25% đến 40% hoặc trên 40% nhưng các thửa đất biến động không tập trung được tính bằng 0,8 lần mức trên</t>
  </si>
  <si>
    <r>
      <t xml:space="preserve">- </t>
    </r>
    <r>
      <rPr>
        <sz val="10"/>
        <rFont val="Arial"/>
        <family val="2"/>
        <charset val="163"/>
      </rPr>
      <t>Mức vật liệu cho lập bản vẽ thuyền thống tính như mức vật liệu cho lập bản vẽ bản đồ số</t>
    </r>
  </si>
  <si>
    <r>
      <t xml:space="preserve">- </t>
    </r>
    <r>
      <rPr>
        <sz val="10"/>
        <rFont val="Arial"/>
        <family val="2"/>
      </rPr>
      <t>Mức tại bảng trên tính cho mảnh bản đồ có mức độ biến động từ 15% số thửa đất trở xuống; trường hợp mảnh bản đồ có mức độ biến động trên 15% số thửa đất thì số lượng thửa đất biến động trên 15% đến 25% được tính bằng 0,9 lần mức trên; số lượng thửa đất biến động trên 25% đến 40% hoặc trên 40% nhưng các thửa đất biến động không tập trung được tính bằng 0,8 lần mức trên.</t>
    </r>
    <r>
      <rPr>
        <b/>
        <sz val="10"/>
        <rFont val="Arial"/>
        <family val="2"/>
      </rPr>
      <t xml:space="preserve"> </t>
    </r>
  </si>
  <si>
    <t xml:space="preserve"> - Mức tại bảng trên tính cho mảnh bản đồ có mức độ biến động từ 15% số thửa đất trở xuống; trường hợp mảnh bản đồ có mức độ biến động trên 15% số thửa thì số lượng thửa đất đất biến động trên 15% đến 25% được tính bằng 0,9 lần mức trên; số lượng thửa đất biến động trên 25% đến 40% hoặc trên 40% nhưng các thửa đất biến động không tập trung được tính bằng 0,8 lần mức trên</t>
  </si>
  <si>
    <t xml:space="preserve"> - Mức dụng cụ cho các loại khó khăn khác nhau là như nhau</t>
  </si>
  <si>
    <t xml:space="preserve"> - Mức tại bảng trên tính cho mảnh bản đồ có mức độ biến động từ 15% số thửa đất trở xuống; trường hợp mảnh bản đồ có mức độ biến động trên 15% số thửa thì số lượng thửa đất biến động trên 15% đến 25% được tính bằng 0,9 lần mức trên; số lượng thửa đất biến động trên 25% đến 40% hoặc trên 40% nhưng các thửa đất biến động không tập trung được tính bằng 0,8 lần mức trên.</t>
  </si>
  <si>
    <t xml:space="preserve"> - Mức tại 2 bảng trên tính cho mảnh bản đồ có mức độ biến động từ 15% số thửa đất trở xuống; trường hợp mảnh bản đồ có mức độ biến động trên 15% số thửa thì số lượng thửa đất biến động trên 15% đến 25% được tính bằng 0,9 lần mức trên; số lượng thửa đất biến động trên 25% đến 40% hoặc trên 40% nhưng các thửa đất biến động không tập trung được tính bằng 0,8 lần mức trên.</t>
  </si>
  <si>
    <t xml:space="preserve"> - Mức lưới đo vẽ chỉ áp dụng khi phải lập lưới khống chế đo vẽ.</t>
  </si>
  <si>
    <t xml:space="preserve"> - Mức tại 2 bảng trên tính cho mảnh bản đồ có mức độ biến động từ 15% số thửa đất trở xuống; trường hợp mảnh bản đồ có mức độ biến động tên 15% số thửa thì số lượng thửa đất bất độn trên 15% đến 25% được tính bằng 0,9 lần mức trên; số lượng thửa đất biến động trên 15% đến 40% hoặc trên 40% nhưng các thửa đất biến động không tập trung được tính bằng 0,8 lần mức trên.</t>
  </si>
  <si>
    <t xml:space="preserve">  -Mức tại bảng trên tính cho mảnh bản đồ có mức độ biến động từ 15% số thửa đất trở xuống; trường hợp mảnh bản đồ có mức độ biến động trên 15% số thửa thì số lượng thửa đất đất biến động trên 15% đến 25% được tính bằng 0,9 lần mức trên; số lượng thửa đất biến động trên 25% đến 40% hoặc trên 40% nhưng các thửa đất biến động không tập trung được tính bằng 0,8 lần mức trên</t>
  </si>
  <si>
    <t xml:space="preserve"> -  Mức tại bảng trên tính cho mảnh bản đồ có mức độ biến động từ 15% số thửa đất trở xuống; trường hợp mảnh bản đồ có mức độ biến động trên 15% số thửa thì số lượng thửa đất đất biến động trên 15% đến 25% được tính bằng 0,9 lần mức trên; số lượng thửa đất biến động trên 25% đến 40% hoặc trên 40% nhưng các thửa đất biến động không tập trung được tính bằng 0,8 lần mức trên</t>
  </si>
  <si>
    <t xml:space="preserve"> - Mức lưới đo vẽ chỉ áp dụng khi phải lập lưới khống chế đo vẽ</t>
  </si>
  <si>
    <t xml:space="preserve"> - Mức thiết bị cho các loại khó khăn khác nhau là như nhau</t>
  </si>
  <si>
    <t xml:space="preserve">  - Mức thiết bị cho các loại khó khăn khác nhau là như nhau</t>
  </si>
  <si>
    <t>CHI PHÍ NĂNG LƯỢNG CHO CÔNG TÁC ĐO ĐẠC CHỈNH LÝ BẢN ĐỒ ĐỊA CHÍNH</t>
  </si>
  <si>
    <t>I- ĐỐI SOÁT THỰC ĐỊA:</t>
  </si>
  <si>
    <t>Không sử dụng điện năng</t>
  </si>
  <si>
    <t xml:space="preserve">Đơn giá
(đồng) </t>
  </si>
  <si>
    <t>ĐM
(Kw)</t>
  </si>
  <si>
    <r>
      <t xml:space="preserve">     - </t>
    </r>
    <r>
      <rPr>
        <sz val="11"/>
        <rFont val="Arial"/>
        <family val="2"/>
      </rPr>
      <t>Mức năng lượng trong bảng trên chỉ tính cho công việc biên tập bản đồ và in</t>
    </r>
  </si>
  <si>
    <t xml:space="preserve">LĐPT tăng thêm vùng TXKỳ Anh và TP Hà Tĩnh </t>
  </si>
  <si>
    <t>(11)</t>
  </si>
  <si>
    <t>LĐPT tăng thêm vùng TXKỳ Anh và TP Hà Tĩnh</t>
  </si>
  <si>
    <t>Đơn giá tiền công LĐPT khu vực nông thôn vùng IV</t>
  </si>
  <si>
    <t>Đơn giá tiền công LĐPT khu vực đô thị vùng IV</t>
  </si>
  <si>
    <t>Lái xe</t>
  </si>
  <si>
    <t>Kỹ sư</t>
  </si>
  <si>
    <t>Kỹ thuật viên</t>
  </si>
  <si>
    <t>Bảng lương ngày đo đạc chỉnh lý bản đồ địa chính</t>
  </si>
  <si>
    <t>đồng</t>
  </si>
  <si>
    <t>Áp dụng từ 01/7/2017</t>
  </si>
  <si>
    <t>Quy định tại Thông tư liên tịch số 136/2017/BTC ngày 22/12/2017</t>
  </si>
  <si>
    <t>Đơn giá                    sản phẩm (TP,TX KY ANH)</t>
  </si>
  <si>
    <t>BHXH -BH TNLĐ - BNN-  BHYT - BH thất nghiệp - KPCĐ</t>
  </si>
  <si>
    <t xml:space="preserve">(Kèm theo Quyết định số          /2018/QĐ-UBND ngày     tháng     năm 2018 của UBND tỉnh Hà Tĩnh)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</si>
</sst>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87" formatCode="_-* #,##0.00_-;\-* #,##0.00_-;_-* &quot;-&quot;??_-;_-@_-"/>
    <numFmt numFmtId="188" formatCode="_(* #,##0_);_(* \(#,##0\);_(* &quot;-&quot;??_);_(@_)"/>
    <numFmt numFmtId="189" formatCode="0.000"/>
    <numFmt numFmtId="190" formatCode="0.0"/>
    <numFmt numFmtId="192" formatCode="#,##0.000"/>
    <numFmt numFmtId="193" formatCode="#,##0.0000"/>
    <numFmt numFmtId="194" formatCode="#,##0.0"/>
    <numFmt numFmtId="195" formatCode="_(* #,##0.0_);_(* \(#,##0.0\);_(* &quot;-&quot;??_);_(@_)"/>
    <numFmt numFmtId="197" formatCode="_(* #,##0.000_);_(* \(#,##0.000\);_(* &quot;-&quot;??_);_(@_)"/>
  </numFmts>
  <fonts count="58">
    <font>
      <sz val="13"/>
      <name val=".VnTime"/>
    </font>
    <font>
      <sz val="13"/>
      <name val=".VnTime"/>
    </font>
    <font>
      <b/>
      <sz val="14"/>
      <name val=".VnArialH"/>
      <family val="2"/>
    </font>
    <font>
      <sz val="10"/>
      <name val=".VnArial"/>
      <family val="2"/>
    </font>
    <font>
      <b/>
      <sz val="8"/>
      <name val=".VnArial"/>
      <family val="2"/>
    </font>
    <font>
      <sz val="8"/>
      <name val=".VnArial"/>
      <family val="2"/>
    </font>
    <font>
      <b/>
      <sz val="10"/>
      <name val=".VnArial"/>
      <family val="2"/>
    </font>
    <font>
      <sz val="10"/>
      <name val="Arial"/>
      <family val="2"/>
    </font>
    <font>
      <sz val="10"/>
      <name val=".VnTime"/>
      <family val="2"/>
    </font>
    <font>
      <sz val="8"/>
      <name val=".VnTime"/>
      <family val="2"/>
    </font>
    <font>
      <i/>
      <sz val="9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1"/>
      <name val="Arial"/>
      <family val="2"/>
    </font>
    <font>
      <i/>
      <sz val="11"/>
      <name val=".VnArial"/>
      <family val="2"/>
    </font>
    <font>
      <sz val="11"/>
      <name val=".VnTime"/>
      <family val="2"/>
    </font>
    <font>
      <b/>
      <sz val="10"/>
      <name val=".VnTime"/>
      <family val="2"/>
    </font>
    <font>
      <sz val="12"/>
      <name val=".VnTime"/>
      <family val="2"/>
    </font>
    <font>
      <b/>
      <sz val="11"/>
      <name val="Arial"/>
      <family val="2"/>
    </font>
    <font>
      <b/>
      <sz val="11"/>
      <name val=".VnTime"/>
      <family val="2"/>
    </font>
    <font>
      <b/>
      <sz val="10"/>
      <name val="Arial"/>
      <family val="2"/>
    </font>
    <font>
      <b/>
      <sz val="13"/>
      <name val=".VnTime"/>
      <family val="2"/>
    </font>
    <font>
      <b/>
      <sz val="10"/>
      <name val=".VnTimeH"/>
      <family val="2"/>
    </font>
    <font>
      <b/>
      <sz val="11"/>
      <name val=".VnArialH"/>
      <family val="2"/>
    </font>
    <font>
      <b/>
      <sz val="11"/>
      <name val=".VnTime"/>
      <family val="2"/>
    </font>
    <font>
      <sz val="13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3"/>
      <name val=".VnTime"/>
      <family val="2"/>
    </font>
    <font>
      <b/>
      <sz val="10"/>
      <name val="Arial"/>
      <family val="2"/>
      <charset val="163"/>
    </font>
    <font>
      <sz val="10"/>
      <name val="Times New Roman"/>
      <family val="1"/>
    </font>
    <font>
      <sz val="11"/>
      <name val="Arial"/>
      <family val="2"/>
      <charset val="163"/>
    </font>
    <font>
      <b/>
      <sz val="9"/>
      <name val="Arial"/>
      <family val="2"/>
      <charset val="163"/>
    </font>
    <font>
      <sz val="8"/>
      <name val=".VnTime"/>
    </font>
    <font>
      <sz val="9"/>
      <name val=".VnTime"/>
    </font>
    <font>
      <sz val="10"/>
      <name val="Arial"/>
      <family val="2"/>
      <charset val="163"/>
    </font>
    <font>
      <sz val="10"/>
      <name val=".VnTime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"/>
      <name val="Arial"/>
      <family val="2"/>
    </font>
    <font>
      <sz val="10"/>
      <name val="Arial"/>
      <charset val="163"/>
    </font>
    <font>
      <b/>
      <sz val="9"/>
      <name val=".VnTime"/>
      <family val="2"/>
    </font>
    <font>
      <sz val="9"/>
      <name val=".VnTime"/>
      <family val="2"/>
    </font>
    <font>
      <sz val="9"/>
      <name val=".VnArial"/>
      <family val="2"/>
    </font>
    <font>
      <b/>
      <sz val="9"/>
      <name val=".VnArialH"/>
      <family val="2"/>
    </font>
    <font>
      <b/>
      <sz val="9"/>
      <name val=".Vn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8" fillId="0" borderId="0"/>
    <xf numFmtId="0" fontId="25" fillId="0" borderId="0"/>
    <xf numFmtId="0" fontId="25" fillId="0" borderId="0"/>
    <xf numFmtId="187" fontId="1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/>
    <xf numFmtId="0" fontId="50" fillId="0" borderId="0"/>
  </cellStyleXfs>
  <cellXfs count="105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8" fillId="0" borderId="0" xfId="0" applyFont="1" applyFill="1"/>
    <xf numFmtId="188" fontId="3" fillId="0" borderId="0" xfId="4" applyNumberFormat="1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0" xfId="0" applyBorder="1"/>
    <xf numFmtId="0" fontId="15" fillId="0" borderId="0" xfId="0" applyFont="1"/>
    <xf numFmtId="0" fontId="7" fillId="0" borderId="0" xfId="0" applyFont="1"/>
    <xf numFmtId="188" fontId="6" fillId="0" borderId="4" xfId="4" applyNumberFormat="1" applyFont="1" applyBorder="1" applyAlignment="1">
      <alignment horizontal="center"/>
    </xf>
    <xf numFmtId="188" fontId="3" fillId="0" borderId="4" xfId="4" applyNumberFormat="1" applyFont="1" applyBorder="1" applyAlignment="1"/>
    <xf numFmtId="188" fontId="3" fillId="0" borderId="4" xfId="4" applyNumberFormat="1" applyFont="1" applyBorder="1" applyAlignment="1">
      <alignment horizontal="center"/>
    </xf>
    <xf numFmtId="49" fontId="3" fillId="0" borderId="1" xfId="4" applyNumberFormat="1" applyFont="1" applyBorder="1" applyAlignment="1">
      <alignment horizontal="center"/>
    </xf>
    <xf numFmtId="188" fontId="3" fillId="0" borderId="1" xfId="4" applyNumberFormat="1" applyFont="1" applyBorder="1" applyAlignment="1">
      <alignment horizontal="center"/>
    </xf>
    <xf numFmtId="188" fontId="6" fillId="0" borderId="1" xfId="4" applyNumberFormat="1" applyFont="1" applyBorder="1" applyAlignment="1">
      <alignment horizontal="center"/>
    </xf>
    <xf numFmtId="49" fontId="6" fillId="0" borderId="1" xfId="4" applyNumberFormat="1" applyFont="1" applyBorder="1" applyAlignment="1">
      <alignment horizontal="center"/>
    </xf>
    <xf numFmtId="49" fontId="3" fillId="0" borderId="2" xfId="4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88" fontId="3" fillId="0" borderId="1" xfId="4" applyNumberFormat="1" applyFont="1" applyBorder="1" applyAlignment="1"/>
    <xf numFmtId="0" fontId="3" fillId="0" borderId="6" xfId="0" applyFont="1" applyBorder="1" applyAlignment="1">
      <alignment horizontal="center"/>
    </xf>
    <xf numFmtId="192" fontId="0" fillId="0" borderId="0" xfId="0" applyNumberFormat="1"/>
    <xf numFmtId="192" fontId="8" fillId="0" borderId="0" xfId="0" applyNumberFormat="1" applyFont="1"/>
    <xf numFmtId="0" fontId="6" fillId="0" borderId="0" xfId="0" applyFont="1" applyBorder="1"/>
    <xf numFmtId="0" fontId="8" fillId="0" borderId="0" xfId="0" applyFont="1" applyBorder="1"/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/>
    <xf numFmtId="3" fontId="8" fillId="0" borderId="0" xfId="0" applyNumberFormat="1" applyFont="1"/>
    <xf numFmtId="188" fontId="3" fillId="0" borderId="0" xfId="4" applyNumberFormat="1" applyFont="1" applyBorder="1" applyAlignment="1">
      <alignment horizontal="center"/>
    </xf>
    <xf numFmtId="188" fontId="3" fillId="0" borderId="0" xfId="0" applyNumberFormat="1" applyFont="1" applyBorder="1"/>
    <xf numFmtId="188" fontId="20" fillId="0" borderId="1" xfId="4" applyNumberFormat="1" applyFont="1" applyBorder="1"/>
    <xf numFmtId="0" fontId="22" fillId="0" borderId="0" xfId="0" applyFont="1"/>
    <xf numFmtId="0" fontId="20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1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/>
    </xf>
    <xf numFmtId="3" fontId="3" fillId="0" borderId="1" xfId="4" applyNumberFormat="1" applyFont="1" applyFill="1" applyBorder="1" applyAlignment="1">
      <alignment vertical="center"/>
    </xf>
    <xf numFmtId="192" fontId="3" fillId="0" borderId="1" xfId="4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8" fontId="16" fillId="0" borderId="0" xfId="4" applyNumberFormat="1" applyFont="1" applyAlignment="1">
      <alignment horizontal="left"/>
    </xf>
    <xf numFmtId="3" fontId="8" fillId="0" borderId="0" xfId="0" applyNumberFormat="1" applyFont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188" fontId="3" fillId="2" borderId="9" xfId="4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192" fontId="16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192" fontId="16" fillId="0" borderId="11" xfId="0" applyNumberFormat="1" applyFont="1" applyBorder="1" applyAlignment="1">
      <alignment horizontal="center" vertical="center"/>
    </xf>
    <xf numFmtId="192" fontId="8" fillId="0" borderId="1" xfId="0" applyNumberFormat="1" applyFont="1" applyBorder="1" applyAlignment="1">
      <alignment vertical="center"/>
    </xf>
    <xf numFmtId="192" fontId="8" fillId="0" borderId="2" xfId="0" applyNumberFormat="1" applyFont="1" applyBorder="1" applyAlignment="1">
      <alignment vertical="center"/>
    </xf>
    <xf numFmtId="192" fontId="8" fillId="0" borderId="0" xfId="0" applyNumberFormat="1" applyFont="1" applyAlignment="1">
      <alignment vertical="center"/>
    </xf>
    <xf numFmtId="192" fontId="8" fillId="2" borderId="3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8" fontId="5" fillId="0" borderId="0" xfId="4" applyNumberFormat="1" applyFont="1" applyAlignment="1">
      <alignment vertical="center"/>
    </xf>
    <xf numFmtId="3" fontId="8" fillId="0" borderId="8" xfId="0" applyNumberFormat="1" applyFont="1" applyBorder="1" applyAlignment="1">
      <alignment vertical="center"/>
    </xf>
    <xf numFmtId="192" fontId="8" fillId="0" borderId="8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92" fontId="8" fillId="0" borderId="0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192" fontId="8" fillId="0" borderId="12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23" fillId="2" borderId="3" xfId="0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vertical="center"/>
    </xf>
    <xf numFmtId="188" fontId="12" fillId="2" borderId="9" xfId="4" applyNumberFormat="1" applyFont="1" applyFill="1" applyBorder="1" applyAlignment="1">
      <alignment vertical="center"/>
    </xf>
    <xf numFmtId="3" fontId="12" fillId="0" borderId="1" xfId="4" applyNumberFormat="1" applyFont="1" applyFill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3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88" fontId="12" fillId="0" borderId="0" xfId="4" applyNumberFormat="1" applyFont="1" applyAlignment="1">
      <alignment vertical="center"/>
    </xf>
    <xf numFmtId="188" fontId="15" fillId="0" borderId="0" xfId="0" applyNumberFormat="1" applyFont="1" applyAlignment="1">
      <alignment vertical="center"/>
    </xf>
    <xf numFmtId="3" fontId="15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0" fillId="0" borderId="0" xfId="0" applyFont="1"/>
    <xf numFmtId="0" fontId="20" fillId="0" borderId="15" xfId="0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20" fillId="0" borderId="1" xfId="0" applyFont="1" applyBorder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3" xfId="0" applyFont="1" applyBorder="1"/>
    <xf numFmtId="0" fontId="7" fillId="0" borderId="14" xfId="0" applyFont="1" applyBorder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20" fillId="0" borderId="13" xfId="0" applyFont="1" applyBorder="1"/>
    <xf numFmtId="0" fontId="7" fillId="0" borderId="4" xfId="0" applyFont="1" applyBorder="1"/>
    <xf numFmtId="188" fontId="7" fillId="0" borderId="1" xfId="4" applyNumberFormat="1" applyFont="1" applyBorder="1"/>
    <xf numFmtId="2" fontId="7" fillId="0" borderId="1" xfId="0" applyNumberFormat="1" applyFont="1" applyBorder="1"/>
    <xf numFmtId="188" fontId="7" fillId="0" borderId="1" xfId="0" applyNumberFormat="1" applyFont="1" applyBorder="1"/>
    <xf numFmtId="0" fontId="7" fillId="0" borderId="14" xfId="0" applyFont="1" applyBorder="1" applyAlignment="1">
      <alignment horizontal="center"/>
    </xf>
    <xf numFmtId="188" fontId="7" fillId="0" borderId="14" xfId="4" applyNumberFormat="1" applyFont="1" applyBorder="1"/>
    <xf numFmtId="188" fontId="7" fillId="0" borderId="14" xfId="0" applyNumberFormat="1" applyFont="1" applyBorder="1"/>
    <xf numFmtId="188" fontId="7" fillId="0" borderId="2" xfId="4" applyNumberFormat="1" applyFont="1" applyBorder="1"/>
    <xf numFmtId="188" fontId="7" fillId="0" borderId="2" xfId="0" applyNumberFormat="1" applyFont="1" applyBorder="1"/>
    <xf numFmtId="2" fontId="7" fillId="0" borderId="2" xfId="0" applyNumberFormat="1" applyFont="1" applyBorder="1"/>
    <xf numFmtId="0" fontId="7" fillId="0" borderId="8" xfId="0" applyFont="1" applyBorder="1" applyAlignment="1">
      <alignment horizontal="center"/>
    </xf>
    <xf numFmtId="188" fontId="7" fillId="0" borderId="8" xfId="4" applyNumberFormat="1" applyFont="1" applyBorder="1"/>
    <xf numFmtId="0" fontId="7" fillId="0" borderId="8" xfId="0" applyFont="1" applyBorder="1"/>
    <xf numFmtId="188" fontId="7" fillId="0" borderId="8" xfId="0" applyNumberFormat="1" applyFont="1" applyBorder="1"/>
    <xf numFmtId="2" fontId="7" fillId="0" borderId="8" xfId="0" applyNumberFormat="1" applyFont="1" applyBorder="1"/>
    <xf numFmtId="0" fontId="7" fillId="0" borderId="0" xfId="0" applyFont="1" applyBorder="1" applyAlignment="1">
      <alignment horizontal="center"/>
    </xf>
    <xf numFmtId="188" fontId="7" fillId="0" borderId="0" xfId="4" applyNumberFormat="1" applyFont="1" applyBorder="1"/>
    <xf numFmtId="0" fontId="7" fillId="0" borderId="0" xfId="0" applyFont="1" applyBorder="1"/>
    <xf numFmtId="188" fontId="7" fillId="0" borderId="0" xfId="0" applyNumberFormat="1" applyFont="1" applyBorder="1"/>
    <xf numFmtId="2" fontId="7" fillId="0" borderId="0" xfId="0" applyNumberFormat="1" applyFont="1" applyBorder="1"/>
    <xf numFmtId="0" fontId="20" fillId="0" borderId="13" xfId="0" applyFont="1" applyBorder="1" applyAlignment="1">
      <alignment horizontal="center"/>
    </xf>
    <xf numFmtId="2" fontId="7" fillId="0" borderId="14" xfId="0" applyNumberFormat="1" applyFont="1" applyBorder="1"/>
    <xf numFmtId="0" fontId="28" fillId="0" borderId="0" xfId="0" applyFont="1"/>
    <xf numFmtId="0" fontId="20" fillId="0" borderId="1" xfId="0" applyFont="1" applyBorder="1" applyAlignment="1">
      <alignment horizontal="center"/>
    </xf>
    <xf numFmtId="0" fontId="20" fillId="0" borderId="4" xfId="0" applyFont="1" applyBorder="1"/>
    <xf numFmtId="0" fontId="20" fillId="0" borderId="1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30" fillId="0" borderId="1" xfId="0" applyFont="1" applyBorder="1" applyAlignment="1">
      <alignment horizontal="center"/>
    </xf>
    <xf numFmtId="188" fontId="30" fillId="0" borderId="1" xfId="4" applyNumberFormat="1" applyFont="1" applyBorder="1"/>
    <xf numFmtId="2" fontId="30" fillId="0" borderId="1" xfId="0" applyNumberFormat="1" applyFont="1" applyBorder="1"/>
    <xf numFmtId="188" fontId="30" fillId="0" borderId="1" xfId="0" applyNumberFormat="1" applyFont="1" applyBorder="1"/>
    <xf numFmtId="0" fontId="30" fillId="0" borderId="1" xfId="0" applyFont="1" applyBorder="1"/>
    <xf numFmtId="0" fontId="30" fillId="0" borderId="14" xfId="0" applyFont="1" applyBorder="1" applyAlignment="1">
      <alignment horizontal="center"/>
    </xf>
    <xf numFmtId="188" fontId="30" fillId="0" borderId="14" xfId="4" applyNumberFormat="1" applyFont="1" applyBorder="1"/>
    <xf numFmtId="0" fontId="30" fillId="0" borderId="14" xfId="0" applyFont="1" applyBorder="1"/>
    <xf numFmtId="0" fontId="30" fillId="0" borderId="2" xfId="0" applyFont="1" applyBorder="1" applyAlignment="1">
      <alignment horizontal="center"/>
    </xf>
    <xf numFmtId="188" fontId="30" fillId="0" borderId="2" xfId="4" applyNumberFormat="1" applyFont="1" applyBorder="1"/>
    <xf numFmtId="0" fontId="30" fillId="0" borderId="2" xfId="0" applyFont="1" applyBorder="1"/>
    <xf numFmtId="188" fontId="30" fillId="0" borderId="2" xfId="0" applyNumberFormat="1" applyFont="1" applyBorder="1"/>
    <xf numFmtId="2" fontId="30" fillId="0" borderId="2" xfId="0" applyNumberFormat="1" applyFont="1" applyBorder="1"/>
    <xf numFmtId="49" fontId="30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0" fontId="13" fillId="0" borderId="0" xfId="8" applyFont="1" applyAlignment="1">
      <alignment horizontal="center"/>
    </xf>
    <xf numFmtId="0" fontId="13" fillId="0" borderId="0" xfId="8" applyFont="1"/>
    <xf numFmtId="0" fontId="28" fillId="0" borderId="0" xfId="8" applyFont="1"/>
    <xf numFmtId="0" fontId="2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88" fontId="7" fillId="0" borderId="3" xfId="4" applyNumberFormat="1" applyFont="1" applyBorder="1" applyAlignment="1">
      <alignment horizontal="center"/>
    </xf>
    <xf numFmtId="188" fontId="7" fillId="0" borderId="3" xfId="4" applyNumberFormat="1" applyFont="1" applyBorder="1"/>
    <xf numFmtId="188" fontId="7" fillId="0" borderId="1" xfId="4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8" fontId="7" fillId="0" borderId="4" xfId="4" applyNumberFormat="1" applyFont="1" applyBorder="1"/>
    <xf numFmtId="0" fontId="7" fillId="0" borderId="11" xfId="0" applyFont="1" applyBorder="1"/>
    <xf numFmtId="188" fontId="7" fillId="0" borderId="11" xfId="4" applyNumberFormat="1" applyFont="1" applyBorder="1"/>
    <xf numFmtId="0" fontId="20" fillId="0" borderId="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88" fontId="7" fillId="0" borderId="10" xfId="4" applyNumberFormat="1" applyFont="1" applyBorder="1" applyAlignment="1">
      <alignment horizontal="center"/>
    </xf>
    <xf numFmtId="2" fontId="7" fillId="0" borderId="10" xfId="0" applyNumberFormat="1" applyFont="1" applyBorder="1"/>
    <xf numFmtId="188" fontId="7" fillId="0" borderId="10" xfId="4" applyNumberFormat="1" applyFont="1" applyBorder="1"/>
    <xf numFmtId="188" fontId="7" fillId="0" borderId="10" xfId="0" applyNumberFormat="1" applyFont="1" applyBorder="1"/>
    <xf numFmtId="2" fontId="7" fillId="0" borderId="16" xfId="0" applyNumberFormat="1" applyFont="1" applyBorder="1"/>
    <xf numFmtId="2" fontId="7" fillId="0" borderId="6" xfId="0" applyNumberFormat="1" applyFont="1" applyBorder="1"/>
    <xf numFmtId="188" fontId="7" fillId="0" borderId="14" xfId="4" applyNumberFormat="1" applyFont="1" applyBorder="1" applyAlignment="1">
      <alignment horizontal="center"/>
    </xf>
    <xf numFmtId="2" fontId="7" fillId="0" borderId="17" xfId="0" applyNumberFormat="1" applyFont="1" applyBorder="1"/>
    <xf numFmtId="188" fontId="7" fillId="0" borderId="15" xfId="4" applyNumberFormat="1" applyFont="1" applyBorder="1" applyAlignment="1">
      <alignment horizontal="center"/>
    </xf>
    <xf numFmtId="2" fontId="7" fillId="0" borderId="15" xfId="0" applyNumberFormat="1" applyFont="1" applyBorder="1"/>
    <xf numFmtId="188" fontId="20" fillId="0" borderId="15" xfId="4" applyNumberFormat="1" applyFont="1" applyBorder="1"/>
    <xf numFmtId="2" fontId="20" fillId="0" borderId="15" xfId="0" applyNumberFormat="1" applyFont="1" applyBorder="1"/>
    <xf numFmtId="188" fontId="20" fillId="0" borderId="15" xfId="0" applyNumberFormat="1" applyFont="1" applyBorder="1"/>
    <xf numFmtId="0" fontId="20" fillId="0" borderId="15" xfId="0" applyFont="1" applyBorder="1"/>
    <xf numFmtId="0" fontId="28" fillId="0" borderId="7" xfId="0" applyFont="1" applyBorder="1"/>
    <xf numFmtId="0" fontId="20" fillId="0" borderId="7" xfId="0" applyFont="1" applyBorder="1"/>
    <xf numFmtId="188" fontId="20" fillId="0" borderId="7" xfId="0" applyNumberFormat="1" applyFont="1" applyBorder="1"/>
    <xf numFmtId="188" fontId="20" fillId="0" borderId="7" xfId="4" applyNumberFormat="1" applyFont="1" applyBorder="1"/>
    <xf numFmtId="188" fontId="20" fillId="0" borderId="4" xfId="4" applyNumberFormat="1" applyFont="1" applyBorder="1"/>
    <xf numFmtId="188" fontId="20" fillId="0" borderId="14" xfId="4" applyNumberFormat="1" applyFont="1" applyBorder="1"/>
    <xf numFmtId="0" fontId="20" fillId="0" borderId="0" xfId="0" applyFont="1" applyBorder="1"/>
    <xf numFmtId="0" fontId="28" fillId="0" borderId="0" xfId="0" applyFont="1" applyBorder="1"/>
    <xf numFmtId="0" fontId="28" fillId="0" borderId="18" xfId="0" applyFont="1" applyBorder="1"/>
    <xf numFmtId="0" fontId="7" fillId="0" borderId="19" xfId="0" applyFont="1" applyBorder="1"/>
    <xf numFmtId="0" fontId="20" fillId="0" borderId="19" xfId="0" applyFont="1" applyBorder="1" applyAlignment="1">
      <alignment horizontal="center"/>
    </xf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188" fontId="7" fillId="0" borderId="4" xfId="4" applyNumberFormat="1" applyFont="1" applyBorder="1" applyAlignment="1">
      <alignment horizontal="center"/>
    </xf>
    <xf numFmtId="2" fontId="7" fillId="0" borderId="4" xfId="0" applyNumberFormat="1" applyFont="1" applyBorder="1"/>
    <xf numFmtId="188" fontId="7" fillId="0" borderId="4" xfId="0" applyNumberFormat="1" applyFont="1" applyBorder="1"/>
    <xf numFmtId="188" fontId="20" fillId="0" borderId="15" xfId="4" applyNumberFormat="1" applyFont="1" applyBorder="1" applyAlignment="1">
      <alignment horizontal="center"/>
    </xf>
    <xf numFmtId="188" fontId="7" fillId="0" borderId="11" xfId="4" applyNumberFormat="1" applyFont="1" applyBorder="1" applyAlignment="1">
      <alignment horizontal="center"/>
    </xf>
    <xf numFmtId="188" fontId="20" fillId="0" borderId="11" xfId="4" applyNumberFormat="1" applyFont="1" applyBorder="1"/>
    <xf numFmtId="188" fontId="7" fillId="0" borderId="19" xfId="4" applyNumberFormat="1" applyFont="1" applyBorder="1"/>
    <xf numFmtId="188" fontId="20" fillId="0" borderId="3" xfId="4" applyNumberFormat="1" applyFont="1" applyBorder="1"/>
    <xf numFmtId="188" fontId="20" fillId="0" borderId="2" xfId="4" applyNumberFormat="1" applyFont="1" applyBorder="1"/>
    <xf numFmtId="0" fontId="13" fillId="0" borderId="0" xfId="0" applyFont="1"/>
    <xf numFmtId="0" fontId="27" fillId="0" borderId="0" xfId="0" applyFont="1"/>
    <xf numFmtId="0" fontId="20" fillId="0" borderId="15" xfId="0" applyFont="1" applyBorder="1" applyAlignment="1">
      <alignment horizontal="center" vertical="center" wrapText="1"/>
    </xf>
    <xf numFmtId="188" fontId="29" fillId="0" borderId="15" xfId="4" applyNumberFormat="1" applyFont="1" applyBorder="1"/>
    <xf numFmtId="188" fontId="29" fillId="0" borderId="11" xfId="4" applyNumberFormat="1" applyFont="1" applyBorder="1"/>
    <xf numFmtId="188" fontId="30" fillId="0" borderId="19" xfId="4" applyNumberFormat="1" applyFont="1" applyBorder="1"/>
    <xf numFmtId="0" fontId="30" fillId="0" borderId="19" xfId="0" applyFont="1" applyBorder="1"/>
    <xf numFmtId="188" fontId="30" fillId="0" borderId="19" xfId="0" applyNumberFormat="1" applyFont="1" applyBorder="1"/>
    <xf numFmtId="188" fontId="30" fillId="0" borderId="20" xfId="4" applyNumberFormat="1" applyFont="1" applyBorder="1"/>
    <xf numFmtId="188" fontId="29" fillId="0" borderId="3" xfId="4" applyNumberFormat="1" applyFont="1" applyBorder="1"/>
    <xf numFmtId="188" fontId="29" fillId="0" borderId="1" xfId="4" applyNumberFormat="1" applyFont="1" applyBorder="1"/>
    <xf numFmtId="188" fontId="29" fillId="0" borderId="2" xfId="4" applyNumberFormat="1" applyFont="1" applyBorder="1"/>
    <xf numFmtId="189" fontId="7" fillId="0" borderId="1" xfId="0" applyNumberFormat="1" applyFont="1" applyBorder="1"/>
    <xf numFmtId="188" fontId="7" fillId="0" borderId="2" xfId="4" applyNumberFormat="1" applyFont="1" applyBorder="1" applyAlignment="1">
      <alignment horizontal="center"/>
    </xf>
    <xf numFmtId="189" fontId="7" fillId="0" borderId="2" xfId="0" applyNumberFormat="1" applyFont="1" applyBorder="1"/>
    <xf numFmtId="0" fontId="28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188" fontId="20" fillId="0" borderId="15" xfId="4" applyNumberFormat="1" applyFont="1" applyBorder="1" applyAlignment="1">
      <alignment vertical="center"/>
    </xf>
    <xf numFmtId="188" fontId="29" fillId="0" borderId="15" xfId="4" applyNumberFormat="1" applyFont="1" applyBorder="1" applyAlignment="1">
      <alignment vertical="center"/>
    </xf>
    <xf numFmtId="0" fontId="28" fillId="0" borderId="21" xfId="0" applyFont="1" applyBorder="1"/>
    <xf numFmtId="0" fontId="33" fillId="0" borderId="0" xfId="0" applyFont="1"/>
    <xf numFmtId="0" fontId="20" fillId="0" borderId="8" xfId="0" applyFont="1" applyBorder="1"/>
    <xf numFmtId="0" fontId="20" fillId="0" borderId="8" xfId="0" applyFont="1" applyBorder="1" applyAlignment="1">
      <alignment horizontal="center"/>
    </xf>
    <xf numFmtId="188" fontId="20" fillId="0" borderId="8" xfId="4" applyNumberFormat="1" applyFont="1" applyBorder="1"/>
    <xf numFmtId="0" fontId="20" fillId="0" borderId="0" xfId="0" applyFont="1" applyBorder="1" applyAlignment="1">
      <alignment horizontal="center"/>
    </xf>
    <xf numFmtId="188" fontId="20" fillId="0" borderId="0" xfId="4" applyNumberFormat="1" applyFont="1" applyBorder="1"/>
    <xf numFmtId="0" fontId="29" fillId="0" borderId="15" xfId="0" applyFont="1" applyBorder="1"/>
    <xf numFmtId="188" fontId="29" fillId="0" borderId="15" xfId="0" applyNumberFormat="1" applyFont="1" applyBorder="1"/>
    <xf numFmtId="2" fontId="29" fillId="0" borderId="15" xfId="0" applyNumberFormat="1" applyFont="1" applyBorder="1"/>
    <xf numFmtId="0" fontId="2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88" fontId="20" fillId="0" borderId="14" xfId="4" applyNumberFormat="1" applyFont="1" applyBorder="1" applyAlignment="1">
      <alignment horizontal="center"/>
    </xf>
    <xf numFmtId="2" fontId="20" fillId="0" borderId="14" xfId="0" applyNumberFormat="1" applyFont="1" applyBorder="1"/>
    <xf numFmtId="2" fontId="7" fillId="0" borderId="3" xfId="0" applyNumberFormat="1" applyFont="1" applyBorder="1"/>
    <xf numFmtId="188" fontId="7" fillId="0" borderId="3" xfId="0" applyNumberFormat="1" applyFont="1" applyBorder="1"/>
    <xf numFmtId="188" fontId="7" fillId="0" borderId="0" xfId="4" applyNumberFormat="1" applyFont="1" applyBorder="1" applyAlignment="1">
      <alignment horizontal="center"/>
    </xf>
    <xf numFmtId="188" fontId="20" fillId="0" borderId="0" xfId="0" applyNumberFormat="1" applyFont="1" applyBorder="1"/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88" fontId="20" fillId="0" borderId="3" xfId="4" applyNumberFormat="1" applyFont="1" applyBorder="1" applyAlignment="1">
      <alignment horizontal="center"/>
    </xf>
    <xf numFmtId="188" fontId="20" fillId="0" borderId="3" xfId="0" applyNumberFormat="1" applyFont="1" applyBorder="1" applyAlignment="1">
      <alignment horizontal="center"/>
    </xf>
    <xf numFmtId="188" fontId="20" fillId="0" borderId="4" xfId="4" applyNumberFormat="1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188" fontId="7" fillId="0" borderId="1" xfId="0" applyNumberFormat="1" applyFont="1" applyBorder="1" applyAlignment="1">
      <alignment horizontal="center"/>
    </xf>
    <xf numFmtId="195" fontId="20" fillId="0" borderId="3" xfId="4" applyNumberFormat="1" applyFont="1" applyBorder="1" applyAlignment="1">
      <alignment horizontal="center"/>
    </xf>
    <xf numFmtId="195" fontId="20" fillId="0" borderId="3" xfId="0" applyNumberFormat="1" applyFont="1" applyBorder="1" applyAlignment="1">
      <alignment horizontal="center"/>
    </xf>
    <xf numFmtId="195" fontId="20" fillId="0" borderId="4" xfId="4" applyNumberFormat="1" applyFont="1" applyBorder="1" applyAlignment="1">
      <alignment horizontal="center"/>
    </xf>
    <xf numFmtId="43" fontId="20" fillId="0" borderId="4" xfId="0" applyNumberFormat="1" applyFont="1" applyBorder="1" applyAlignment="1">
      <alignment horizontal="center"/>
    </xf>
    <xf numFmtId="195" fontId="7" fillId="0" borderId="2" xfId="4" applyNumberFormat="1" applyFont="1" applyBorder="1" applyAlignment="1">
      <alignment horizontal="center"/>
    </xf>
    <xf numFmtId="43" fontId="7" fillId="0" borderId="2" xfId="0" applyNumberFormat="1" applyFont="1" applyBorder="1" applyAlignment="1">
      <alignment horizontal="center"/>
    </xf>
    <xf numFmtId="43" fontId="20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/>
    </xf>
    <xf numFmtId="188" fontId="7" fillId="0" borderId="1" xfId="4" applyNumberFormat="1" applyFont="1" applyBorder="1" applyAlignment="1">
      <alignment horizontal="right"/>
    </xf>
    <xf numFmtId="43" fontId="7" fillId="0" borderId="1" xfId="0" applyNumberFormat="1" applyFont="1" applyBorder="1" applyAlignment="1">
      <alignment horizontal="right"/>
    </xf>
    <xf numFmtId="0" fontId="20" fillId="0" borderId="4" xfId="0" applyFont="1" applyBorder="1" applyAlignment="1">
      <alignment horizontal="left" vertical="center"/>
    </xf>
    <xf numFmtId="188" fontId="20" fillId="0" borderId="4" xfId="0" applyNumberFormat="1" applyFont="1" applyBorder="1" applyAlignment="1">
      <alignment horizontal="center"/>
    </xf>
    <xf numFmtId="0" fontId="29" fillId="0" borderId="3" xfId="0" applyFont="1" applyBorder="1" applyAlignment="1">
      <alignment horizontal="center" vertical="center" wrapText="1"/>
    </xf>
    <xf numFmtId="188" fontId="20" fillId="0" borderId="3" xfId="4" applyNumberFormat="1" applyFont="1" applyBorder="1" applyAlignment="1">
      <alignment horizontal="center" vertical="center" wrapText="1"/>
    </xf>
    <xf numFmtId="192" fontId="8" fillId="0" borderId="14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88" fontId="13" fillId="0" borderId="0" xfId="4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94" fontId="18" fillId="0" borderId="11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49" fontId="30" fillId="0" borderId="15" xfId="4" applyNumberFormat="1" applyFont="1" applyFill="1" applyBorder="1" applyAlignment="1">
      <alignment horizontal="center" vertical="center"/>
    </xf>
    <xf numFmtId="188" fontId="30" fillId="0" borderId="15" xfId="4" applyNumberFormat="1" applyFont="1" applyBorder="1" applyAlignment="1">
      <alignment horizontal="center" vertical="center"/>
    </xf>
    <xf numFmtId="188" fontId="30" fillId="0" borderId="15" xfId="4" applyNumberFormat="1" applyFont="1" applyFill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49" fontId="18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188" fontId="13" fillId="0" borderId="3" xfId="4" applyNumberFormat="1" applyFont="1" applyFill="1" applyBorder="1" applyAlignment="1">
      <alignment horizontal="center" vertical="center"/>
    </xf>
    <xf numFmtId="188" fontId="13" fillId="0" borderId="3" xfId="4" applyNumberFormat="1" applyFont="1" applyBorder="1" applyAlignment="1">
      <alignment horizontal="center" vertical="center"/>
    </xf>
    <xf numFmtId="3" fontId="13" fillId="0" borderId="3" xfId="4" applyNumberFormat="1" applyFont="1" applyFill="1" applyBorder="1" applyAlignment="1">
      <alignment horizontal="center" vertical="center"/>
    </xf>
    <xf numFmtId="188" fontId="13" fillId="0" borderId="1" xfId="4" applyNumberFormat="1" applyFont="1" applyBorder="1" applyAlignment="1">
      <alignment vertical="center"/>
    </xf>
    <xf numFmtId="188" fontId="18" fillId="0" borderId="1" xfId="4" applyNumberFormat="1" applyFont="1" applyFill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188" fontId="13" fillId="0" borderId="23" xfId="4" applyNumberFormat="1" applyFont="1" applyFill="1" applyBorder="1" applyAlignment="1">
      <alignment vertical="center"/>
    </xf>
    <xf numFmtId="188" fontId="13" fillId="0" borderId="1" xfId="4" applyNumberFormat="1" applyFont="1" applyFill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49" fontId="13" fillId="0" borderId="4" xfId="0" applyNumberFormat="1" applyFont="1" applyFill="1" applyBorder="1" applyAlignment="1">
      <alignment horizontal="center" vertical="center"/>
    </xf>
    <xf numFmtId="188" fontId="13" fillId="0" borderId="9" xfId="4" applyNumberFormat="1" applyFont="1" applyFill="1" applyBorder="1" applyAlignment="1">
      <alignment vertical="center"/>
    </xf>
    <xf numFmtId="188" fontId="13" fillId="0" borderId="4" xfId="4" applyNumberFormat="1" applyFont="1" applyFill="1" applyBorder="1" applyAlignment="1">
      <alignment vertical="center"/>
    </xf>
    <xf numFmtId="188" fontId="13" fillId="0" borderId="4" xfId="4" applyNumberFormat="1" applyFont="1" applyBorder="1" applyAlignment="1">
      <alignment vertical="center"/>
    </xf>
    <xf numFmtId="188" fontId="18" fillId="0" borderId="4" xfId="4" applyNumberFormat="1" applyFont="1" applyFill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49" fontId="13" fillId="0" borderId="14" xfId="0" applyNumberFormat="1" applyFont="1" applyFill="1" applyBorder="1" applyAlignment="1">
      <alignment horizontal="center" vertical="center"/>
    </xf>
    <xf numFmtId="188" fontId="13" fillId="0" borderId="24" xfId="4" applyNumberFormat="1" applyFont="1" applyFill="1" applyBorder="1" applyAlignment="1">
      <alignment vertical="center"/>
    </xf>
    <xf numFmtId="188" fontId="13" fillId="0" borderId="14" xfId="4" applyNumberFormat="1" applyFont="1" applyFill="1" applyBorder="1" applyAlignment="1">
      <alignment vertical="center"/>
    </xf>
    <xf numFmtId="188" fontId="13" fillId="0" borderId="14" xfId="4" applyNumberFormat="1" applyFont="1" applyBorder="1" applyAlignment="1">
      <alignment vertical="center"/>
    </xf>
    <xf numFmtId="188" fontId="18" fillId="0" borderId="14" xfId="4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49" fontId="13" fillId="0" borderId="8" xfId="0" applyNumberFormat="1" applyFont="1" applyFill="1" applyBorder="1" applyAlignment="1">
      <alignment horizontal="center" vertical="center"/>
    </xf>
    <xf numFmtId="188" fontId="13" fillId="0" borderId="8" xfId="4" applyNumberFormat="1" applyFont="1" applyFill="1" applyBorder="1" applyAlignment="1">
      <alignment vertical="center"/>
    </xf>
    <xf numFmtId="188" fontId="13" fillId="0" borderId="8" xfId="4" applyNumberFormat="1" applyFont="1" applyBorder="1" applyAlignment="1">
      <alignment vertical="center"/>
    </xf>
    <xf numFmtId="188" fontId="18" fillId="0" borderId="8" xfId="4" applyNumberFormat="1" applyFont="1" applyFill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49" fontId="13" fillId="0" borderId="12" xfId="0" applyNumberFormat="1" applyFont="1" applyFill="1" applyBorder="1" applyAlignment="1">
      <alignment horizontal="center" vertical="center"/>
    </xf>
    <xf numFmtId="188" fontId="13" fillId="0" borderId="12" xfId="4" applyNumberFormat="1" applyFont="1" applyFill="1" applyBorder="1" applyAlignment="1">
      <alignment vertical="center"/>
    </xf>
    <xf numFmtId="188" fontId="13" fillId="0" borderId="12" xfId="4" applyNumberFormat="1" applyFont="1" applyBorder="1" applyAlignment="1">
      <alignment vertical="center"/>
    </xf>
    <xf numFmtId="188" fontId="18" fillId="0" borderId="12" xfId="4" applyNumberFormat="1" applyFont="1" applyFill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49" fontId="13" fillId="0" borderId="2" xfId="0" applyNumberFormat="1" applyFont="1" applyFill="1" applyBorder="1" applyAlignment="1">
      <alignment horizontal="center" vertical="center"/>
    </xf>
    <xf numFmtId="188" fontId="13" fillId="0" borderId="25" xfId="4" applyNumberFormat="1" applyFont="1" applyFill="1" applyBorder="1" applyAlignment="1">
      <alignment vertical="center"/>
    </xf>
    <xf numFmtId="188" fontId="13" fillId="0" borderId="2" xfId="4" applyNumberFormat="1" applyFont="1" applyFill="1" applyBorder="1" applyAlignment="1">
      <alignment vertical="center"/>
    </xf>
    <xf numFmtId="188" fontId="13" fillId="0" borderId="2" xfId="4" applyNumberFormat="1" applyFont="1" applyBorder="1" applyAlignment="1">
      <alignment vertical="center"/>
    </xf>
    <xf numFmtId="188" fontId="18" fillId="0" borderId="2" xfId="4" applyNumberFormat="1" applyFont="1" applyFill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3" fontId="18" fillId="2" borderId="3" xfId="0" applyNumberFormat="1" applyFont="1" applyFill="1" applyBorder="1" applyAlignment="1">
      <alignment vertical="center"/>
    </xf>
    <xf numFmtId="49" fontId="18" fillId="2" borderId="4" xfId="4" applyNumberFormat="1" applyFont="1" applyFill="1" applyBorder="1" applyAlignment="1">
      <alignment horizontal="center" vertical="center"/>
    </xf>
    <xf numFmtId="188" fontId="18" fillId="2" borderId="9" xfId="4" applyNumberFormat="1" applyFont="1" applyFill="1" applyBorder="1" applyAlignment="1">
      <alignment vertical="center"/>
    </xf>
    <xf numFmtId="49" fontId="18" fillId="2" borderId="1" xfId="4" applyNumberFormat="1" applyFont="1" applyFill="1" applyBorder="1" applyAlignment="1">
      <alignment horizontal="center" vertical="center"/>
    </xf>
    <xf numFmtId="188" fontId="18" fillId="2" borderId="23" xfId="4" applyNumberFormat="1" applyFont="1" applyFill="1" applyBorder="1" applyAlignment="1">
      <alignment vertical="center"/>
    </xf>
    <xf numFmtId="49" fontId="18" fillId="2" borderId="14" xfId="4" applyNumberFormat="1" applyFont="1" applyFill="1" applyBorder="1" applyAlignment="1">
      <alignment horizontal="center" vertical="center"/>
    </xf>
    <xf numFmtId="188" fontId="18" fillId="2" borderId="24" xfId="4" applyNumberFormat="1" applyFont="1" applyFill="1" applyBorder="1" applyAlignment="1">
      <alignment vertical="center"/>
    </xf>
    <xf numFmtId="49" fontId="18" fillId="2" borderId="2" xfId="4" applyNumberFormat="1" applyFont="1" applyFill="1" applyBorder="1" applyAlignment="1">
      <alignment horizontal="center" vertical="center"/>
    </xf>
    <xf numFmtId="197" fontId="3" fillId="2" borderId="9" xfId="4" applyNumberFormat="1" applyFont="1" applyFill="1" applyBorder="1" applyAlignment="1">
      <alignment vertical="center"/>
    </xf>
    <xf numFmtId="49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197" fontId="18" fillId="2" borderId="9" xfId="4" applyNumberFormat="1" applyFont="1" applyFill="1" applyBorder="1" applyAlignment="1">
      <alignment vertical="center"/>
    </xf>
    <xf numFmtId="197" fontId="18" fillId="2" borderId="23" xfId="4" applyNumberFormat="1" applyFont="1" applyFill="1" applyBorder="1" applyAlignment="1">
      <alignment vertical="center"/>
    </xf>
    <xf numFmtId="197" fontId="18" fillId="2" borderId="24" xfId="4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13" fillId="0" borderId="1" xfId="4" applyNumberFormat="1" applyFont="1" applyFill="1" applyBorder="1" applyAlignment="1">
      <alignment vertical="center"/>
    </xf>
    <xf numFmtId="3" fontId="7" fillId="0" borderId="1" xfId="4" applyNumberFormat="1" applyFont="1" applyFill="1" applyBorder="1" applyAlignment="1">
      <alignment vertical="center"/>
    </xf>
    <xf numFmtId="192" fontId="7" fillId="0" borderId="1" xfId="4" applyNumberFormat="1" applyFont="1" applyFill="1" applyBorder="1" applyAlignment="1">
      <alignment vertical="center"/>
    </xf>
    <xf numFmtId="4" fontId="20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192" fontId="7" fillId="0" borderId="1" xfId="0" applyNumberFormat="1" applyFont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188" fontId="13" fillId="0" borderId="0" xfId="4" applyNumberFormat="1" applyFont="1" applyFill="1" applyBorder="1" applyAlignment="1">
      <alignment vertical="center"/>
    </xf>
    <xf numFmtId="188" fontId="13" fillId="0" borderId="0" xfId="4" applyNumberFormat="1" applyFont="1" applyBorder="1" applyAlignment="1">
      <alignment vertical="center"/>
    </xf>
    <xf numFmtId="188" fontId="18" fillId="0" borderId="0" xfId="4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192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192" fontId="20" fillId="0" borderId="1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192" fontId="7" fillId="0" borderId="2" xfId="0" applyNumberFormat="1" applyFont="1" applyBorder="1" applyAlignment="1">
      <alignment vertical="center"/>
    </xf>
    <xf numFmtId="192" fontId="7" fillId="0" borderId="14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92" fontId="7" fillId="0" borderId="0" xfId="0" applyNumberFormat="1" applyFont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192" fontId="7" fillId="2" borderId="3" xfId="0" applyNumberFormat="1" applyFont="1" applyFill="1" applyBorder="1" applyAlignment="1">
      <alignment vertical="center"/>
    </xf>
    <xf numFmtId="188" fontId="13" fillId="2" borderId="23" xfId="4" applyNumberFormat="1" applyFont="1" applyFill="1" applyBorder="1" applyAlignment="1">
      <alignment vertical="center"/>
    </xf>
    <xf numFmtId="188" fontId="7" fillId="2" borderId="23" xfId="4" applyNumberFormat="1" applyFont="1" applyFill="1" applyBorder="1" applyAlignment="1">
      <alignment vertical="center"/>
    </xf>
    <xf numFmtId="197" fontId="7" fillId="2" borderId="23" xfId="4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188" fontId="18" fillId="2" borderId="2" xfId="4" applyNumberFormat="1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192" fontId="7" fillId="0" borderId="1" xfId="0" applyNumberFormat="1" applyFont="1" applyFill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188" fontId="18" fillId="2" borderId="1" xfId="4" applyNumberFormat="1" applyFont="1" applyFill="1" applyBorder="1" applyAlignment="1">
      <alignment vertical="center"/>
    </xf>
    <xf numFmtId="188" fontId="18" fillId="2" borderId="4" xfId="4" applyNumberFormat="1" applyFont="1" applyFill="1" applyBorder="1" applyAlignment="1">
      <alignment vertical="center"/>
    </xf>
    <xf numFmtId="188" fontId="18" fillId="2" borderId="11" xfId="4" applyNumberFormat="1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192" fontId="7" fillId="0" borderId="12" xfId="0" applyNumberFormat="1" applyFont="1" applyBorder="1" applyAlignment="1">
      <alignment vertical="center"/>
    </xf>
    <xf numFmtId="192" fontId="7" fillId="0" borderId="26" xfId="0" applyNumberFormat="1" applyFont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193" fontId="7" fillId="0" borderId="1" xfId="0" applyNumberFormat="1" applyFont="1" applyBorder="1" applyAlignment="1">
      <alignment vertical="center"/>
    </xf>
    <xf numFmtId="188" fontId="18" fillId="2" borderId="22" xfId="4" applyNumberFormat="1" applyFont="1" applyFill="1" applyBorder="1" applyAlignment="1">
      <alignment vertical="center"/>
    </xf>
    <xf numFmtId="197" fontId="18" fillId="2" borderId="22" xfId="4" applyNumberFormat="1" applyFont="1" applyFill="1" applyBorder="1" applyAlignment="1">
      <alignment vertical="center"/>
    </xf>
    <xf numFmtId="0" fontId="20" fillId="0" borderId="10" xfId="8" applyFont="1" applyBorder="1" applyAlignment="1">
      <alignment horizontal="center" vertical="center" wrapText="1"/>
    </xf>
    <xf numFmtId="0" fontId="20" fillId="0" borderId="3" xfId="8" applyFont="1" applyBorder="1" applyAlignment="1">
      <alignment horizontal="center"/>
    </xf>
    <xf numFmtId="0" fontId="20" fillId="0" borderId="27" xfId="8" applyFont="1" applyBorder="1"/>
    <xf numFmtId="0" fontId="20" fillId="0" borderId="5" xfId="8" applyFont="1" applyBorder="1" applyAlignment="1">
      <alignment horizontal="center"/>
    </xf>
    <xf numFmtId="0" fontId="20" fillId="0" borderId="4" xfId="8" applyFont="1" applyBorder="1"/>
    <xf numFmtId="49" fontId="7" fillId="0" borderId="1" xfId="5" applyNumberFormat="1" applyFont="1" applyBorder="1" applyAlignment="1">
      <alignment horizontal="center"/>
    </xf>
    <xf numFmtId="188" fontId="7" fillId="0" borderId="1" xfId="5" applyNumberFormat="1" applyFont="1" applyBorder="1" applyAlignment="1">
      <alignment horizontal="center"/>
    </xf>
    <xf numFmtId="188" fontId="20" fillId="0" borderId="1" xfId="5" applyNumberFormat="1" applyFont="1" applyBorder="1" applyAlignment="1">
      <alignment horizontal="center"/>
    </xf>
    <xf numFmtId="49" fontId="7" fillId="0" borderId="2" xfId="5" applyNumberFormat="1" applyFont="1" applyBorder="1" applyAlignment="1">
      <alignment horizontal="center"/>
    </xf>
    <xf numFmtId="188" fontId="7" fillId="0" borderId="2" xfId="5" applyNumberFormat="1" applyFont="1" applyBorder="1" applyAlignment="1">
      <alignment horizontal="center"/>
    </xf>
    <xf numFmtId="188" fontId="20" fillId="0" borderId="2" xfId="5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4" applyNumberFormat="1" applyFont="1" applyBorder="1" applyAlignment="1">
      <alignment horizontal="center"/>
    </xf>
    <xf numFmtId="188" fontId="3" fillId="0" borderId="12" xfId="4" applyNumberFormat="1" applyFont="1" applyBorder="1" applyAlignment="1">
      <alignment horizontal="center"/>
    </xf>
    <xf numFmtId="188" fontId="6" fillId="0" borderId="12" xfId="4" applyNumberFormat="1" applyFont="1" applyBorder="1" applyAlignment="1">
      <alignment horizontal="center"/>
    </xf>
    <xf numFmtId="188" fontId="36" fillId="0" borderId="0" xfId="4" applyNumberFormat="1" applyFont="1" applyAlignment="1">
      <alignment horizontal="right"/>
    </xf>
    <xf numFmtId="43" fontId="16" fillId="0" borderId="0" xfId="4" applyNumberFormat="1" applyFont="1" applyAlignment="1"/>
    <xf numFmtId="0" fontId="2" fillId="0" borderId="0" xfId="0" applyFont="1" applyAlignment="1">
      <alignment horizontal="right" vertical="center"/>
    </xf>
    <xf numFmtId="190" fontId="2" fillId="0" borderId="0" xfId="0" applyNumberFormat="1" applyFont="1" applyAlignment="1">
      <alignment horizontal="center" vertical="center"/>
    </xf>
    <xf numFmtId="194" fontId="7" fillId="0" borderId="1" xfId="0" applyNumberFormat="1" applyFont="1" applyBorder="1" applyAlignment="1">
      <alignment vertical="center"/>
    </xf>
    <xf numFmtId="0" fontId="13" fillId="0" borderId="1" xfId="8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3" fillId="0" borderId="1" xfId="8" applyFont="1" applyBorder="1"/>
    <xf numFmtId="4" fontId="13" fillId="0" borderId="1" xfId="8" applyNumberFormat="1" applyFont="1" applyBorder="1" applyAlignment="1">
      <alignment horizontal="center"/>
    </xf>
    <xf numFmtId="0" fontId="13" fillId="0" borderId="1" xfId="8" applyFont="1" applyBorder="1" applyAlignment="1">
      <alignment horizontal="left"/>
    </xf>
    <xf numFmtId="0" fontId="13" fillId="0" borderId="2" xfId="8" applyFont="1" applyBorder="1" applyAlignment="1">
      <alignment horizontal="center"/>
    </xf>
    <xf numFmtId="0" fontId="13" fillId="0" borderId="2" xfId="8" applyFont="1" applyBorder="1"/>
    <xf numFmtId="0" fontId="13" fillId="0" borderId="4" xfId="8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37" fillId="0" borderId="15" xfId="8" applyFont="1" applyBorder="1" applyAlignment="1">
      <alignment horizontal="center" vertical="center"/>
    </xf>
    <xf numFmtId="0" fontId="31" fillId="0" borderId="0" xfId="8" applyFont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188" fontId="18" fillId="2" borderId="25" xfId="4" applyNumberFormat="1" applyFont="1" applyFill="1" applyBorder="1" applyAlignment="1">
      <alignment vertical="center"/>
    </xf>
    <xf numFmtId="188" fontId="13" fillId="2" borderId="25" xfId="4" applyNumberFormat="1" applyFont="1" applyFill="1" applyBorder="1" applyAlignment="1">
      <alignment vertical="center"/>
    </xf>
    <xf numFmtId="188" fontId="7" fillId="2" borderId="25" xfId="4" applyNumberFormat="1" applyFont="1" applyFill="1" applyBorder="1" applyAlignment="1">
      <alignment vertical="center"/>
    </xf>
    <xf numFmtId="197" fontId="7" fillId="2" borderId="25" xfId="4" applyNumberFormat="1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3" fontId="8" fillId="0" borderId="0" xfId="1" applyNumberFormat="1" applyFont="1" applyFill="1"/>
    <xf numFmtId="0" fontId="20" fillId="0" borderId="10" xfId="2" applyFont="1" applyBorder="1" applyAlignment="1">
      <alignment horizontal="center"/>
    </xf>
    <xf numFmtId="188" fontId="20" fillId="0" borderId="10" xfId="7" applyNumberFormat="1" applyFont="1" applyBorder="1" applyAlignment="1">
      <alignment horizontal="center"/>
    </xf>
    <xf numFmtId="0" fontId="25" fillId="0" borderId="0" xfId="2"/>
    <xf numFmtId="0" fontId="20" fillId="0" borderId="13" xfId="2" applyFont="1" applyBorder="1" applyAlignment="1">
      <alignment horizontal="center"/>
    </xf>
    <xf numFmtId="188" fontId="20" fillId="0" borderId="13" xfId="7" applyNumberFormat="1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1" xfId="2" applyFont="1" applyBorder="1"/>
    <xf numFmtId="188" fontId="7" fillId="0" borderId="11" xfId="7" applyNumberFormat="1" applyFont="1" applyBorder="1"/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188" fontId="7" fillId="0" borderId="1" xfId="7" applyNumberFormat="1" applyFont="1" applyBorder="1" applyAlignment="1">
      <alignment horizontal="center"/>
    </xf>
    <xf numFmtId="0" fontId="25" fillId="0" borderId="0" xfId="2" applyAlignment="1">
      <alignment vertical="center"/>
    </xf>
    <xf numFmtId="0" fontId="7" fillId="0" borderId="4" xfId="2" applyFont="1" applyBorder="1"/>
    <xf numFmtId="0" fontId="7" fillId="0" borderId="4" xfId="2" applyFont="1" applyBorder="1" applyAlignment="1">
      <alignment horizontal="center"/>
    </xf>
    <xf numFmtId="188" fontId="7" fillId="0" borderId="4" xfId="7" applyNumberFormat="1" applyFont="1" applyBorder="1"/>
    <xf numFmtId="188" fontId="7" fillId="0" borderId="1" xfId="7" applyNumberFormat="1" applyFont="1" applyBorder="1"/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/>
    </xf>
    <xf numFmtId="188" fontId="7" fillId="0" borderId="1" xfId="7" applyNumberFormat="1" applyFont="1" applyBorder="1" applyAlignment="1">
      <alignment vertic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/>
    </xf>
    <xf numFmtId="188" fontId="7" fillId="0" borderId="1" xfId="7" applyNumberFormat="1" applyFont="1" applyFill="1" applyBorder="1" applyAlignment="1">
      <alignment horizontal="center"/>
    </xf>
    <xf numFmtId="0" fontId="25" fillId="0" borderId="0" xfId="2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3" xfId="2" applyFont="1" applyBorder="1"/>
    <xf numFmtId="188" fontId="7" fillId="0" borderId="3" xfId="7" applyNumberFormat="1" applyFont="1" applyBorder="1" applyAlignment="1">
      <alignment horizontal="center"/>
    </xf>
    <xf numFmtId="188" fontId="7" fillId="0" borderId="3" xfId="7" applyNumberFormat="1" applyFont="1" applyBorder="1"/>
    <xf numFmtId="0" fontId="7" fillId="0" borderId="14" xfId="2" applyFont="1" applyBorder="1"/>
    <xf numFmtId="0" fontId="7" fillId="0" borderId="14" xfId="2" applyFont="1" applyBorder="1" applyAlignment="1">
      <alignment horizontal="center"/>
    </xf>
    <xf numFmtId="0" fontId="32" fillId="0" borderId="1" xfId="2" applyFont="1" applyBorder="1"/>
    <xf numFmtId="0" fontId="7" fillId="0" borderId="1" xfId="2" applyFont="1" applyBorder="1" applyAlignment="1">
      <alignment horizontal="left"/>
    </xf>
    <xf numFmtId="0" fontId="7" fillId="0" borderId="1" xfId="7" applyNumberFormat="1" applyFont="1" applyBorder="1" applyAlignment="1">
      <alignment horizontal="center"/>
    </xf>
    <xf numFmtId="0" fontId="7" fillId="0" borderId="1" xfId="7" applyNumberFormat="1" applyFont="1" applyFill="1" applyBorder="1" applyAlignment="1">
      <alignment horizontal="center"/>
    </xf>
    <xf numFmtId="0" fontId="20" fillId="0" borderId="10" xfId="2" applyFont="1" applyBorder="1" applyAlignment="1">
      <alignment vertical="center"/>
    </xf>
    <xf numFmtId="0" fontId="20" fillId="0" borderId="13" xfId="2" applyFont="1" applyBorder="1" applyAlignment="1">
      <alignment vertical="center"/>
    </xf>
    <xf numFmtId="0" fontId="39" fillId="0" borderId="13" xfId="2" applyFont="1" applyBorder="1" applyAlignment="1">
      <alignment horizontal="center"/>
    </xf>
    <xf numFmtId="0" fontId="7" fillId="0" borderId="11" xfId="2" applyFont="1" applyBorder="1" applyAlignment="1">
      <alignment vertical="center"/>
    </xf>
    <xf numFmtId="0" fontId="7" fillId="0" borderId="3" xfId="2" applyFont="1" applyBorder="1" applyAlignment="1">
      <alignment horizontal="center" vertical="center"/>
    </xf>
    <xf numFmtId="3" fontId="7" fillId="0" borderId="3" xfId="2" applyNumberFormat="1" applyFont="1" applyBorder="1"/>
    <xf numFmtId="3" fontId="7" fillId="0" borderId="1" xfId="2" applyNumberFormat="1" applyFont="1" applyBorder="1"/>
    <xf numFmtId="0" fontId="25" fillId="0" borderId="2" xfId="2" applyBorder="1" applyAlignment="1">
      <alignment vertical="center"/>
    </xf>
    <xf numFmtId="0" fontId="25" fillId="0" borderId="2" xfId="2" applyBorder="1"/>
    <xf numFmtId="188" fontId="3" fillId="0" borderId="0" xfId="7" applyNumberFormat="1" applyFont="1" applyBorder="1"/>
    <xf numFmtId="3" fontId="20" fillId="0" borderId="0" xfId="0" applyNumberFormat="1" applyFont="1" applyAlignment="1">
      <alignment horizontal="right" vertical="center"/>
    </xf>
    <xf numFmtId="0" fontId="29" fillId="0" borderId="15" xfId="0" applyFont="1" applyBorder="1" applyAlignment="1">
      <alignment horizontal="center" vertical="center" wrapText="1"/>
    </xf>
    <xf numFmtId="195" fontId="7" fillId="0" borderId="0" xfId="4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0" fontId="18" fillId="0" borderId="3" xfId="0" applyFont="1" applyFill="1" applyBorder="1" applyAlignment="1">
      <alignment vertical="center"/>
    </xf>
    <xf numFmtId="49" fontId="18" fillId="0" borderId="3" xfId="0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192" fontId="7" fillId="0" borderId="3" xfId="0" applyNumberFormat="1" applyFont="1" applyFill="1" applyBorder="1" applyAlignment="1">
      <alignment vertical="center"/>
    </xf>
    <xf numFmtId="188" fontId="18" fillId="0" borderId="9" xfId="4" applyNumberFormat="1" applyFont="1" applyFill="1" applyBorder="1" applyAlignment="1">
      <alignment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188" fontId="18" fillId="0" borderId="23" xfId="4" applyNumberFormat="1" applyFont="1" applyFill="1" applyBorder="1" applyAlignment="1">
      <alignment vertical="center"/>
    </xf>
    <xf numFmtId="188" fontId="7" fillId="0" borderId="23" xfId="4" applyNumberFormat="1" applyFont="1" applyFill="1" applyBorder="1" applyAlignment="1">
      <alignment vertical="center"/>
    </xf>
    <xf numFmtId="197" fontId="7" fillId="0" borderId="23" xfId="4" applyNumberFormat="1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88" fontId="18" fillId="0" borderId="25" xfId="4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192" fontId="8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88" fontId="12" fillId="0" borderId="0" xfId="4" applyNumberFormat="1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192" fontId="16" fillId="0" borderId="10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194" fontId="18" fillId="0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192" fontId="16" fillId="0" borderId="11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vertical="center"/>
    </xf>
    <xf numFmtId="188" fontId="8" fillId="0" borderId="0" xfId="0" applyNumberFormat="1" applyFont="1" applyFill="1"/>
    <xf numFmtId="192" fontId="7" fillId="0" borderId="14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192" fontId="7" fillId="0" borderId="2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Alignment="1">
      <alignment vertical="center"/>
    </xf>
    <xf numFmtId="0" fontId="19" fillId="0" borderId="3" xfId="0" applyFont="1" applyFill="1" applyBorder="1" applyAlignment="1">
      <alignment vertical="center"/>
    </xf>
    <xf numFmtId="3" fontId="18" fillId="0" borderId="9" xfId="6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3" fontId="18" fillId="0" borderId="1" xfId="6" applyNumberFormat="1" applyFont="1" applyFill="1" applyBorder="1" applyAlignment="1">
      <alignment vertical="center"/>
    </xf>
    <xf numFmtId="3" fontId="18" fillId="0" borderId="4" xfId="6" applyNumberFormat="1" applyFont="1" applyFill="1" applyBorder="1" applyAlignment="1">
      <alignment vertical="center"/>
    </xf>
    <xf numFmtId="188" fontId="15" fillId="0" borderId="0" xfId="0" applyNumberFormat="1" applyFont="1" applyFill="1" applyAlignment="1">
      <alignment vertical="center"/>
    </xf>
    <xf numFmtId="3" fontId="8" fillId="0" borderId="0" xfId="0" applyNumberFormat="1" applyFont="1" applyFill="1"/>
    <xf numFmtId="0" fontId="13" fillId="0" borderId="4" xfId="0" applyFont="1" applyFill="1" applyBorder="1" applyAlignment="1">
      <alignment vertical="center"/>
    </xf>
    <xf numFmtId="192" fontId="7" fillId="0" borderId="26" xfId="0" applyNumberFormat="1" applyFont="1" applyFill="1" applyBorder="1" applyAlignment="1">
      <alignment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188" fontId="13" fillId="0" borderId="7" xfId="4" applyNumberFormat="1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192" fontId="7" fillId="0" borderId="7" xfId="0" applyNumberFormat="1" applyFont="1" applyFill="1" applyBorder="1" applyAlignment="1">
      <alignment vertical="center"/>
    </xf>
    <xf numFmtId="49" fontId="19" fillId="0" borderId="3" xfId="0" applyNumberFormat="1" applyFont="1" applyFill="1" applyBorder="1" applyAlignment="1">
      <alignment horizontal="center" vertical="center"/>
    </xf>
    <xf numFmtId="3" fontId="18" fillId="0" borderId="9" xfId="4" applyNumberFormat="1" applyFont="1" applyFill="1" applyBorder="1" applyAlignment="1">
      <alignment vertical="center"/>
    </xf>
    <xf numFmtId="3" fontId="18" fillId="0" borderId="1" xfId="4" applyNumberFormat="1" applyFont="1" applyFill="1" applyBorder="1" applyAlignment="1">
      <alignment vertical="center"/>
    </xf>
    <xf numFmtId="3" fontId="18" fillId="0" borderId="4" xfId="4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8" fontId="13" fillId="0" borderId="0" xfId="4" applyNumberFormat="1" applyFont="1" applyFill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192" fontId="8" fillId="0" borderId="12" xfId="0" applyNumberFormat="1" applyFont="1" applyFill="1" applyBorder="1" applyAlignment="1">
      <alignment vertical="center"/>
    </xf>
    <xf numFmtId="192" fontId="8" fillId="0" borderId="1" xfId="0" applyNumberFormat="1" applyFont="1" applyFill="1" applyBorder="1" applyAlignment="1">
      <alignment vertical="center"/>
    </xf>
    <xf numFmtId="1" fontId="8" fillId="0" borderId="0" xfId="0" applyNumberFormat="1" applyFont="1" applyFill="1"/>
    <xf numFmtId="0" fontId="13" fillId="0" borderId="13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92" fontId="8" fillId="0" borderId="14" xfId="0" applyNumberFormat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192" fontId="8" fillId="0" borderId="2" xfId="0" applyNumberFormat="1" applyFont="1" applyFill="1" applyBorder="1" applyAlignment="1">
      <alignment vertical="center"/>
    </xf>
    <xf numFmtId="49" fontId="15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192" fontId="8" fillId="0" borderId="7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192" fontId="8" fillId="0" borderId="3" xfId="0" applyNumberFormat="1" applyFont="1" applyFill="1" applyBorder="1" applyAlignment="1">
      <alignment vertical="center"/>
    </xf>
    <xf numFmtId="197" fontId="18" fillId="0" borderId="9" xfId="4" applyNumberFormat="1" applyFont="1" applyFill="1" applyBorder="1" applyAlignment="1">
      <alignment vertical="center"/>
    </xf>
    <xf numFmtId="197" fontId="18" fillId="0" borderId="23" xfId="4" applyNumberFormat="1" applyFont="1" applyFill="1" applyBorder="1" applyAlignment="1">
      <alignment vertical="center"/>
    </xf>
    <xf numFmtId="188" fontId="18" fillId="0" borderId="24" xfId="4" applyNumberFormat="1" applyFont="1" applyFill="1" applyBorder="1" applyAlignment="1">
      <alignment vertical="center"/>
    </xf>
    <xf numFmtId="197" fontId="18" fillId="0" borderId="24" xfId="4" applyNumberFormat="1" applyFont="1" applyFill="1" applyBorder="1" applyAlignment="1">
      <alignment vertical="center"/>
    </xf>
    <xf numFmtId="188" fontId="12" fillId="0" borderId="9" xfId="4" applyNumberFormat="1" applyFont="1" applyFill="1" applyBorder="1" applyAlignment="1">
      <alignment vertical="center"/>
    </xf>
    <xf numFmtId="188" fontId="3" fillId="0" borderId="9" xfId="4" applyNumberFormat="1" applyFont="1" applyFill="1" applyBorder="1" applyAlignment="1">
      <alignment vertical="center"/>
    </xf>
    <xf numFmtId="197" fontId="3" fillId="0" borderId="9" xfId="4" applyNumberFormat="1" applyFont="1" applyFill="1" applyBorder="1" applyAlignment="1">
      <alignment vertical="center"/>
    </xf>
    <xf numFmtId="194" fontId="7" fillId="0" borderId="1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horizontal="center" vertical="center"/>
    </xf>
    <xf numFmtId="188" fontId="18" fillId="0" borderId="11" xfId="4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93" fontId="7" fillId="0" borderId="1" xfId="0" applyNumberFormat="1" applyFont="1" applyFill="1" applyBorder="1" applyAlignment="1">
      <alignment vertical="center"/>
    </xf>
    <xf numFmtId="193" fontId="7" fillId="0" borderId="14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top"/>
    </xf>
    <xf numFmtId="0" fontId="13" fillId="0" borderId="0" xfId="0" applyFont="1" applyAlignment="1">
      <alignment horizontal="right" vertical="center"/>
    </xf>
    <xf numFmtId="0" fontId="28" fillId="0" borderId="8" xfId="0" applyFont="1" applyBorder="1" applyAlignment="1">
      <alignment horizontal="center"/>
    </xf>
    <xf numFmtId="0" fontId="28" fillId="0" borderId="12" xfId="0" applyFont="1" applyBorder="1"/>
    <xf numFmtId="0" fontId="7" fillId="0" borderId="12" xfId="0" applyFont="1" applyBorder="1"/>
    <xf numFmtId="0" fontId="20" fillId="0" borderId="12" xfId="0" applyFont="1" applyBorder="1" applyAlignment="1">
      <alignment horizontal="center"/>
    </xf>
    <xf numFmtId="188" fontId="7" fillId="0" borderId="12" xfId="4" applyNumberFormat="1" applyFont="1" applyBorder="1"/>
    <xf numFmtId="188" fontId="7" fillId="0" borderId="12" xfId="0" applyNumberFormat="1" applyFont="1" applyBorder="1"/>
    <xf numFmtId="188" fontId="7" fillId="3" borderId="1" xfId="4" applyNumberFormat="1" applyFont="1" applyFill="1" applyBorder="1" applyAlignment="1">
      <alignment horizontal="center"/>
    </xf>
    <xf numFmtId="49" fontId="13" fillId="0" borderId="4" xfId="4" applyNumberFormat="1" applyFont="1" applyFill="1" applyBorder="1" applyAlignment="1">
      <alignment horizontal="center" vertical="center"/>
    </xf>
    <xf numFmtId="49" fontId="13" fillId="0" borderId="1" xfId="4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/>
    </xf>
    <xf numFmtId="49" fontId="13" fillId="0" borderId="2" xfId="4" applyNumberFormat="1" applyFont="1" applyFill="1" applyBorder="1" applyAlignment="1">
      <alignment horizontal="center" vertical="center"/>
    </xf>
    <xf numFmtId="49" fontId="13" fillId="0" borderId="14" xfId="4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justify" vertical="center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/>
    <xf numFmtId="4" fontId="13" fillId="4" borderId="1" xfId="0" applyNumberFormat="1" applyFont="1" applyFill="1" applyBorder="1" applyAlignment="1">
      <alignment horizontal="center"/>
    </xf>
    <xf numFmtId="4" fontId="13" fillId="0" borderId="0" xfId="8" applyNumberFormat="1" applyFont="1"/>
    <xf numFmtId="4" fontId="28" fillId="0" borderId="0" xfId="8" applyNumberFormat="1" applyFont="1"/>
    <xf numFmtId="0" fontId="13" fillId="4" borderId="1" xfId="8" applyFont="1" applyFill="1" applyBorder="1" applyAlignment="1">
      <alignment horizontal="center"/>
    </xf>
    <xf numFmtId="0" fontId="13" fillId="4" borderId="0" xfId="8" applyFont="1" applyFill="1"/>
    <xf numFmtId="4" fontId="13" fillId="4" borderId="1" xfId="8" applyNumberFormat="1" applyFont="1" applyFill="1" applyBorder="1" applyAlignment="1">
      <alignment horizontal="center"/>
    </xf>
    <xf numFmtId="0" fontId="13" fillId="4" borderId="1" xfId="8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4" fontId="13" fillId="0" borderId="1" xfId="0" applyNumberFormat="1" applyFont="1" applyFill="1" applyBorder="1" applyAlignment="1">
      <alignment horizontal="center"/>
    </xf>
    <xf numFmtId="0" fontId="13" fillId="0" borderId="0" xfId="8" applyFont="1" applyFill="1"/>
    <xf numFmtId="3" fontId="13" fillId="0" borderId="1" xfId="8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190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88" fontId="5" fillId="0" borderId="0" xfId="4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92" fontId="8" fillId="0" borderId="0" xfId="0" applyNumberFormat="1" applyFont="1" applyFill="1"/>
    <xf numFmtId="0" fontId="0" fillId="0" borderId="0" xfId="0" applyFill="1"/>
    <xf numFmtId="3" fontId="0" fillId="0" borderId="0" xfId="0" applyNumberFormat="1" applyFill="1"/>
    <xf numFmtId="192" fontId="0" fillId="0" borderId="0" xfId="0" applyNumberFormat="1" applyFill="1"/>
    <xf numFmtId="0" fontId="0" fillId="0" borderId="0" xfId="0" applyFill="1" applyBorder="1"/>
    <xf numFmtId="49" fontId="0" fillId="0" borderId="0" xfId="0" applyNumberFormat="1" applyFill="1" applyBorder="1" applyAlignment="1">
      <alignment horizontal="center"/>
    </xf>
    <xf numFmtId="43" fontId="20" fillId="0" borderId="4" xfId="0" applyNumberFormat="1" applyFont="1" applyBorder="1"/>
    <xf numFmtId="43" fontId="20" fillId="0" borderId="1" xfId="0" applyNumberFormat="1" applyFont="1" applyBorder="1"/>
    <xf numFmtId="43" fontId="20" fillId="0" borderId="1" xfId="4" applyNumberFormat="1" applyFont="1" applyBorder="1"/>
    <xf numFmtId="43" fontId="20" fillId="0" borderId="3" xfId="0" applyNumberFormat="1" applyFont="1" applyBorder="1"/>
    <xf numFmtId="0" fontId="7" fillId="0" borderId="0" xfId="0" applyFont="1" applyBorder="1" applyAlignment="1"/>
    <xf numFmtId="43" fontId="29" fillId="0" borderId="3" xfId="0" applyNumberFormat="1" applyFont="1" applyBorder="1"/>
    <xf numFmtId="43" fontId="29" fillId="0" borderId="1" xfId="0" applyNumberFormat="1" applyFont="1" applyBorder="1"/>
    <xf numFmtId="43" fontId="29" fillId="0" borderId="3" xfId="4" applyNumberFormat="1" applyFont="1" applyBorder="1"/>
    <xf numFmtId="43" fontId="29" fillId="0" borderId="1" xfId="4" applyNumberFormat="1" applyFont="1" applyBorder="1"/>
    <xf numFmtId="43" fontId="29" fillId="0" borderId="2" xfId="4" applyNumberFormat="1" applyFont="1" applyBorder="1"/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188" fontId="29" fillId="0" borderId="0" xfId="4" applyNumberFormat="1" applyFont="1" applyBorder="1"/>
    <xf numFmtId="0" fontId="30" fillId="0" borderId="0" xfId="0" applyFont="1" applyBorder="1" applyAlignment="1"/>
    <xf numFmtId="0" fontId="20" fillId="0" borderId="4" xfId="0" applyFont="1" applyBorder="1" applyAlignment="1"/>
    <xf numFmtId="0" fontId="7" fillId="0" borderId="2" xfId="0" applyFont="1" applyBorder="1" applyAlignment="1"/>
    <xf numFmtId="188" fontId="7" fillId="0" borderId="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3" fontId="7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43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188" fontId="7" fillId="0" borderId="14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95" fontId="7" fillId="0" borderId="11" xfId="4" applyNumberFormat="1" applyFont="1" applyBorder="1" applyAlignment="1">
      <alignment horizontal="center"/>
    </xf>
    <xf numFmtId="195" fontId="7" fillId="0" borderId="14" xfId="4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88" fontId="7" fillId="0" borderId="11" xfId="0" applyNumberFormat="1" applyFont="1" applyBorder="1" applyAlignment="1">
      <alignment horizontal="center"/>
    </xf>
    <xf numFmtId="2" fontId="7" fillId="0" borderId="1" xfId="0" applyNumberFormat="1" applyFont="1" applyBorder="1" applyAlignment="1"/>
    <xf numFmtId="0" fontId="20" fillId="0" borderId="3" xfId="0" applyFont="1" applyBorder="1" applyAlignment="1"/>
    <xf numFmtId="197" fontId="7" fillId="0" borderId="1" xfId="0" applyNumberFormat="1" applyFont="1" applyBorder="1" applyAlignment="1"/>
    <xf numFmtId="197" fontId="7" fillId="0" borderId="1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88" fontId="7" fillId="0" borderId="0" xfId="0" applyNumberFormat="1" applyFont="1" applyBorder="1" applyAlignment="1">
      <alignment horizontal="center"/>
    </xf>
    <xf numFmtId="0" fontId="27" fillId="0" borderId="30" xfId="0" applyFont="1" applyBorder="1"/>
    <xf numFmtId="0" fontId="17" fillId="0" borderId="0" xfId="0" applyFont="1" applyBorder="1"/>
    <xf numFmtId="0" fontId="46" fillId="0" borderId="0" xfId="0" applyFont="1" applyAlignment="1">
      <alignment horizontal="left" wrapText="1"/>
    </xf>
    <xf numFmtId="0" fontId="18" fillId="0" borderId="0" xfId="0" applyFont="1" applyBorder="1"/>
    <xf numFmtId="49" fontId="7" fillId="0" borderId="0" xfId="0" applyNumberFormat="1" applyFont="1" applyFill="1" applyBorder="1" applyAlignment="1">
      <alignment horizontal="left"/>
    </xf>
    <xf numFmtId="3" fontId="19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188" fontId="20" fillId="0" borderId="3" xfId="4" applyNumberFormat="1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188" fontId="20" fillId="0" borderId="3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88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88" fontId="7" fillId="0" borderId="2" xfId="4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2" fontId="20" fillId="0" borderId="3" xfId="0" applyNumberFormat="1" applyFont="1" applyBorder="1" applyAlignment="1">
      <alignment horizontal="right"/>
    </xf>
    <xf numFmtId="43" fontId="7" fillId="0" borderId="2" xfId="0" applyNumberFormat="1" applyFont="1" applyBorder="1" applyAlignment="1">
      <alignment horizontal="right"/>
    </xf>
    <xf numFmtId="2" fontId="20" fillId="0" borderId="3" xfId="4" applyNumberFormat="1" applyFont="1" applyBorder="1" applyAlignment="1">
      <alignment horizontal="right"/>
    </xf>
    <xf numFmtId="43" fontId="20" fillId="0" borderId="3" xfId="0" applyNumberFormat="1" applyFont="1" applyBorder="1" applyAlignment="1">
      <alignment horizontal="right"/>
    </xf>
    <xf numFmtId="188" fontId="3" fillId="0" borderId="0" xfId="4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7" fillId="0" borderId="0" xfId="0" applyFont="1"/>
    <xf numFmtId="43" fontId="20" fillId="0" borderId="3" xfId="4" applyNumberFormat="1" applyFont="1" applyBorder="1" applyAlignment="1">
      <alignment horizontal="right"/>
    </xf>
    <xf numFmtId="188" fontId="20" fillId="0" borderId="4" xfId="4" applyNumberFormat="1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188" fontId="20" fillId="0" borderId="4" xfId="0" applyNumberFormat="1" applyFont="1" applyBorder="1" applyAlignment="1">
      <alignment horizontal="right"/>
    </xf>
    <xf numFmtId="43" fontId="20" fillId="0" borderId="4" xfId="0" applyNumberFormat="1" applyFont="1" applyBorder="1" applyAlignment="1">
      <alignment horizontal="right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88" fontId="7" fillId="0" borderId="8" xfId="4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43" fontId="7" fillId="0" borderId="8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188" fontId="7" fillId="0" borderId="12" xfId="4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3" fontId="7" fillId="0" borderId="12" xfId="0" applyNumberFormat="1" applyFont="1" applyBorder="1" applyAlignment="1">
      <alignment horizontal="right"/>
    </xf>
    <xf numFmtId="2" fontId="28" fillId="0" borderId="0" xfId="0" applyNumberFormat="1" applyFont="1"/>
    <xf numFmtId="0" fontId="49" fillId="3" borderId="15" xfId="9" applyFont="1" applyFill="1" applyBorder="1" applyAlignment="1">
      <alignment horizontal="center" wrapText="1"/>
    </xf>
    <xf numFmtId="0" fontId="49" fillId="4" borderId="15" xfId="9" applyFont="1" applyFill="1" applyBorder="1" applyAlignment="1">
      <alignment horizontal="center" wrapText="1"/>
    </xf>
    <xf numFmtId="0" fontId="13" fillId="0" borderId="31" xfId="0" applyFont="1" applyBorder="1"/>
    <xf numFmtId="188" fontId="30" fillId="0" borderId="15" xfId="4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192" fontId="51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/>
    <xf numFmtId="0" fontId="29" fillId="0" borderId="1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194" fontId="29" fillId="0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192" fontId="51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9" fillId="0" borderId="22" xfId="0" applyFont="1" applyFill="1" applyBorder="1" applyAlignment="1">
      <alignment horizontal="right" vertical="center"/>
    </xf>
    <xf numFmtId="49" fontId="30" fillId="0" borderId="15" xfId="4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29" fillId="0" borderId="15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vertical="center"/>
    </xf>
    <xf numFmtId="188" fontId="30" fillId="0" borderId="15" xfId="4" applyNumberFormat="1" applyFont="1" applyFill="1" applyBorder="1" applyAlignment="1">
      <alignment horizontal="right" vertical="center"/>
    </xf>
    <xf numFmtId="3" fontId="30" fillId="0" borderId="15" xfId="4" applyNumberFormat="1" applyFont="1" applyFill="1" applyBorder="1" applyAlignment="1">
      <alignment horizontal="center" vertical="center"/>
    </xf>
    <xf numFmtId="3" fontId="30" fillId="0" borderId="23" xfId="4" applyNumberFormat="1" applyFont="1" applyFill="1" applyBorder="1" applyAlignment="1">
      <alignment vertical="center"/>
    </xf>
    <xf numFmtId="3" fontId="30" fillId="0" borderId="1" xfId="4" applyNumberFormat="1" applyFont="1" applyFill="1" applyBorder="1" applyAlignment="1">
      <alignment vertical="center"/>
    </xf>
    <xf numFmtId="192" fontId="30" fillId="0" borderId="1" xfId="4" applyNumberFormat="1" applyFont="1" applyFill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188" fontId="29" fillId="0" borderId="15" xfId="4" applyNumberFormat="1" applyFont="1" applyFill="1" applyBorder="1" applyAlignment="1">
      <alignment vertical="center"/>
    </xf>
    <xf numFmtId="3" fontId="30" fillId="0" borderId="15" xfId="0" applyNumberFormat="1" applyFont="1" applyFill="1" applyBorder="1" applyAlignment="1">
      <alignment vertical="center"/>
    </xf>
    <xf numFmtId="3" fontId="30" fillId="0" borderId="23" xfId="0" applyNumberFormat="1" applyFont="1" applyFill="1" applyBorder="1" applyAlignment="1">
      <alignment vertical="center"/>
    </xf>
    <xf numFmtId="3" fontId="30" fillId="0" borderId="1" xfId="0" applyNumberFormat="1" applyFont="1" applyFill="1" applyBorder="1" applyAlignment="1">
      <alignment vertical="center"/>
    </xf>
    <xf numFmtId="192" fontId="30" fillId="0" borderId="1" xfId="0" applyNumberFormat="1" applyFont="1" applyFill="1" applyBorder="1" applyAlignment="1">
      <alignment vertical="center"/>
    </xf>
    <xf numFmtId="188" fontId="52" fillId="0" borderId="0" xfId="0" applyNumberFormat="1" applyFont="1" applyFill="1"/>
    <xf numFmtId="0" fontId="53" fillId="0" borderId="15" xfId="0" applyFont="1" applyFill="1" applyBorder="1" applyAlignment="1">
      <alignment horizontal="center" vertical="center"/>
    </xf>
    <xf numFmtId="192" fontId="30" fillId="0" borderId="14" xfId="0" applyNumberFormat="1" applyFont="1" applyFill="1" applyBorder="1" applyAlignment="1">
      <alignment vertical="center"/>
    </xf>
    <xf numFmtId="49" fontId="53" fillId="0" borderId="15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vertical="center"/>
    </xf>
    <xf numFmtId="3" fontId="30" fillId="0" borderId="25" xfId="0" applyNumberFormat="1" applyFont="1" applyFill="1" applyBorder="1" applyAlignment="1">
      <alignment vertical="center"/>
    </xf>
    <xf numFmtId="3" fontId="30" fillId="0" borderId="2" xfId="0" applyNumberFormat="1" applyFont="1" applyFill="1" applyBorder="1" applyAlignment="1">
      <alignment vertical="center"/>
    </xf>
    <xf numFmtId="192" fontId="30" fillId="0" borderId="2" xfId="0" applyNumberFormat="1" applyFont="1" applyFill="1" applyBorder="1" applyAlignment="1">
      <alignment vertical="center"/>
    </xf>
    <xf numFmtId="0" fontId="29" fillId="0" borderId="15" xfId="0" applyFont="1" applyFill="1" applyBorder="1" applyAlignment="1">
      <alignment horizontal="right" vertical="center"/>
    </xf>
    <xf numFmtId="3" fontId="29" fillId="0" borderId="15" xfId="0" applyNumberFormat="1" applyFont="1" applyFill="1" applyBorder="1" applyAlignment="1">
      <alignment vertical="center"/>
    </xf>
    <xf numFmtId="3" fontId="30" fillId="0" borderId="29" xfId="0" applyNumberFormat="1" applyFont="1" applyFill="1" applyBorder="1" applyAlignment="1">
      <alignment vertical="center"/>
    </xf>
    <xf numFmtId="3" fontId="30" fillId="0" borderId="3" xfId="0" applyNumberFormat="1" applyFont="1" applyFill="1" applyBorder="1" applyAlignment="1">
      <alignment vertical="center"/>
    </xf>
    <xf numFmtId="192" fontId="30" fillId="0" borderId="3" xfId="0" applyNumberFormat="1" applyFont="1" applyFill="1" applyBorder="1" applyAlignment="1">
      <alignment vertical="center"/>
    </xf>
    <xf numFmtId="0" fontId="29" fillId="0" borderId="15" xfId="0" applyFont="1" applyFill="1" applyBorder="1" applyAlignment="1">
      <alignment horizontal="center" vertical="center"/>
    </xf>
    <xf numFmtId="49" fontId="29" fillId="0" borderId="15" xfId="4" applyNumberFormat="1" applyFont="1" applyFill="1" applyBorder="1" applyAlignment="1">
      <alignment horizontal="center" vertical="center"/>
    </xf>
    <xf numFmtId="188" fontId="29" fillId="0" borderId="15" xfId="4" applyNumberFormat="1" applyFont="1" applyFill="1" applyBorder="1" applyAlignment="1">
      <alignment horizontal="right" vertical="center"/>
    </xf>
    <xf numFmtId="188" fontId="29" fillId="0" borderId="9" xfId="4" applyNumberFormat="1" applyFont="1" applyFill="1" applyBorder="1" applyAlignment="1">
      <alignment vertical="center"/>
    </xf>
    <xf numFmtId="0" fontId="29" fillId="0" borderId="15" xfId="0" applyFont="1" applyFill="1" applyBorder="1" applyAlignment="1">
      <alignment horizontal="justify" vertical="center"/>
    </xf>
    <xf numFmtId="188" fontId="30" fillId="0" borderId="23" xfId="4" applyNumberFormat="1" applyFont="1" applyFill="1" applyBorder="1" applyAlignment="1">
      <alignment vertical="center"/>
    </xf>
    <xf numFmtId="197" fontId="30" fillId="0" borderId="23" xfId="4" applyNumberFormat="1" applyFont="1" applyFill="1" applyBorder="1" applyAlignment="1">
      <alignment vertical="center"/>
    </xf>
    <xf numFmtId="188" fontId="29" fillId="0" borderId="25" xfId="4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vertical="center"/>
    </xf>
    <xf numFmtId="3" fontId="52" fillId="0" borderId="0" xfId="0" applyNumberFormat="1" applyFont="1" applyFill="1" applyAlignment="1">
      <alignment vertical="center"/>
    </xf>
    <xf numFmtId="192" fontId="52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right" vertical="center"/>
    </xf>
    <xf numFmtId="0" fontId="53" fillId="0" borderId="0" xfId="0" applyFont="1" applyFill="1" applyAlignment="1">
      <alignment vertical="center"/>
    </xf>
    <xf numFmtId="188" fontId="53" fillId="0" borderId="0" xfId="4" applyNumberFormat="1" applyFont="1" applyFill="1" applyAlignment="1">
      <alignment vertical="center"/>
    </xf>
    <xf numFmtId="0" fontId="29" fillId="0" borderId="10" xfId="0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vertical="top"/>
    </xf>
    <xf numFmtId="3" fontId="53" fillId="0" borderId="1" xfId="4" applyNumberFormat="1" applyFont="1" applyFill="1" applyBorder="1" applyAlignment="1">
      <alignment vertical="center"/>
    </xf>
    <xf numFmtId="192" fontId="53" fillId="0" borderId="1" xfId="4" applyNumberFormat="1" applyFont="1" applyFill="1" applyBorder="1" applyAlignment="1">
      <alignment vertical="center"/>
    </xf>
    <xf numFmtId="4" fontId="29" fillId="0" borderId="23" xfId="0" applyNumberFormat="1" applyFont="1" applyFill="1" applyBorder="1" applyAlignment="1">
      <alignment vertical="center"/>
    </xf>
    <xf numFmtId="4" fontId="29" fillId="0" borderId="1" xfId="0" applyNumberFormat="1" applyFont="1" applyFill="1" applyBorder="1" applyAlignment="1">
      <alignment vertical="center"/>
    </xf>
    <xf numFmtId="3" fontId="30" fillId="0" borderId="0" xfId="0" applyNumberFormat="1" applyFont="1" applyFill="1" applyAlignment="1">
      <alignment vertical="center"/>
    </xf>
    <xf numFmtId="192" fontId="30" fillId="0" borderId="0" xfId="0" applyNumberFormat="1" applyFont="1" applyFill="1" applyAlignment="1">
      <alignment vertical="center"/>
    </xf>
    <xf numFmtId="0" fontId="54" fillId="0" borderId="15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188" fontId="29" fillId="0" borderId="23" xfId="4" applyNumberFormat="1" applyFont="1" applyFill="1" applyBorder="1" applyAlignment="1">
      <alignment vertical="center"/>
    </xf>
    <xf numFmtId="188" fontId="29" fillId="0" borderId="1" xfId="4" applyNumberFormat="1" applyFont="1" applyFill="1" applyBorder="1" applyAlignment="1">
      <alignment vertical="center"/>
    </xf>
    <xf numFmtId="188" fontId="29" fillId="0" borderId="2" xfId="4" applyNumberFormat="1" applyFont="1" applyFill="1" applyBorder="1" applyAlignment="1">
      <alignment vertical="center"/>
    </xf>
    <xf numFmtId="192" fontId="30" fillId="0" borderId="26" xfId="0" applyNumberFormat="1" applyFont="1" applyFill="1" applyBorder="1" applyAlignment="1">
      <alignment vertical="center"/>
    </xf>
    <xf numFmtId="3" fontId="30" fillId="0" borderId="7" xfId="0" applyNumberFormat="1" applyFont="1" applyFill="1" applyBorder="1" applyAlignment="1">
      <alignment vertical="center"/>
    </xf>
    <xf numFmtId="192" fontId="30" fillId="0" borderId="7" xfId="0" applyNumberFormat="1" applyFont="1" applyFill="1" applyBorder="1" applyAlignment="1">
      <alignment vertical="center"/>
    </xf>
    <xf numFmtId="49" fontId="51" fillId="0" borderId="15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192" fontId="5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188" fontId="30" fillId="0" borderId="0" xfId="4" applyNumberFormat="1" applyFont="1" applyFill="1" applyAlignment="1">
      <alignment vertical="center"/>
    </xf>
    <xf numFmtId="3" fontId="52" fillId="0" borderId="12" xfId="0" applyNumberFormat="1" applyFont="1" applyFill="1" applyBorder="1" applyAlignment="1">
      <alignment vertical="center"/>
    </xf>
    <xf numFmtId="192" fontId="52" fillId="0" borderId="12" xfId="0" applyNumberFormat="1" applyFont="1" applyFill="1" applyBorder="1" applyAlignment="1">
      <alignment vertical="center"/>
    </xf>
    <xf numFmtId="3" fontId="53" fillId="0" borderId="23" xfId="4" applyNumberFormat="1" applyFont="1" applyFill="1" applyBorder="1" applyAlignment="1">
      <alignment vertical="center"/>
    </xf>
    <xf numFmtId="192" fontId="52" fillId="0" borderId="1" xfId="0" applyNumberFormat="1" applyFont="1" applyFill="1" applyBorder="1" applyAlignment="1">
      <alignment vertical="center"/>
    </xf>
    <xf numFmtId="3" fontId="52" fillId="0" borderId="23" xfId="0" applyNumberFormat="1" applyFont="1" applyFill="1" applyBorder="1" applyAlignment="1">
      <alignment vertical="center"/>
    </xf>
    <xf numFmtId="3" fontId="52" fillId="0" borderId="1" xfId="0" applyNumberFormat="1" applyFont="1" applyFill="1" applyBorder="1" applyAlignment="1">
      <alignment vertical="center"/>
    </xf>
    <xf numFmtId="192" fontId="52" fillId="0" borderId="14" xfId="0" applyNumberFormat="1" applyFont="1" applyFill="1" applyBorder="1" applyAlignment="1">
      <alignment vertical="center"/>
    </xf>
    <xf numFmtId="3" fontId="52" fillId="0" borderId="25" xfId="0" applyNumberFormat="1" applyFont="1" applyFill="1" applyBorder="1" applyAlignment="1">
      <alignment vertical="center"/>
    </xf>
    <xf numFmtId="3" fontId="52" fillId="0" borderId="2" xfId="0" applyNumberFormat="1" applyFont="1" applyFill="1" applyBorder="1" applyAlignment="1">
      <alignment vertical="center"/>
    </xf>
    <xf numFmtId="192" fontId="52" fillId="0" borderId="2" xfId="0" applyNumberFormat="1" applyFont="1" applyFill="1" applyBorder="1" applyAlignment="1">
      <alignment vertical="center"/>
    </xf>
    <xf numFmtId="49" fontId="52" fillId="0" borderId="15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vertical="center"/>
    </xf>
    <xf numFmtId="0" fontId="30" fillId="0" borderId="15" xfId="0" applyFont="1" applyFill="1" applyBorder="1" applyAlignment="1">
      <alignment horizontal="right" vertical="center"/>
    </xf>
    <xf numFmtId="3" fontId="52" fillId="0" borderId="7" xfId="0" applyNumberFormat="1" applyFont="1" applyFill="1" applyBorder="1" applyAlignment="1">
      <alignment vertical="center"/>
    </xf>
    <xf numFmtId="192" fontId="52" fillId="0" borderId="7" xfId="0" applyNumberFormat="1" applyFont="1" applyFill="1" applyBorder="1" applyAlignment="1">
      <alignment vertical="center"/>
    </xf>
    <xf numFmtId="3" fontId="52" fillId="0" borderId="29" xfId="0" applyNumberFormat="1" applyFont="1" applyFill="1" applyBorder="1" applyAlignment="1">
      <alignment vertical="center"/>
    </xf>
    <xf numFmtId="3" fontId="52" fillId="0" borderId="3" xfId="0" applyNumberFormat="1" applyFont="1" applyFill="1" applyBorder="1" applyAlignment="1">
      <alignment vertical="center"/>
    </xf>
    <xf numFmtId="192" fontId="52" fillId="0" borderId="3" xfId="0" applyNumberFormat="1" applyFont="1" applyFill="1" applyBorder="1" applyAlignment="1">
      <alignment vertical="center"/>
    </xf>
    <xf numFmtId="197" fontId="29" fillId="0" borderId="9" xfId="4" applyNumberFormat="1" applyFont="1" applyFill="1" applyBorder="1" applyAlignment="1">
      <alignment vertical="center"/>
    </xf>
    <xf numFmtId="197" fontId="29" fillId="0" borderId="23" xfId="4" applyNumberFormat="1" applyFont="1" applyFill="1" applyBorder="1" applyAlignment="1">
      <alignment vertical="center"/>
    </xf>
    <xf numFmtId="188" fontId="29" fillId="0" borderId="24" xfId="4" applyNumberFormat="1" applyFont="1" applyFill="1" applyBorder="1" applyAlignment="1">
      <alignment vertical="center"/>
    </xf>
    <xf numFmtId="197" fontId="29" fillId="0" borderId="24" xfId="4" applyNumberFormat="1" applyFont="1" applyFill="1" applyBorder="1" applyAlignment="1">
      <alignment vertical="center"/>
    </xf>
    <xf numFmtId="188" fontId="53" fillId="0" borderId="9" xfId="4" applyNumberFormat="1" applyFont="1" applyFill="1" applyBorder="1" applyAlignment="1">
      <alignment vertical="center"/>
    </xf>
    <xf numFmtId="197" fontId="53" fillId="0" borderId="9" xfId="4" applyNumberFormat="1" applyFont="1" applyFill="1" applyBorder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/>
    </xf>
    <xf numFmtId="194" fontId="30" fillId="0" borderId="1" xfId="0" applyNumberFormat="1" applyFont="1" applyFill="1" applyBorder="1" applyAlignment="1">
      <alignment vertical="center"/>
    </xf>
    <xf numFmtId="193" fontId="30" fillId="0" borderId="1" xfId="0" applyNumberFormat="1" applyFont="1" applyFill="1" applyBorder="1" applyAlignment="1">
      <alignment vertical="center"/>
    </xf>
    <xf numFmtId="193" fontId="30" fillId="0" borderId="14" xfId="0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center"/>
    </xf>
    <xf numFmtId="0" fontId="52" fillId="0" borderId="0" xfId="0" applyFont="1" applyFill="1" applyBorder="1"/>
    <xf numFmtId="0" fontId="52" fillId="0" borderId="0" xfId="0" applyFont="1" applyFill="1" applyAlignment="1">
      <alignment horizontal="right"/>
    </xf>
    <xf numFmtId="3" fontId="52" fillId="0" borderId="0" xfId="0" applyNumberFormat="1" applyFont="1" applyFill="1"/>
    <xf numFmtId="192" fontId="52" fillId="0" borderId="0" xfId="0" applyNumberFormat="1" applyFont="1" applyFill="1"/>
    <xf numFmtId="0" fontId="44" fillId="0" borderId="0" xfId="0" applyFont="1" applyFill="1"/>
    <xf numFmtId="0" fontId="13" fillId="0" borderId="32" xfId="0" applyFont="1" applyBorder="1"/>
    <xf numFmtId="194" fontId="13" fillId="0" borderId="1" xfId="0" applyNumberFormat="1" applyFont="1" applyBorder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13" fillId="0" borderId="1" xfId="8" applyFont="1" applyBorder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8" fillId="2" borderId="14" xfId="0" applyNumberFormat="1" applyFont="1" applyFill="1" applyBorder="1" applyAlignment="1">
      <alignment horizontal="center" vertical="center"/>
    </xf>
    <xf numFmtId="49" fontId="18" fillId="2" borderId="13" xfId="0" applyNumberFormat="1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justify" vertical="center" wrapText="1"/>
    </xf>
    <xf numFmtId="0" fontId="13" fillId="0" borderId="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justify" vertic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188" fontId="20" fillId="0" borderId="0" xfId="0" applyNumberFormat="1" applyFont="1" applyBorder="1" applyAlignment="1">
      <alignment horizontal="center"/>
    </xf>
    <xf numFmtId="188" fontId="20" fillId="0" borderId="10" xfId="4" applyNumberFormat="1" applyFont="1" applyBorder="1" applyAlignment="1">
      <alignment horizontal="center" vertical="center" wrapText="1"/>
    </xf>
    <xf numFmtId="188" fontId="20" fillId="0" borderId="11" xfId="4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49" fontId="20" fillId="0" borderId="21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 wrapText="1"/>
    </xf>
    <xf numFmtId="0" fontId="26" fillId="4" borderId="0" xfId="0" applyFont="1" applyFill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29" fillId="0" borderId="8" xfId="0" applyFont="1" applyBorder="1" applyAlignment="1">
      <alignment horizontal="left"/>
    </xf>
    <xf numFmtId="0" fontId="30" fillId="0" borderId="0" xfId="0" applyFont="1" applyBorder="1" applyAlignment="1">
      <alignment horizontal="left" wrapText="1"/>
    </xf>
    <xf numFmtId="0" fontId="20" fillId="0" borderId="3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wrapText="1"/>
    </xf>
    <xf numFmtId="0" fontId="20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</cellXfs>
  <cellStyles count="10">
    <cellStyle name="Chuẩn 2" xfId="1"/>
    <cellStyle name="Chuẩn 2 2" xfId="2"/>
    <cellStyle name="Chuẩn 2_DCu-CLBD" xfId="3"/>
    <cellStyle name="Comma" xfId="4" builtinId="3"/>
    <cellStyle name="Comma 2" xfId="5"/>
    <cellStyle name="Dấu phảy 18" xfId="6"/>
    <cellStyle name="Dấu phẩy 2" xfId="7"/>
    <cellStyle name="Normal" xfId="0" builtinId="0"/>
    <cellStyle name="Normal 2" xfId="8"/>
    <cellStyle name="Normal_TBI-CLBD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IV-DON%20GIA%20DO%20DAC%20CHINH%20LY%20(TP,TX%20KY%20ANH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 so chung"/>
      <sheetName val="LUONGNGAY"/>
      <sheetName val="Gia-DC"/>
      <sheetName val="Gia-VL"/>
      <sheetName val="Gia-TB"/>
      <sheetName val="DONGIA-NT-TH"/>
      <sheetName val="DONGIA-DT-TH"/>
      <sheetName val="DGTH"/>
      <sheetName val="IV. DONGIA CHỈNH LÝ"/>
      <sheetName val="NC-CLBD"/>
      <sheetName val="NL-CLBD"/>
      <sheetName val="DCu-CLBD"/>
      <sheetName val="VL-CLBD"/>
      <sheetName val="TBI-CLB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N7" t="e">
            <v>#VALUE!</v>
          </cell>
        </row>
        <row r="8">
          <cell r="N8" t="e">
            <v>#VALUE!</v>
          </cell>
        </row>
        <row r="9">
          <cell r="N9" t="e">
            <v>#VALUE!</v>
          </cell>
        </row>
        <row r="10">
          <cell r="N10" t="e">
            <v>#VALUE!</v>
          </cell>
        </row>
        <row r="12">
          <cell r="N12" t="e">
            <v>#VALUE!</v>
          </cell>
        </row>
        <row r="13">
          <cell r="N13" t="e">
            <v>#VALUE!</v>
          </cell>
        </row>
        <row r="14">
          <cell r="N14" t="e">
            <v>#VALUE!</v>
          </cell>
        </row>
        <row r="15">
          <cell r="N15" t="e">
            <v>#VALUE!</v>
          </cell>
        </row>
        <row r="17">
          <cell r="N17" t="e">
            <v>#VALUE!</v>
          </cell>
        </row>
        <row r="18">
          <cell r="N18" t="e">
            <v>#VALUE!</v>
          </cell>
        </row>
        <row r="19">
          <cell r="N19" t="e">
            <v>#VALUE!</v>
          </cell>
        </row>
        <row r="20">
          <cell r="N20" t="e">
            <v>#VALUE!</v>
          </cell>
        </row>
        <row r="25">
          <cell r="N25" t="e">
            <v>#VALUE!</v>
          </cell>
        </row>
        <row r="26">
          <cell r="N26" t="e">
            <v>#VALUE!</v>
          </cell>
        </row>
        <row r="27">
          <cell r="N27" t="e">
            <v>#VALUE!</v>
          </cell>
        </row>
        <row r="28">
          <cell r="N28" t="e">
            <v>#VALUE!</v>
          </cell>
        </row>
        <row r="30">
          <cell r="N30" t="e">
            <v>#VALUE!</v>
          </cell>
        </row>
        <row r="33">
          <cell r="N33" t="e">
            <v>#VALUE!</v>
          </cell>
        </row>
        <row r="35">
          <cell r="N35" t="e">
            <v>#VALUE!</v>
          </cell>
        </row>
        <row r="37">
          <cell r="N37" t="e">
            <v>#VALUE!</v>
          </cell>
        </row>
        <row r="39">
          <cell r="N39" t="e">
            <v>#VALUE!</v>
          </cell>
        </row>
        <row r="42">
          <cell r="N42" t="e">
            <v>#VALUE!</v>
          </cell>
        </row>
        <row r="43">
          <cell r="N43" t="e">
            <v>#VALUE!</v>
          </cell>
        </row>
        <row r="44">
          <cell r="N44" t="e">
            <v>#VALUE!</v>
          </cell>
        </row>
        <row r="45">
          <cell r="N45" t="e">
            <v>#VALUE!</v>
          </cell>
        </row>
        <row r="47">
          <cell r="N47" t="e">
            <v>#VALUE!</v>
          </cell>
        </row>
        <row r="48">
          <cell r="N48" t="e">
            <v>#VALUE!</v>
          </cell>
        </row>
        <row r="49">
          <cell r="N49" t="e">
            <v>#VALUE!</v>
          </cell>
        </row>
        <row r="50">
          <cell r="N50" t="e">
            <v>#VALUE!</v>
          </cell>
        </row>
        <row r="54">
          <cell r="N54" t="str">
            <v>Đơn vị tính: đồng</v>
          </cell>
        </row>
        <row r="57">
          <cell r="N57" t="str">
            <v xml:space="preserve"> (9)=(7)+(8) </v>
          </cell>
        </row>
        <row r="59">
          <cell r="N59" t="e">
            <v>#VALUE!</v>
          </cell>
        </row>
        <row r="60">
          <cell r="N60" t="e">
            <v>#VALUE!</v>
          </cell>
        </row>
        <row r="61">
          <cell r="N61" t="e">
            <v>#VALUE!</v>
          </cell>
        </row>
        <row r="62">
          <cell r="N62" t="e">
            <v>#VALUE!</v>
          </cell>
        </row>
        <row r="63">
          <cell r="N63" t="e">
            <v>#VALUE!</v>
          </cell>
        </row>
        <row r="65">
          <cell r="N65" t="e">
            <v>#VALUE!</v>
          </cell>
        </row>
        <row r="66">
          <cell r="N66" t="e">
            <v>#VALUE!</v>
          </cell>
        </row>
        <row r="67">
          <cell r="N67" t="e">
            <v>#VALUE!</v>
          </cell>
        </row>
        <row r="68">
          <cell r="N68" t="e">
            <v>#VALUE!</v>
          </cell>
        </row>
        <row r="69">
          <cell r="N69" t="e">
            <v>#VALUE!</v>
          </cell>
        </row>
        <row r="71">
          <cell r="N71" t="e">
            <v>#VALUE!</v>
          </cell>
        </row>
        <row r="72">
          <cell r="N72" t="e">
            <v>#VALUE!</v>
          </cell>
        </row>
        <row r="73">
          <cell r="N73" t="e">
            <v>#VALUE!</v>
          </cell>
        </row>
        <row r="74">
          <cell r="N74" t="e">
            <v>#VALUE!</v>
          </cell>
        </row>
        <row r="75">
          <cell r="N75" t="e">
            <v>#VALUE!</v>
          </cell>
        </row>
        <row r="80">
          <cell r="N80" t="e">
            <v>#VALUE!</v>
          </cell>
        </row>
        <row r="81">
          <cell r="N81" t="e">
            <v>#VALUE!</v>
          </cell>
        </row>
        <row r="82">
          <cell r="N82" t="e">
            <v>#VALUE!</v>
          </cell>
        </row>
        <row r="83">
          <cell r="N83" t="e">
            <v>#VALUE!</v>
          </cell>
        </row>
        <row r="84">
          <cell r="N84" t="e">
            <v>#VALUE!</v>
          </cell>
        </row>
        <row r="86">
          <cell r="N86" t="e">
            <v>#VALUE!</v>
          </cell>
        </row>
        <row r="89">
          <cell r="N89" t="e">
            <v>#VALUE!</v>
          </cell>
        </row>
        <row r="91">
          <cell r="N91" t="e">
            <v>#VALUE!</v>
          </cell>
        </row>
        <row r="93">
          <cell r="N93" t="e">
            <v>#VALUE!</v>
          </cell>
        </row>
        <row r="95">
          <cell r="N95" t="e">
            <v>#VALUE!</v>
          </cell>
        </row>
        <row r="99">
          <cell r="N99" t="e">
            <v>#VALUE!</v>
          </cell>
        </row>
        <row r="100">
          <cell r="N100" t="e">
            <v>#VALUE!</v>
          </cell>
        </row>
        <row r="101">
          <cell r="N101" t="e">
            <v>#VALUE!</v>
          </cell>
        </row>
        <row r="102">
          <cell r="N102" t="e">
            <v>#VALUE!</v>
          </cell>
        </row>
        <row r="103">
          <cell r="N103" t="e">
            <v>#VALUE!</v>
          </cell>
        </row>
        <row r="105">
          <cell r="N105" t="e">
            <v>#VALUE!</v>
          </cell>
        </row>
        <row r="106">
          <cell r="N106" t="e">
            <v>#VALUE!</v>
          </cell>
        </row>
        <row r="107">
          <cell r="N107" t="e">
            <v>#VALUE!</v>
          </cell>
        </row>
        <row r="108">
          <cell r="N108" t="e">
            <v>#VALUE!</v>
          </cell>
        </row>
        <row r="109">
          <cell r="N109" t="e">
            <v>#VALUE!</v>
          </cell>
        </row>
        <row r="111">
          <cell r="N111" t="str">
            <v>Đơn vị tính: đồng</v>
          </cell>
        </row>
        <row r="114">
          <cell r="N114" t="str">
            <v xml:space="preserve"> (9)=(7)+(8) </v>
          </cell>
        </row>
        <row r="116">
          <cell r="N116" t="e">
            <v>#VALUE!</v>
          </cell>
        </row>
        <row r="117">
          <cell r="N117" t="e">
            <v>#VALUE!</v>
          </cell>
        </row>
        <row r="118">
          <cell r="N118" t="e">
            <v>#VALUE!</v>
          </cell>
        </row>
        <row r="119">
          <cell r="N119" t="e">
            <v>#VALUE!</v>
          </cell>
        </row>
        <row r="120">
          <cell r="N120" t="e">
            <v>#VALUE!</v>
          </cell>
        </row>
        <row r="122">
          <cell r="N122" t="e">
            <v>#VALUE!</v>
          </cell>
        </row>
        <row r="123">
          <cell r="N123" t="e">
            <v>#VALUE!</v>
          </cell>
        </row>
        <row r="124">
          <cell r="N124" t="e">
            <v>#VALUE!</v>
          </cell>
        </row>
        <row r="125">
          <cell r="N125" t="e">
            <v>#VALUE!</v>
          </cell>
        </row>
        <row r="126">
          <cell r="N126" t="e">
            <v>#VALUE!</v>
          </cell>
        </row>
        <row r="128">
          <cell r="N128" t="e">
            <v>#VALUE!</v>
          </cell>
        </row>
        <row r="129">
          <cell r="N129" t="e">
            <v>#VALUE!</v>
          </cell>
        </row>
        <row r="130">
          <cell r="N130" t="e">
            <v>#VALUE!</v>
          </cell>
        </row>
        <row r="131">
          <cell r="N131" t="e">
            <v>#VALUE!</v>
          </cell>
        </row>
        <row r="132">
          <cell r="N132" t="e">
            <v>#VALUE!</v>
          </cell>
        </row>
        <row r="137">
          <cell r="N137" t="e">
            <v>#VALUE!</v>
          </cell>
        </row>
        <row r="138">
          <cell r="N138" t="e">
            <v>#VALUE!</v>
          </cell>
        </row>
        <row r="139">
          <cell r="N139" t="e">
            <v>#VALUE!</v>
          </cell>
        </row>
        <row r="140">
          <cell r="N140" t="e">
            <v>#VALUE!</v>
          </cell>
        </row>
        <row r="141">
          <cell r="N141" t="e">
            <v>#VALUE!</v>
          </cell>
        </row>
        <row r="143">
          <cell r="N143" t="e">
            <v>#VALUE!</v>
          </cell>
        </row>
        <row r="146">
          <cell r="N146" t="e">
            <v>#VALUE!</v>
          </cell>
        </row>
        <row r="148">
          <cell r="N148" t="e">
            <v>#VALUE!</v>
          </cell>
        </row>
        <row r="150">
          <cell r="N150" t="e">
            <v>#VALUE!</v>
          </cell>
        </row>
        <row r="152">
          <cell r="N152" t="e">
            <v>#VALUE!</v>
          </cell>
        </row>
        <row r="156">
          <cell r="N156" t="e">
            <v>#VALUE!</v>
          </cell>
        </row>
        <row r="157">
          <cell r="N157" t="e">
            <v>#VALUE!</v>
          </cell>
        </row>
        <row r="158">
          <cell r="N158" t="e">
            <v>#VALUE!</v>
          </cell>
        </row>
        <row r="159">
          <cell r="N159" t="e">
            <v>#VALUE!</v>
          </cell>
        </row>
        <row r="160">
          <cell r="N160" t="e">
            <v>#VALUE!</v>
          </cell>
        </row>
        <row r="162">
          <cell r="N162" t="e">
            <v>#VALUE!</v>
          </cell>
        </row>
        <row r="163">
          <cell r="N163" t="e">
            <v>#VALUE!</v>
          </cell>
        </row>
        <row r="164">
          <cell r="N164" t="e">
            <v>#VALUE!</v>
          </cell>
        </row>
        <row r="165">
          <cell r="N165" t="e">
            <v>#VALUE!</v>
          </cell>
        </row>
        <row r="166">
          <cell r="N166" t="e">
            <v>#VALUE!</v>
          </cell>
        </row>
        <row r="169">
          <cell r="N169" t="str">
            <v>Đơn vị tính: đồng</v>
          </cell>
        </row>
        <row r="172">
          <cell r="N172" t="str">
            <v xml:space="preserve"> (9)=(7)+(8) </v>
          </cell>
        </row>
        <row r="174">
          <cell r="N174" t="e">
            <v>#VALUE!</v>
          </cell>
        </row>
        <row r="175">
          <cell r="N175" t="e">
            <v>#VALUE!</v>
          </cell>
        </row>
        <row r="176">
          <cell r="N176" t="e">
            <v>#VALUE!</v>
          </cell>
        </row>
        <row r="177">
          <cell r="N177" t="e">
            <v>#VALUE!</v>
          </cell>
        </row>
        <row r="178">
          <cell r="N178" t="e">
            <v>#VALUE!</v>
          </cell>
        </row>
        <row r="180">
          <cell r="N180" t="e">
            <v>#VALUE!</v>
          </cell>
        </row>
        <row r="181">
          <cell r="N181" t="e">
            <v>#VALUE!</v>
          </cell>
        </row>
        <row r="182">
          <cell r="N182" t="e">
            <v>#VALUE!</v>
          </cell>
        </row>
        <row r="183">
          <cell r="N183" t="e">
            <v>#VALUE!</v>
          </cell>
        </row>
        <row r="184">
          <cell r="N184" t="e">
            <v>#VALUE!</v>
          </cell>
        </row>
        <row r="186">
          <cell r="N186" t="e">
            <v>#VALUE!</v>
          </cell>
        </row>
        <row r="187">
          <cell r="N187" t="e">
            <v>#VALUE!</v>
          </cell>
        </row>
        <row r="188">
          <cell r="N188" t="e">
            <v>#VALUE!</v>
          </cell>
        </row>
        <row r="189">
          <cell r="N189" t="e">
            <v>#VALUE!</v>
          </cell>
        </row>
        <row r="190">
          <cell r="N190" t="e">
            <v>#VALUE!</v>
          </cell>
        </row>
        <row r="195">
          <cell r="N195" t="e">
            <v>#VALUE!</v>
          </cell>
        </row>
        <row r="196">
          <cell r="N196" t="e">
            <v>#VALUE!</v>
          </cell>
        </row>
        <row r="197">
          <cell r="N197" t="e">
            <v>#VALUE!</v>
          </cell>
        </row>
        <row r="198">
          <cell r="N198" t="e">
            <v>#VALUE!</v>
          </cell>
        </row>
        <row r="199">
          <cell r="N199" t="e">
            <v>#VALUE!</v>
          </cell>
        </row>
        <row r="201">
          <cell r="N201" t="e">
            <v>#VALUE!</v>
          </cell>
        </row>
        <row r="204">
          <cell r="N204" t="e">
            <v>#VALUE!</v>
          </cell>
        </row>
        <row r="206">
          <cell r="N206" t="e">
            <v>#VALUE!</v>
          </cell>
        </row>
        <row r="208">
          <cell r="N208" t="e">
            <v>#VALUE!</v>
          </cell>
        </row>
        <row r="210">
          <cell r="N210" t="e">
            <v>#VALUE!</v>
          </cell>
        </row>
        <row r="214">
          <cell r="N214" t="e">
            <v>#VALUE!</v>
          </cell>
        </row>
        <row r="215">
          <cell r="N215" t="e">
            <v>#VALUE!</v>
          </cell>
        </row>
        <row r="216">
          <cell r="N216" t="e">
            <v>#VALUE!</v>
          </cell>
        </row>
        <row r="217">
          <cell r="N217" t="e">
            <v>#VALUE!</v>
          </cell>
        </row>
        <row r="218">
          <cell r="N218" t="e">
            <v>#VALUE!</v>
          </cell>
        </row>
        <row r="220">
          <cell r="N220" t="e">
            <v>#VALUE!</v>
          </cell>
        </row>
        <row r="221">
          <cell r="N221" t="e">
            <v>#VALUE!</v>
          </cell>
        </row>
        <row r="222">
          <cell r="N222" t="e">
            <v>#VALUE!</v>
          </cell>
        </row>
        <row r="223">
          <cell r="N223" t="e">
            <v>#VALUE!</v>
          </cell>
        </row>
        <row r="224">
          <cell r="N224" t="e">
            <v>#VALUE!</v>
          </cell>
        </row>
        <row r="227">
          <cell r="N227" t="str">
            <v>Đơn vị tính: đồng</v>
          </cell>
        </row>
        <row r="230">
          <cell r="N230" t="str">
            <v xml:space="preserve"> (9)=(7)+(8) </v>
          </cell>
        </row>
        <row r="232">
          <cell r="N232" t="e">
            <v>#VALUE!</v>
          </cell>
        </row>
        <row r="233">
          <cell r="N233" t="e">
            <v>#VALUE!</v>
          </cell>
        </row>
        <row r="234">
          <cell r="N234" t="e">
            <v>#VALUE!</v>
          </cell>
        </row>
        <row r="235">
          <cell r="N235" t="e">
            <v>#VALUE!</v>
          </cell>
        </row>
        <row r="237">
          <cell r="N237" t="e">
            <v>#VALUE!</v>
          </cell>
        </row>
        <row r="238">
          <cell r="N238" t="e">
            <v>#VALUE!</v>
          </cell>
        </row>
        <row r="239">
          <cell r="N239" t="e">
            <v>#VALUE!</v>
          </cell>
        </row>
        <row r="240">
          <cell r="N240" t="e">
            <v>#VALUE!</v>
          </cell>
        </row>
        <row r="242">
          <cell r="N242" t="e">
            <v>#VALUE!</v>
          </cell>
        </row>
        <row r="243">
          <cell r="N243" t="e">
            <v>#VALUE!</v>
          </cell>
        </row>
        <row r="244">
          <cell r="N244" t="e">
            <v>#VALUE!</v>
          </cell>
        </row>
        <row r="245">
          <cell r="N245" t="e">
            <v>#VALUE!</v>
          </cell>
        </row>
        <row r="250">
          <cell r="N250" t="e">
            <v>#VALUE!</v>
          </cell>
        </row>
        <row r="251">
          <cell r="N251" t="e">
            <v>#VALUE!</v>
          </cell>
        </row>
        <row r="252">
          <cell r="N252" t="e">
            <v>#VALUE!</v>
          </cell>
        </row>
        <row r="253">
          <cell r="N253" t="e">
            <v>#VALUE!</v>
          </cell>
        </row>
        <row r="255">
          <cell r="N255" t="e">
            <v>#VALUE!</v>
          </cell>
        </row>
        <row r="258">
          <cell r="N258" t="e">
            <v>#VALUE!</v>
          </cell>
        </row>
        <row r="260">
          <cell r="N260" t="e">
            <v>#VALUE!</v>
          </cell>
        </row>
        <row r="262">
          <cell r="N262" t="e">
            <v>#VALUE!</v>
          </cell>
        </row>
        <row r="264">
          <cell r="N264" t="e">
            <v>#VALUE!</v>
          </cell>
        </row>
        <row r="268">
          <cell r="N268" t="e">
            <v>#VALUE!</v>
          </cell>
        </row>
        <row r="269">
          <cell r="N269" t="e">
            <v>#VALUE!</v>
          </cell>
        </row>
        <row r="270">
          <cell r="N270" t="e">
            <v>#VALUE!</v>
          </cell>
        </row>
        <row r="271">
          <cell r="N271" t="e">
            <v>#VALUE!</v>
          </cell>
        </row>
        <row r="273">
          <cell r="N273" t="e">
            <v>#VALUE!</v>
          </cell>
        </row>
        <row r="274">
          <cell r="N274" t="e">
            <v>#VALUE!</v>
          </cell>
        </row>
        <row r="275">
          <cell r="N275" t="e">
            <v>#VALUE!</v>
          </cell>
        </row>
        <row r="276">
          <cell r="N276" t="e">
            <v>#VALUE!</v>
          </cell>
        </row>
        <row r="282">
          <cell r="N282" t="str">
            <v xml:space="preserve"> (9)=(7)+(8) </v>
          </cell>
        </row>
        <row r="284">
          <cell r="N284" t="e">
            <v>#VALUE!</v>
          </cell>
        </row>
        <row r="285">
          <cell r="N285" t="e">
            <v>#VALUE!</v>
          </cell>
        </row>
        <row r="286">
          <cell r="N286" t="e">
            <v>#VALUE!</v>
          </cell>
        </row>
        <row r="287">
          <cell r="N287" t="e">
            <v>#VALUE!</v>
          </cell>
        </row>
        <row r="289">
          <cell r="N289" t="e">
            <v>#VALUE!</v>
          </cell>
        </row>
        <row r="290">
          <cell r="N290" t="e">
            <v>#VALUE!</v>
          </cell>
        </row>
        <row r="291">
          <cell r="N291" t="e">
            <v>#VALUE!</v>
          </cell>
        </row>
        <row r="292">
          <cell r="N292" t="e">
            <v>#VALUE!</v>
          </cell>
        </row>
        <row r="294">
          <cell r="N294" t="e">
            <v>#VALUE!</v>
          </cell>
        </row>
        <row r="295">
          <cell r="N295" t="e">
            <v>#VALUE!</v>
          </cell>
        </row>
        <row r="296">
          <cell r="N296" t="e">
            <v>#VALUE!</v>
          </cell>
        </row>
        <row r="297">
          <cell r="N297" t="e">
            <v>#VALUE!</v>
          </cell>
        </row>
        <row r="302">
          <cell r="N302" t="e">
            <v>#VALUE!</v>
          </cell>
        </row>
        <row r="303">
          <cell r="N303" t="e">
            <v>#VALUE!</v>
          </cell>
        </row>
        <row r="304">
          <cell r="N304" t="e">
            <v>#VALUE!</v>
          </cell>
        </row>
        <row r="305">
          <cell r="N305" t="e">
            <v>#VALUE!</v>
          </cell>
        </row>
        <row r="307">
          <cell r="N307" t="e">
            <v>#VALUE!</v>
          </cell>
        </row>
        <row r="310">
          <cell r="N310" t="e">
            <v>#VALUE!</v>
          </cell>
        </row>
        <row r="312">
          <cell r="N312" t="e">
            <v>#VALUE!</v>
          </cell>
        </row>
        <row r="314">
          <cell r="N314" t="e">
            <v>#VALUE!</v>
          </cell>
        </row>
        <row r="316">
          <cell r="N316" t="e">
            <v>#VALUE!</v>
          </cell>
        </row>
        <row r="320">
          <cell r="N320" t="e">
            <v>#VALUE!</v>
          </cell>
        </row>
        <row r="321">
          <cell r="N321" t="e">
            <v>#VALUE!</v>
          </cell>
        </row>
        <row r="322">
          <cell r="N322" t="e">
            <v>#VALUE!</v>
          </cell>
        </row>
        <row r="323">
          <cell r="N323" t="e">
            <v>#VALUE!</v>
          </cell>
        </row>
        <row r="325">
          <cell r="N325" t="e">
            <v>#VALUE!</v>
          </cell>
        </row>
        <row r="326">
          <cell r="N326" t="e">
            <v>#VALUE!</v>
          </cell>
        </row>
        <row r="327">
          <cell r="N327" t="e">
            <v>#VALUE!</v>
          </cell>
        </row>
        <row r="328">
          <cell r="N328" t="e">
            <v>#VALUE!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D19" sqref="D19"/>
    </sheetView>
  </sheetViews>
  <sheetFormatPr defaultRowHeight="16.5"/>
  <cols>
    <col min="1" max="1" width="5.5546875" style="189" customWidth="1"/>
    <col min="2" max="2" width="45.88671875" style="190" customWidth="1"/>
    <col min="3" max="3" width="11.77734375" style="189" customWidth="1"/>
    <col min="4" max="4" width="14.44140625" style="189" customWidth="1"/>
    <col min="5" max="5" width="35" style="190" customWidth="1"/>
    <col min="6" max="16384" width="8.88671875" style="191"/>
  </cols>
  <sheetData>
    <row r="1" spans="1:5" ht="31.5" customHeight="1">
      <c r="A1" s="953" t="s">
        <v>418</v>
      </c>
      <c r="B1" s="953"/>
      <c r="C1" s="953"/>
      <c r="D1" s="953"/>
      <c r="E1" s="953"/>
    </row>
    <row r="3" spans="1:5" s="493" customFormat="1" ht="21" customHeight="1">
      <c r="A3" s="492" t="s">
        <v>96</v>
      </c>
      <c r="B3" s="492" t="s">
        <v>97</v>
      </c>
      <c r="C3" s="492" t="s">
        <v>98</v>
      </c>
      <c r="D3" s="492" t="s">
        <v>99</v>
      </c>
      <c r="E3" s="492" t="s">
        <v>100</v>
      </c>
    </row>
    <row r="4" spans="1:5" s="190" customFormat="1" ht="21" customHeight="1">
      <c r="A4" s="489">
        <v>1</v>
      </c>
      <c r="B4" s="490" t="s">
        <v>101</v>
      </c>
      <c r="C4" s="491" t="s">
        <v>102</v>
      </c>
      <c r="D4" s="715">
        <v>1390000</v>
      </c>
      <c r="E4" s="825" t="s">
        <v>570</v>
      </c>
    </row>
    <row r="5" spans="1:5" s="190" customFormat="1" ht="24.75" customHeight="1">
      <c r="A5" s="480">
        <v>2</v>
      </c>
      <c r="B5" s="481" t="s">
        <v>103</v>
      </c>
      <c r="C5" s="482" t="s">
        <v>104</v>
      </c>
      <c r="D5" s="483">
        <v>0</v>
      </c>
      <c r="E5" s="481" t="s">
        <v>105</v>
      </c>
    </row>
    <row r="6" spans="1:5" s="190" customFormat="1" ht="21" customHeight="1">
      <c r="A6" s="480">
        <v>3</v>
      </c>
      <c r="B6" s="481" t="s">
        <v>106</v>
      </c>
      <c r="C6" s="482"/>
      <c r="D6" s="483">
        <v>0.4</v>
      </c>
      <c r="E6" s="481" t="s">
        <v>402</v>
      </c>
    </row>
    <row r="7" spans="1:5" s="190" customFormat="1" ht="21" customHeight="1">
      <c r="A7" s="480">
        <v>4</v>
      </c>
      <c r="B7" s="481" t="s">
        <v>107</v>
      </c>
      <c r="C7" s="482"/>
      <c r="D7" s="483">
        <v>0.2</v>
      </c>
      <c r="E7" s="481" t="s">
        <v>108</v>
      </c>
    </row>
    <row r="8" spans="1:5" s="706" customFormat="1" ht="21" hidden="1" customHeight="1">
      <c r="A8" s="705">
        <v>5</v>
      </c>
      <c r="B8" s="701" t="s">
        <v>403</v>
      </c>
      <c r="C8" s="700"/>
      <c r="D8" s="702">
        <v>0</v>
      </c>
      <c r="E8" s="701" t="s">
        <v>402</v>
      </c>
    </row>
    <row r="9" spans="1:5" s="190" customFormat="1" ht="21" customHeight="1">
      <c r="A9" s="480">
        <v>5</v>
      </c>
      <c r="B9" s="949" t="s">
        <v>573</v>
      </c>
      <c r="C9" s="482" t="s">
        <v>104</v>
      </c>
      <c r="D9" s="950">
        <v>23.5</v>
      </c>
      <c r="E9" s="481" t="s">
        <v>105</v>
      </c>
    </row>
    <row r="10" spans="1:5" s="190" customFormat="1" ht="21" customHeight="1">
      <c r="A10" s="480">
        <v>6</v>
      </c>
      <c r="B10" s="481" t="s">
        <v>109</v>
      </c>
      <c r="C10" s="482" t="s">
        <v>110</v>
      </c>
      <c r="D10" s="483">
        <v>26</v>
      </c>
      <c r="E10" s="481"/>
    </row>
    <row r="11" spans="1:5" s="190" customFormat="1" ht="21" hidden="1" customHeight="1">
      <c r="A11" s="480">
        <v>7</v>
      </c>
      <c r="B11" s="481" t="s">
        <v>563</v>
      </c>
      <c r="C11" s="482" t="s">
        <v>111</v>
      </c>
      <c r="D11" s="714">
        <v>131000</v>
      </c>
      <c r="E11" s="481"/>
    </row>
    <row r="12" spans="1:5" s="190" customFormat="1" ht="21" customHeight="1">
      <c r="A12" s="480">
        <v>8</v>
      </c>
      <c r="B12" s="481" t="s">
        <v>564</v>
      </c>
      <c r="C12" s="482" t="s">
        <v>111</v>
      </c>
      <c r="D12" s="714">
        <v>131000</v>
      </c>
      <c r="E12" s="481"/>
    </row>
    <row r="13" spans="1:5" s="712" customFormat="1" ht="21" customHeight="1">
      <c r="A13" s="709">
        <v>9</v>
      </c>
      <c r="B13" s="710" t="s">
        <v>524</v>
      </c>
      <c r="C13" s="709"/>
      <c r="D13" s="711">
        <v>1.25</v>
      </c>
      <c r="E13" s="710"/>
    </row>
    <row r="14" spans="1:5" s="706" customFormat="1" ht="18.75" hidden="1" customHeight="1">
      <c r="A14" s="705">
        <v>11</v>
      </c>
      <c r="B14" s="701" t="s">
        <v>525</v>
      </c>
      <c r="C14" s="705"/>
      <c r="D14" s="707">
        <v>1</v>
      </c>
      <c r="E14" s="708"/>
    </row>
    <row r="15" spans="1:5" s="190" customFormat="1" ht="18.75" customHeight="1">
      <c r="A15" s="480">
        <v>10</v>
      </c>
      <c r="B15" s="484" t="s">
        <v>416</v>
      </c>
      <c r="C15" s="480"/>
      <c r="D15" s="485"/>
      <c r="E15" s="484"/>
    </row>
    <row r="16" spans="1:5" s="190" customFormat="1" ht="18.75" customHeight="1">
      <c r="A16" s="480"/>
      <c r="B16" s="484" t="s">
        <v>411</v>
      </c>
      <c r="C16" s="480" t="s">
        <v>104</v>
      </c>
      <c r="D16" s="485">
        <v>25</v>
      </c>
      <c r="E16" s="952" t="s">
        <v>571</v>
      </c>
    </row>
    <row r="17" spans="1:7" s="190" customFormat="1" ht="18.75" customHeight="1">
      <c r="A17" s="480"/>
      <c r="B17" s="484" t="s">
        <v>410</v>
      </c>
      <c r="C17" s="480" t="s">
        <v>104</v>
      </c>
      <c r="D17" s="485">
        <v>15</v>
      </c>
      <c r="E17" s="952"/>
    </row>
    <row r="18" spans="1:7" s="190" customFormat="1" ht="21.75" customHeight="1">
      <c r="A18" s="480">
        <v>11</v>
      </c>
      <c r="B18" s="484" t="s">
        <v>412</v>
      </c>
      <c r="C18" s="480" t="s">
        <v>111</v>
      </c>
      <c r="D18" s="713">
        <f>D19+D20</f>
        <v>6682.6923076923076</v>
      </c>
      <c r="E18" s="485"/>
      <c r="F18" s="703"/>
      <c r="G18" s="703"/>
    </row>
    <row r="19" spans="1:7" s="190" customFormat="1" ht="21.75" customHeight="1">
      <c r="A19" s="480"/>
      <c r="B19" s="486" t="s">
        <v>414</v>
      </c>
      <c r="C19" s="480" t="s">
        <v>111</v>
      </c>
      <c r="D19" s="713">
        <f>D4*0.1/D10</f>
        <v>5346.1538461538457</v>
      </c>
      <c r="E19" s="485"/>
      <c r="F19" s="703"/>
      <c r="G19" s="703"/>
    </row>
    <row r="20" spans="1:7" s="190" customFormat="1" ht="21.75" customHeight="1">
      <c r="A20" s="480"/>
      <c r="B20" s="486" t="s">
        <v>415</v>
      </c>
      <c r="C20" s="480" t="s">
        <v>111</v>
      </c>
      <c r="D20" s="713">
        <f>D19*D16/100</f>
        <v>1336.5384615384617</v>
      </c>
      <c r="E20" s="485"/>
      <c r="F20" s="703"/>
      <c r="G20" s="703"/>
    </row>
    <row r="21" spans="1:7" ht="21.75" customHeight="1">
      <c r="A21" s="480">
        <v>12</v>
      </c>
      <c r="B21" s="484" t="s">
        <v>413</v>
      </c>
      <c r="C21" s="480" t="s">
        <v>111</v>
      </c>
      <c r="D21" s="713">
        <f>D22+D23</f>
        <v>6148.0769230769229</v>
      </c>
      <c r="E21" s="485"/>
      <c r="F21" s="704"/>
      <c r="G21" s="703"/>
    </row>
    <row r="22" spans="1:7" ht="21.75" customHeight="1">
      <c r="A22" s="480"/>
      <c r="B22" s="486" t="s">
        <v>414</v>
      </c>
      <c r="C22" s="480" t="s">
        <v>111</v>
      </c>
      <c r="D22" s="713">
        <f>D4*0.1/26</f>
        <v>5346.1538461538457</v>
      </c>
      <c r="E22" s="485"/>
      <c r="G22" s="703"/>
    </row>
    <row r="23" spans="1:7" ht="21.75" customHeight="1">
      <c r="A23" s="480"/>
      <c r="B23" s="486" t="s">
        <v>415</v>
      </c>
      <c r="C23" s="480" t="s">
        <v>111</v>
      </c>
      <c r="D23" s="713">
        <f>D22*D17/100</f>
        <v>801.92307692307691</v>
      </c>
      <c r="E23" s="485"/>
      <c r="G23" s="703"/>
    </row>
    <row r="24" spans="1:7">
      <c r="A24" s="487"/>
      <c r="B24" s="488"/>
      <c r="C24" s="487"/>
      <c r="D24" s="487"/>
      <c r="E24" s="488"/>
    </row>
  </sheetData>
  <mergeCells count="2">
    <mergeCell ref="E16:E17"/>
    <mergeCell ref="A1:E1"/>
  </mergeCells>
  <phoneticPr fontId="43" type="noConversion"/>
  <printOptions horizontalCentered="1"/>
  <pageMargins left="0.7" right="0.7" top="1.1000000000000001" bottom="0.75" header="0.3" footer="0.3"/>
  <pageSetup paperSize="9" orientation="landscape" r:id="rId1"/>
  <headerFooter>
    <oddFooter>&amp;C56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Q160"/>
  <sheetViews>
    <sheetView zoomScaleNormal="100" workbookViewId="0">
      <pane xSplit="4" ySplit="4" topLeftCell="E11" activePane="bottomRight" state="frozen"/>
      <selection pane="topRight" activeCell="E1" sqref="E1"/>
      <selection pane="bottomLeft" activeCell="A5" sqref="A5"/>
      <selection pane="bottomRight" activeCell="I17" sqref="I17"/>
    </sheetView>
  </sheetViews>
  <sheetFormatPr defaultRowHeight="16.5"/>
  <cols>
    <col min="1" max="1" width="4.6640625" customWidth="1"/>
    <col min="2" max="2" width="25.88671875" customWidth="1"/>
    <col min="3" max="3" width="6.88671875" customWidth="1"/>
    <col min="4" max="4" width="5.21875" style="164" customWidth="1"/>
    <col min="5" max="5" width="7.5546875" style="164" customWidth="1"/>
    <col min="6" max="6" width="6.33203125" style="164" customWidth="1"/>
    <col min="7" max="7" width="9.33203125" style="164" customWidth="1"/>
    <col min="8" max="8" width="6.44140625" style="164" customWidth="1"/>
    <col min="9" max="9" width="8.77734375" style="164" customWidth="1"/>
    <col min="10" max="10" width="6" style="164" customWidth="1"/>
    <col min="11" max="11" width="8.77734375" style="164" customWidth="1"/>
    <col min="12" max="12" width="6.21875" style="164" customWidth="1"/>
    <col min="13" max="13" width="8.77734375" style="164" customWidth="1"/>
    <col min="14" max="14" width="6.21875" style="164" customWidth="1"/>
    <col min="15" max="15" width="9.44140625" style="164" customWidth="1"/>
    <col min="16" max="16" width="6.5546875" customWidth="1"/>
    <col min="17" max="17" width="9.5546875" customWidth="1"/>
  </cols>
  <sheetData>
    <row r="1" spans="1:17" s="4" customFormat="1" ht="29.25" customHeight="1">
      <c r="A1" s="1020" t="s">
        <v>93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N1" s="1020"/>
      <c r="O1" s="1020"/>
    </row>
    <row r="2" spans="1:17" s="50" customFormat="1" ht="18" customHeight="1">
      <c r="A2" s="170" t="s">
        <v>64</v>
      </c>
      <c r="B2" s="186"/>
      <c r="C2" s="186"/>
      <c r="D2" s="187"/>
      <c r="E2" s="83"/>
      <c r="F2" s="187"/>
      <c r="G2" s="686" t="s">
        <v>470</v>
      </c>
      <c r="H2" s="546">
        <f>'He so chung'!D11</f>
        <v>131000</v>
      </c>
      <c r="I2" s="187" t="s">
        <v>95</v>
      </c>
      <c r="K2" s="187"/>
      <c r="L2" s="187"/>
      <c r="M2" s="686" t="s">
        <v>471</v>
      </c>
      <c r="N2" s="188">
        <f>'He so chung'!D12</f>
        <v>131000</v>
      </c>
      <c r="O2" s="187" t="s">
        <v>94</v>
      </c>
    </row>
    <row r="3" spans="1:17" s="4" customFormat="1" ht="15" customHeight="1">
      <c r="A3" s="1018" t="s">
        <v>65</v>
      </c>
      <c r="B3" s="1018" t="s">
        <v>89</v>
      </c>
      <c r="C3" s="1018" t="s">
        <v>469</v>
      </c>
      <c r="D3" s="1018" t="s">
        <v>91</v>
      </c>
      <c r="E3" s="1018" t="s">
        <v>67</v>
      </c>
      <c r="F3" s="1016" t="s">
        <v>68</v>
      </c>
      <c r="G3" s="1017"/>
      <c r="H3" s="1016" t="s">
        <v>69</v>
      </c>
      <c r="I3" s="1017"/>
      <c r="J3" s="1016" t="s">
        <v>70</v>
      </c>
      <c r="K3" s="1017"/>
      <c r="L3" s="1016" t="s">
        <v>71</v>
      </c>
      <c r="M3" s="1017"/>
      <c r="N3" s="1016" t="s">
        <v>72</v>
      </c>
      <c r="O3" s="1017"/>
      <c r="P3" s="1016" t="s">
        <v>464</v>
      </c>
      <c r="Q3" s="1017"/>
    </row>
    <row r="4" spans="1:17" s="4" customFormat="1" ht="25.15" customHeight="1">
      <c r="A4" s="1019"/>
      <c r="B4" s="1019"/>
      <c r="C4" s="1019"/>
      <c r="D4" s="1019"/>
      <c r="E4" s="1019"/>
      <c r="F4" s="547" t="s">
        <v>465</v>
      </c>
      <c r="G4" s="547" t="s">
        <v>466</v>
      </c>
      <c r="H4" s="547" t="s">
        <v>467</v>
      </c>
      <c r="I4" s="547" t="s">
        <v>466</v>
      </c>
      <c r="J4" s="547" t="s">
        <v>467</v>
      </c>
      <c r="K4" s="547" t="s">
        <v>468</v>
      </c>
      <c r="L4" s="547" t="s">
        <v>467</v>
      </c>
      <c r="M4" s="547" t="s">
        <v>468</v>
      </c>
      <c r="N4" s="547" t="s">
        <v>467</v>
      </c>
      <c r="O4" s="547" t="s">
        <v>468</v>
      </c>
      <c r="P4" s="547" t="s">
        <v>467</v>
      </c>
      <c r="Q4" s="547" t="s">
        <v>468</v>
      </c>
    </row>
    <row r="5" spans="1:17" s="4" customFormat="1" ht="13.9" customHeight="1">
      <c r="A5" s="131" t="s">
        <v>9</v>
      </c>
      <c r="B5" s="132" t="s">
        <v>73</v>
      </c>
      <c r="C5" s="133" t="s">
        <v>74</v>
      </c>
      <c r="D5" s="172">
        <v>1</v>
      </c>
      <c r="E5" s="173" t="e">
        <f>(LUONGNGAY!K17+LUONGNGAY!K19)/2</f>
        <v>#VALUE!</v>
      </c>
      <c r="F5" s="174">
        <f>2.95*2</f>
        <v>5.9</v>
      </c>
      <c r="G5" s="175" t="e">
        <f>F5*E5*'He so chung'!D$13</f>
        <v>#VALUE!</v>
      </c>
      <c r="H5" s="174">
        <f>4.42*2</f>
        <v>8.84</v>
      </c>
      <c r="I5" s="175" t="e">
        <f>H5*E5*'He so chung'!D$13</f>
        <v>#VALUE!</v>
      </c>
      <c r="J5" s="174">
        <f>6.63*2</f>
        <v>13.26</v>
      </c>
      <c r="K5" s="173" t="e">
        <f>J5*E5*'He so chung'!D$13</f>
        <v>#VALUE!</v>
      </c>
      <c r="L5" s="174">
        <f>11.66*2</f>
        <v>23.32</v>
      </c>
      <c r="M5" s="175" t="e">
        <f>L5*E5*'He so chung'!D$13</f>
        <v>#VALUE!</v>
      </c>
      <c r="N5" s="174">
        <f>23.33*2</f>
        <v>46.66</v>
      </c>
      <c r="O5" s="175" t="e">
        <f>N5*E5*'He so chung'!D$13</f>
        <v>#VALUE!</v>
      </c>
      <c r="P5" s="174">
        <f>35*2</f>
        <v>70</v>
      </c>
      <c r="Q5" s="175" t="e">
        <f>P5*E5*'He so chung'!D$13</f>
        <v>#VALUE!</v>
      </c>
    </row>
    <row r="6" spans="1:17" s="4" customFormat="1" ht="13.9" customHeight="1">
      <c r="A6" s="134"/>
      <c r="B6" s="135" t="s">
        <v>472</v>
      </c>
      <c r="C6" s="133"/>
      <c r="D6" s="172"/>
      <c r="E6" s="173"/>
      <c r="F6" s="174"/>
      <c r="G6" s="175"/>
      <c r="H6" s="174"/>
      <c r="I6" s="175"/>
      <c r="J6" s="174"/>
      <c r="K6" s="173"/>
      <c r="L6" s="174"/>
      <c r="M6" s="175">
        <f t="shared" ref="M6:M46" si="0">L6*E6</f>
        <v>0</v>
      </c>
      <c r="N6" s="174"/>
      <c r="O6" s="175">
        <f t="shared" ref="O6:O42" si="1">N6*E6</f>
        <v>0</v>
      </c>
      <c r="P6" s="174"/>
      <c r="Q6" s="175">
        <f t="shared" ref="Q6:Q41" si="2">P6*E6</f>
        <v>0</v>
      </c>
    </row>
    <row r="7" spans="1:17" s="4" customFormat="1" ht="13.9" customHeight="1">
      <c r="A7" s="134"/>
      <c r="B7" s="135"/>
      <c r="C7" s="133"/>
      <c r="D7" s="172">
        <v>2</v>
      </c>
      <c r="E7" s="173" t="e">
        <f>$E$5</f>
        <v>#VALUE!</v>
      </c>
      <c r="F7" s="174">
        <f>3.83*2</f>
        <v>7.66</v>
      </c>
      <c r="G7" s="175" t="e">
        <f>F7*E7*'He so chung'!D$13</f>
        <v>#VALUE!</v>
      </c>
      <c r="H7" s="174">
        <f>5.74*2</f>
        <v>11.48</v>
      </c>
      <c r="I7" s="175" t="e">
        <f>H7*E7*'He so chung'!D$13</f>
        <v>#VALUE!</v>
      </c>
      <c r="J7" s="174">
        <f>8.62*2</f>
        <v>17.239999999999998</v>
      </c>
      <c r="K7" s="173" t="e">
        <f>J7*E7*'He so chung'!D$13</f>
        <v>#VALUE!</v>
      </c>
      <c r="L7" s="174">
        <f>14*2</f>
        <v>28</v>
      </c>
      <c r="M7" s="175" t="e">
        <f>L7*E7*'He so chung'!D$13</f>
        <v>#VALUE!</v>
      </c>
      <c r="N7" s="174">
        <f>28*2</f>
        <v>56</v>
      </c>
      <c r="O7" s="175" t="e">
        <f>N7*E7*'He so chung'!D$13</f>
        <v>#VALUE!</v>
      </c>
      <c r="P7" s="174">
        <f>42*2</f>
        <v>84</v>
      </c>
      <c r="Q7" s="175" t="e">
        <f>P7*E7*'He so chung'!D$13</f>
        <v>#VALUE!</v>
      </c>
    </row>
    <row r="8" spans="1:17" s="4" customFormat="1" ht="13.9" customHeight="1">
      <c r="A8" s="134"/>
      <c r="B8" s="135"/>
      <c r="C8" s="133"/>
      <c r="D8" s="172"/>
      <c r="E8" s="173"/>
      <c r="F8" s="174"/>
      <c r="G8" s="175"/>
      <c r="H8" s="174"/>
      <c r="I8" s="175"/>
      <c r="J8" s="174"/>
      <c r="K8" s="173"/>
      <c r="L8" s="174"/>
      <c r="M8" s="175">
        <f t="shared" si="0"/>
        <v>0</v>
      </c>
      <c r="N8" s="174"/>
      <c r="O8" s="175">
        <f t="shared" si="1"/>
        <v>0</v>
      </c>
      <c r="P8" s="174"/>
      <c r="Q8" s="175">
        <f t="shared" si="2"/>
        <v>0</v>
      </c>
    </row>
    <row r="9" spans="1:17" s="4" customFormat="1" ht="13.9" customHeight="1">
      <c r="A9" s="134"/>
      <c r="B9" s="135"/>
      <c r="C9" s="133"/>
      <c r="D9" s="172">
        <v>3</v>
      </c>
      <c r="E9" s="173" t="e">
        <f>$E$5</f>
        <v>#VALUE!</v>
      </c>
      <c r="F9" s="174">
        <f>4.98*2</f>
        <v>9.9600000000000009</v>
      </c>
      <c r="G9" s="175" t="e">
        <f>F9*E9*'He so chung'!D$13</f>
        <v>#VALUE!</v>
      </c>
      <c r="H9" s="174">
        <f>7.47*2</f>
        <v>14.94</v>
      </c>
      <c r="I9" s="175" t="e">
        <f>H9*E9*'He so chung'!D$13</f>
        <v>#VALUE!</v>
      </c>
      <c r="J9" s="174">
        <f>11.2*2</f>
        <v>22.4</v>
      </c>
      <c r="K9" s="173" t="e">
        <f>J9*E9*'He so chung'!D$13</f>
        <v>#VALUE!</v>
      </c>
      <c r="L9" s="174">
        <f>16.8*2</f>
        <v>33.6</v>
      </c>
      <c r="M9" s="175" t="e">
        <f>L9*E9*'He so chung'!D$13</f>
        <v>#VALUE!</v>
      </c>
      <c r="N9" s="174">
        <f>33.6*2</f>
        <v>67.2</v>
      </c>
      <c r="O9" s="175" t="e">
        <f>N9*E9*'He so chung'!D$13</f>
        <v>#VALUE!</v>
      </c>
      <c r="P9" s="174">
        <f>50.4*2</f>
        <v>100.8</v>
      </c>
      <c r="Q9" s="175" t="e">
        <f>P9*E9*'He so chung'!D$13</f>
        <v>#VALUE!</v>
      </c>
    </row>
    <row r="10" spans="1:17" s="4" customFormat="1" ht="13.9" customHeight="1">
      <c r="A10" s="134"/>
      <c r="B10" s="135"/>
      <c r="C10" s="133"/>
      <c r="D10" s="172"/>
      <c r="E10" s="173"/>
      <c r="F10" s="174"/>
      <c r="G10" s="175"/>
      <c r="H10" s="174"/>
      <c r="I10" s="175"/>
      <c r="J10" s="174"/>
      <c r="K10" s="173"/>
      <c r="L10" s="174"/>
      <c r="M10" s="175">
        <f t="shared" si="0"/>
        <v>0</v>
      </c>
      <c r="N10" s="174"/>
      <c r="O10" s="175">
        <f t="shared" si="1"/>
        <v>0</v>
      </c>
      <c r="P10" s="174"/>
      <c r="Q10" s="175">
        <f t="shared" si="2"/>
        <v>0</v>
      </c>
    </row>
    <row r="11" spans="1:17" s="4" customFormat="1" ht="13.9" customHeight="1">
      <c r="A11" s="134"/>
      <c r="B11" s="135"/>
      <c r="C11" s="133"/>
      <c r="D11" s="172">
        <v>4</v>
      </c>
      <c r="E11" s="173" t="e">
        <f>$E$5</f>
        <v>#VALUE!</v>
      </c>
      <c r="F11" s="174">
        <f>6.47*2</f>
        <v>12.94</v>
      </c>
      <c r="G11" s="175" t="e">
        <f>F11*E11*'He so chung'!D$13</f>
        <v>#VALUE!</v>
      </c>
      <c r="H11" s="174">
        <f>9.71*2</f>
        <v>19.420000000000002</v>
      </c>
      <c r="I11" s="175" t="e">
        <f>H11*E11*'He so chung'!D$13</f>
        <v>#VALUE!</v>
      </c>
      <c r="J11" s="174">
        <f>14.56*2</f>
        <v>29.12</v>
      </c>
      <c r="K11" s="173" t="e">
        <f>J11*E11*'He so chung'!D$13</f>
        <v>#VALUE!</v>
      </c>
      <c r="L11" s="174">
        <f>20.16*2</f>
        <v>40.32</v>
      </c>
      <c r="M11" s="175" t="e">
        <f>L11*E11*'He so chung'!D$13</f>
        <v>#VALUE!</v>
      </c>
      <c r="N11" s="174">
        <f>40.32*2</f>
        <v>80.64</v>
      </c>
      <c r="O11" s="175" t="e">
        <f>N11*E11*'He so chung'!D$13</f>
        <v>#VALUE!</v>
      </c>
      <c r="P11" s="174">
        <f>60.48*2</f>
        <v>120.96</v>
      </c>
      <c r="Q11" s="175" t="e">
        <f>P11*E11*'He so chung'!D$13</f>
        <v>#VALUE!</v>
      </c>
    </row>
    <row r="12" spans="1:17" s="4" customFormat="1" ht="13.9" customHeight="1">
      <c r="A12" s="134"/>
      <c r="B12" s="135"/>
      <c r="C12" s="133"/>
      <c r="D12" s="172"/>
      <c r="E12" s="173"/>
      <c r="F12" s="174"/>
      <c r="G12" s="175">
        <f t="shared" ref="G12:G46" si="3">F12*E12</f>
        <v>0</v>
      </c>
      <c r="H12" s="174"/>
      <c r="I12" s="175"/>
      <c r="J12" s="174"/>
      <c r="K12" s="173"/>
      <c r="L12" s="174"/>
      <c r="M12" s="175">
        <f t="shared" si="0"/>
        <v>0</v>
      </c>
      <c r="N12" s="174"/>
      <c r="O12" s="175">
        <f t="shared" si="1"/>
        <v>0</v>
      </c>
      <c r="P12" s="174"/>
      <c r="Q12" s="175">
        <f t="shared" si="2"/>
        <v>0</v>
      </c>
    </row>
    <row r="13" spans="1:17" s="4" customFormat="1" ht="13.9" customHeight="1">
      <c r="A13" s="134"/>
      <c r="B13" s="135"/>
      <c r="C13" s="133"/>
      <c r="D13" s="172">
        <v>5</v>
      </c>
      <c r="E13" s="173" t="e">
        <f>$E$5</f>
        <v>#VALUE!</v>
      </c>
      <c r="F13" s="174"/>
      <c r="G13" s="175" t="e">
        <f t="shared" si="3"/>
        <v>#VALUE!</v>
      </c>
      <c r="H13" s="174">
        <f>12.62*2</f>
        <v>25.24</v>
      </c>
      <c r="I13" s="175" t="e">
        <f>H13*E13*'He so chung'!D$13</f>
        <v>#VALUE!</v>
      </c>
      <c r="J13" s="174">
        <f>18.93*2</f>
        <v>37.86</v>
      </c>
      <c r="K13" s="173" t="e">
        <f>J13*E13*'He so chung'!D$13</f>
        <v>#VALUE!</v>
      </c>
      <c r="L13" s="174">
        <f>24.19*2</f>
        <v>48.38</v>
      </c>
      <c r="M13" s="175" t="e">
        <f>L13*E13*'He so chung'!D$13</f>
        <v>#VALUE!</v>
      </c>
      <c r="N13" s="174"/>
      <c r="O13" s="175" t="e">
        <f t="shared" si="1"/>
        <v>#VALUE!</v>
      </c>
      <c r="P13" s="174"/>
      <c r="Q13" s="175" t="e">
        <f t="shared" si="2"/>
        <v>#VALUE!</v>
      </c>
    </row>
    <row r="14" spans="1:17" s="4" customFormat="1" ht="13.9" customHeight="1">
      <c r="A14" s="134"/>
      <c r="B14" s="135"/>
      <c r="C14" s="133"/>
      <c r="D14" s="172"/>
      <c r="E14" s="173"/>
      <c r="F14" s="174"/>
      <c r="G14" s="175">
        <f t="shared" si="3"/>
        <v>0</v>
      </c>
      <c r="H14" s="174"/>
      <c r="I14" s="175">
        <f t="shared" ref="I14:I46" si="4">H14*E14</f>
        <v>0</v>
      </c>
      <c r="J14" s="174"/>
      <c r="K14" s="173">
        <f t="shared" ref="K14:K46" si="5">J14*E14</f>
        <v>0</v>
      </c>
      <c r="L14" s="174"/>
      <c r="M14" s="175">
        <f t="shared" si="0"/>
        <v>0</v>
      </c>
      <c r="N14" s="174"/>
      <c r="O14" s="175">
        <f t="shared" si="1"/>
        <v>0</v>
      </c>
      <c r="P14" s="174"/>
      <c r="Q14" s="175">
        <f t="shared" si="2"/>
        <v>0</v>
      </c>
    </row>
    <row r="15" spans="1:17" s="4" customFormat="1" ht="13.9" customHeight="1">
      <c r="A15" s="134"/>
      <c r="B15" s="135"/>
      <c r="C15" s="133"/>
      <c r="D15" s="172"/>
      <c r="E15" s="173"/>
      <c r="F15" s="174"/>
      <c r="G15" s="175">
        <f t="shared" si="3"/>
        <v>0</v>
      </c>
      <c r="H15" s="174"/>
      <c r="I15" s="175">
        <f t="shared" si="4"/>
        <v>0</v>
      </c>
      <c r="J15" s="174"/>
      <c r="K15" s="173">
        <f t="shared" si="5"/>
        <v>0</v>
      </c>
      <c r="L15" s="174"/>
      <c r="M15" s="175">
        <f t="shared" si="0"/>
        <v>0</v>
      </c>
      <c r="N15" s="174"/>
      <c r="O15" s="175">
        <f t="shared" si="1"/>
        <v>0</v>
      </c>
      <c r="P15" s="174"/>
      <c r="Q15" s="175">
        <f t="shared" si="2"/>
        <v>0</v>
      </c>
    </row>
    <row r="16" spans="1:17" s="4" customFormat="1" ht="13.9" customHeight="1">
      <c r="A16" s="136"/>
      <c r="B16" s="136"/>
      <c r="C16" s="136"/>
      <c r="D16" s="172"/>
      <c r="E16" s="173"/>
      <c r="F16" s="176"/>
      <c r="G16" s="175">
        <f t="shared" si="3"/>
        <v>0</v>
      </c>
      <c r="H16" s="176"/>
      <c r="I16" s="175">
        <f t="shared" si="4"/>
        <v>0</v>
      </c>
      <c r="J16" s="176"/>
      <c r="K16" s="173">
        <f t="shared" si="5"/>
        <v>0</v>
      </c>
      <c r="L16" s="176"/>
      <c r="M16" s="175">
        <f t="shared" si="0"/>
        <v>0</v>
      </c>
      <c r="N16" s="176"/>
      <c r="O16" s="175">
        <f t="shared" si="1"/>
        <v>0</v>
      </c>
      <c r="P16" s="176"/>
      <c r="Q16" s="175">
        <f t="shared" si="2"/>
        <v>0</v>
      </c>
    </row>
    <row r="17" spans="1:17" s="4" customFormat="1" ht="13.9" customHeight="1">
      <c r="A17" s="131" t="s">
        <v>10</v>
      </c>
      <c r="B17" s="132" t="s">
        <v>75</v>
      </c>
      <c r="C17" s="133" t="s">
        <v>76</v>
      </c>
      <c r="D17" s="172">
        <v>1</v>
      </c>
      <c r="E17" s="173" t="e">
        <f>(LUONGNGAY!K17*2+LUONGNGAY!K19*2+LUONGNGAY!K23)/5</f>
        <v>#VALUE!</v>
      </c>
      <c r="F17" s="174">
        <f>1.93*5</f>
        <v>9.65</v>
      </c>
      <c r="G17" s="175" t="e">
        <f>F17*E17*'He so chung'!D$13</f>
        <v>#VALUE!</v>
      </c>
      <c r="H17" s="174">
        <f>1.32*5</f>
        <v>6.6000000000000005</v>
      </c>
      <c r="I17" s="175" t="e">
        <f>H17*E17*'He so chung'!D$13</f>
        <v>#VALUE!</v>
      </c>
      <c r="J17" s="174">
        <f>0.36*5</f>
        <v>1.7999999999999998</v>
      </c>
      <c r="K17" s="173" t="e">
        <f>J17*E17*'He so chung'!D$13</f>
        <v>#VALUE!</v>
      </c>
      <c r="L17" s="174">
        <f>0.31*5</f>
        <v>1.55</v>
      </c>
      <c r="M17" s="175" t="e">
        <f>L17*E17*'He so chung'!D$13</f>
        <v>#VALUE!</v>
      </c>
      <c r="N17" s="174">
        <f>0.81*5</f>
        <v>4.0500000000000007</v>
      </c>
      <c r="O17" s="175" t="e">
        <f>N17*E17*'He so chung'!D$13</f>
        <v>#VALUE!</v>
      </c>
      <c r="P17" s="174">
        <f>1.62*5</f>
        <v>8.1000000000000014</v>
      </c>
      <c r="Q17" s="175" t="e">
        <f>P17*E17*'He so chung'!D$13</f>
        <v>#VALUE!</v>
      </c>
    </row>
    <row r="18" spans="1:17" s="4" customFormat="1" ht="13.9" customHeight="1">
      <c r="A18" s="134"/>
      <c r="B18" s="135" t="s">
        <v>82</v>
      </c>
      <c r="C18" s="133"/>
      <c r="D18" s="172"/>
      <c r="E18" s="173"/>
      <c r="F18" s="174"/>
      <c r="G18" s="175">
        <f t="shared" si="3"/>
        <v>0</v>
      </c>
      <c r="H18" s="174"/>
      <c r="I18" s="175">
        <f t="shared" si="4"/>
        <v>0</v>
      </c>
      <c r="J18" s="174"/>
      <c r="K18" s="173">
        <f t="shared" si="5"/>
        <v>0</v>
      </c>
      <c r="L18" s="174"/>
      <c r="M18" s="175">
        <f t="shared" si="0"/>
        <v>0</v>
      </c>
      <c r="N18" s="174"/>
      <c r="O18" s="175">
        <f t="shared" si="1"/>
        <v>0</v>
      </c>
      <c r="P18" s="174"/>
      <c r="Q18" s="175">
        <f t="shared" si="2"/>
        <v>0</v>
      </c>
    </row>
    <row r="19" spans="1:17" s="4" customFormat="1" ht="13.9" customHeight="1">
      <c r="A19" s="134"/>
      <c r="B19" s="135" t="s">
        <v>51</v>
      </c>
      <c r="C19" s="133"/>
      <c r="D19" s="172">
        <v>2</v>
      </c>
      <c r="E19" s="173" t="e">
        <f>$E$17</f>
        <v>#VALUE!</v>
      </c>
      <c r="F19" s="174">
        <f>2.42*5</f>
        <v>12.1</v>
      </c>
      <c r="G19" s="175" t="e">
        <f>F19*E19*'He so chung'!D$13</f>
        <v>#VALUE!</v>
      </c>
      <c r="H19" s="174">
        <f>1.65*5</f>
        <v>8.25</v>
      </c>
      <c r="I19" s="175" t="e">
        <f>H19*E19*'He so chung'!D$13</f>
        <v>#VALUE!</v>
      </c>
      <c r="J19" s="174">
        <f>0.45*5</f>
        <v>2.25</v>
      </c>
      <c r="K19" s="173" t="e">
        <f>J19*E19*'He so chung'!D$13</f>
        <v>#VALUE!</v>
      </c>
      <c r="L19" s="174">
        <f>0.42*5</f>
        <v>2.1</v>
      </c>
      <c r="M19" s="175" t="e">
        <f>L19*E19*'He so chung'!D$13</f>
        <v>#VALUE!</v>
      </c>
      <c r="N19" s="174">
        <f>0.93*5</f>
        <v>4.6500000000000004</v>
      </c>
      <c r="O19" s="175" t="e">
        <f>N19*E19*'He so chung'!D$13</f>
        <v>#VALUE!</v>
      </c>
      <c r="P19" s="174">
        <f>1.86*5</f>
        <v>9.3000000000000007</v>
      </c>
      <c r="Q19" s="175" t="e">
        <f>P19*E19*'He so chung'!D$13</f>
        <v>#VALUE!</v>
      </c>
    </row>
    <row r="20" spans="1:17" s="4" customFormat="1" ht="13.9" customHeight="1">
      <c r="A20" s="134"/>
      <c r="B20" s="135"/>
      <c r="C20" s="133"/>
      <c r="D20" s="172"/>
      <c r="E20" s="173"/>
      <c r="F20" s="174"/>
      <c r="G20" s="175">
        <f t="shared" si="3"/>
        <v>0</v>
      </c>
      <c r="H20" s="174"/>
      <c r="I20" s="175">
        <f t="shared" si="4"/>
        <v>0</v>
      </c>
      <c r="J20" s="174"/>
      <c r="K20" s="173">
        <f t="shared" si="5"/>
        <v>0</v>
      </c>
      <c r="L20" s="174"/>
      <c r="M20" s="175">
        <f t="shared" si="0"/>
        <v>0</v>
      </c>
      <c r="N20" s="174"/>
      <c r="O20" s="175">
        <f t="shared" si="1"/>
        <v>0</v>
      </c>
      <c r="P20" s="174"/>
      <c r="Q20" s="175">
        <f t="shared" si="2"/>
        <v>0</v>
      </c>
    </row>
    <row r="21" spans="1:17" s="4" customFormat="1" ht="13.9" customHeight="1">
      <c r="A21" s="134"/>
      <c r="B21" s="17"/>
      <c r="C21" s="133"/>
      <c r="D21" s="172">
        <v>3</v>
      </c>
      <c r="E21" s="173" t="e">
        <f>$E$17</f>
        <v>#VALUE!</v>
      </c>
      <c r="F21" s="174">
        <f>3.22*5</f>
        <v>16.100000000000001</v>
      </c>
      <c r="G21" s="175" t="e">
        <f>F21*E21*'He so chung'!D$13</f>
        <v>#VALUE!</v>
      </c>
      <c r="H21" s="174">
        <f>2.2*5</f>
        <v>11</v>
      </c>
      <c r="I21" s="175" t="e">
        <f>H21*E21*'He so chung'!D$13</f>
        <v>#VALUE!</v>
      </c>
      <c r="J21" s="174">
        <f>0.6*5</f>
        <v>3</v>
      </c>
      <c r="K21" s="173" t="e">
        <f>J21*E21*'He so chung'!D$13</f>
        <v>#VALUE!</v>
      </c>
      <c r="L21" s="174">
        <f>0.52*5</f>
        <v>2.6</v>
      </c>
      <c r="M21" s="175" t="e">
        <f>L21*E21*'He so chung'!D$13</f>
        <v>#VALUE!</v>
      </c>
      <c r="N21" s="174">
        <f>1.24*5</f>
        <v>6.2</v>
      </c>
      <c r="O21" s="175" t="e">
        <f>N21*E21*'He so chung'!D$13</f>
        <v>#VALUE!</v>
      </c>
      <c r="P21" s="174">
        <f>2.48*5</f>
        <v>12.4</v>
      </c>
      <c r="Q21" s="175" t="e">
        <f>P21*E21*'He so chung'!D$13</f>
        <v>#VALUE!</v>
      </c>
    </row>
    <row r="22" spans="1:17" s="4" customFormat="1" ht="13.9" customHeight="1">
      <c r="A22" s="134"/>
      <c r="B22" s="135"/>
      <c r="C22" s="133"/>
      <c r="D22" s="172"/>
      <c r="E22" s="173"/>
      <c r="F22" s="174"/>
      <c r="G22" s="175">
        <f t="shared" si="3"/>
        <v>0</v>
      </c>
      <c r="H22" s="174"/>
      <c r="I22" s="175">
        <f t="shared" si="4"/>
        <v>0</v>
      </c>
      <c r="J22" s="174"/>
      <c r="K22" s="173">
        <f t="shared" si="5"/>
        <v>0</v>
      </c>
      <c r="L22" s="174"/>
      <c r="M22" s="175">
        <f t="shared" si="0"/>
        <v>0</v>
      </c>
      <c r="N22" s="174"/>
      <c r="O22" s="175">
        <f t="shared" si="1"/>
        <v>0</v>
      </c>
      <c r="P22" s="174"/>
      <c r="Q22" s="175">
        <f t="shared" si="2"/>
        <v>0</v>
      </c>
    </row>
    <row r="23" spans="1:17" s="4" customFormat="1" ht="13.9" customHeight="1">
      <c r="A23" s="134"/>
      <c r="B23" s="135"/>
      <c r="C23" s="133"/>
      <c r="D23" s="172">
        <v>4</v>
      </c>
      <c r="E23" s="173" t="e">
        <f>$E$17</f>
        <v>#VALUE!</v>
      </c>
      <c r="F23" s="174">
        <f>3.86*5</f>
        <v>19.3</v>
      </c>
      <c r="G23" s="175" t="e">
        <f>F23*E23*'He so chung'!D$13</f>
        <v>#VALUE!</v>
      </c>
      <c r="H23" s="174">
        <f>2.97*5</f>
        <v>14.850000000000001</v>
      </c>
      <c r="I23" s="175" t="e">
        <f>H23*E23*'He so chung'!D$13</f>
        <v>#VALUE!</v>
      </c>
      <c r="J23" s="174">
        <f>0.81*5</f>
        <v>4.0500000000000007</v>
      </c>
      <c r="K23" s="173" t="e">
        <f>J23*E23*'He so chung'!D$13</f>
        <v>#VALUE!</v>
      </c>
      <c r="L23" s="174">
        <f>0.65*5</f>
        <v>3.25</v>
      </c>
      <c r="M23" s="175" t="e">
        <f>L23*E23*'He so chung'!D$13</f>
        <v>#VALUE!</v>
      </c>
      <c r="N23" s="174">
        <f>1.36*5</f>
        <v>6.8000000000000007</v>
      </c>
      <c r="O23" s="175" t="e">
        <f>N23*E23*'He so chung'!D$13</f>
        <v>#VALUE!</v>
      </c>
      <c r="P23" s="174">
        <f>2.72*5</f>
        <v>13.600000000000001</v>
      </c>
      <c r="Q23" s="175" t="e">
        <f>P23*E23*'He so chung'!D$13</f>
        <v>#VALUE!</v>
      </c>
    </row>
    <row r="24" spans="1:17" s="4" customFormat="1" ht="13.9" customHeight="1">
      <c r="A24" s="134"/>
      <c r="B24" s="135"/>
      <c r="C24" s="133"/>
      <c r="D24" s="172"/>
      <c r="E24" s="173"/>
      <c r="F24" s="174"/>
      <c r="G24" s="175">
        <f t="shared" si="3"/>
        <v>0</v>
      </c>
      <c r="H24" s="174"/>
      <c r="I24" s="175">
        <f t="shared" si="4"/>
        <v>0</v>
      </c>
      <c r="J24" s="174"/>
      <c r="K24" s="173">
        <f t="shared" si="5"/>
        <v>0</v>
      </c>
      <c r="L24" s="176"/>
      <c r="M24" s="175">
        <f t="shared" si="0"/>
        <v>0</v>
      </c>
      <c r="N24" s="176"/>
      <c r="O24" s="175">
        <f t="shared" si="1"/>
        <v>0</v>
      </c>
      <c r="P24" s="176"/>
      <c r="Q24" s="175">
        <f t="shared" si="2"/>
        <v>0</v>
      </c>
    </row>
    <row r="25" spans="1:17" s="4" customFormat="1" ht="13.9" customHeight="1">
      <c r="A25" s="134"/>
      <c r="B25" s="135"/>
      <c r="C25" s="133"/>
      <c r="D25" s="172">
        <v>5</v>
      </c>
      <c r="E25" s="173" t="e">
        <f>$E$17</f>
        <v>#VALUE!</v>
      </c>
      <c r="F25" s="174"/>
      <c r="G25" s="175" t="e">
        <f t="shared" si="3"/>
        <v>#VALUE!</v>
      </c>
      <c r="H25" s="174">
        <f>3.74*5</f>
        <v>18.700000000000003</v>
      </c>
      <c r="I25" s="175" t="e">
        <f>H25*E25*'He so chung'!D$13</f>
        <v>#VALUE!</v>
      </c>
      <c r="J25" s="174">
        <f>1.04*5</f>
        <v>5.2</v>
      </c>
      <c r="K25" s="173" t="e">
        <f>J25*E25*'He so chung'!D$13</f>
        <v>#VALUE!</v>
      </c>
      <c r="L25" s="176">
        <f>0.91*5</f>
        <v>4.55</v>
      </c>
      <c r="M25" s="175" t="e">
        <f>L25*E25*'He so chung'!D$13</f>
        <v>#VALUE!</v>
      </c>
      <c r="N25" s="176"/>
      <c r="O25" s="175" t="e">
        <f t="shared" si="1"/>
        <v>#VALUE!</v>
      </c>
      <c r="P25" s="176"/>
      <c r="Q25" s="175" t="e">
        <f t="shared" si="2"/>
        <v>#VALUE!</v>
      </c>
    </row>
    <row r="26" spans="1:17" s="4" customFormat="1" ht="13.9" customHeight="1">
      <c r="A26" s="134"/>
      <c r="B26" s="135"/>
      <c r="C26" s="133"/>
      <c r="D26" s="172"/>
      <c r="E26" s="173"/>
      <c r="F26" s="174"/>
      <c r="G26" s="175">
        <f t="shared" si="3"/>
        <v>0</v>
      </c>
      <c r="H26" s="174"/>
      <c r="I26" s="175">
        <f t="shared" si="4"/>
        <v>0</v>
      </c>
      <c r="J26" s="174"/>
      <c r="K26" s="173">
        <f t="shared" si="5"/>
        <v>0</v>
      </c>
      <c r="L26" s="176"/>
      <c r="M26" s="175">
        <f t="shared" si="0"/>
        <v>0</v>
      </c>
      <c r="N26" s="176"/>
      <c r="O26" s="175">
        <f t="shared" si="1"/>
        <v>0</v>
      </c>
      <c r="P26" s="176"/>
      <c r="Q26" s="175">
        <f t="shared" si="2"/>
        <v>0</v>
      </c>
    </row>
    <row r="27" spans="1:17" s="4" customFormat="1" ht="13.9" customHeight="1">
      <c r="A27" s="137"/>
      <c r="B27" s="137"/>
      <c r="C27" s="137"/>
      <c r="D27" s="177"/>
      <c r="E27" s="178"/>
      <c r="F27" s="179"/>
      <c r="G27" s="175">
        <f t="shared" si="3"/>
        <v>0</v>
      </c>
      <c r="H27" s="179"/>
      <c r="I27" s="175">
        <f t="shared" si="4"/>
        <v>0</v>
      </c>
      <c r="J27" s="179"/>
      <c r="K27" s="173">
        <f t="shared" si="5"/>
        <v>0</v>
      </c>
      <c r="L27" s="179"/>
      <c r="M27" s="175">
        <f t="shared" si="0"/>
        <v>0</v>
      </c>
      <c r="N27" s="179"/>
      <c r="O27" s="175">
        <f t="shared" si="1"/>
        <v>0</v>
      </c>
      <c r="P27" s="179"/>
      <c r="Q27" s="175">
        <f t="shared" si="2"/>
        <v>0</v>
      </c>
    </row>
    <row r="28" spans="1:17" s="4" customFormat="1" ht="13.9" customHeight="1">
      <c r="A28" s="131" t="s">
        <v>11</v>
      </c>
      <c r="B28" s="132" t="s">
        <v>77</v>
      </c>
      <c r="C28" s="133" t="s">
        <v>76</v>
      </c>
      <c r="D28" s="172">
        <v>1</v>
      </c>
      <c r="E28" s="173" t="e">
        <f>(LUONGNGAY!K17*2+LUONGNGAY!K19*2+LUONGNGAY!K23)/5</f>
        <v>#VALUE!</v>
      </c>
      <c r="F28" s="174">
        <f>23.9*5</f>
        <v>119.5</v>
      </c>
      <c r="G28" s="175" t="e">
        <f>F28*E28*'He so chung'!D$13</f>
        <v>#VALUE!</v>
      </c>
      <c r="H28" s="174">
        <f>16.68*5</f>
        <v>83.4</v>
      </c>
      <c r="I28" s="175" t="e">
        <f>H28*E28*'He so chung'!D$13</f>
        <v>#VALUE!</v>
      </c>
      <c r="J28" s="174">
        <f>6.09*5</f>
        <v>30.45</v>
      </c>
      <c r="K28" s="173" t="e">
        <f>J28*E28*'He so chung'!D$13</f>
        <v>#VALUE!</v>
      </c>
      <c r="L28" s="174">
        <f>8.53*5</f>
        <v>42.65</v>
      </c>
      <c r="M28" s="175" t="e">
        <f>L28*E28*'He so chung'!D$13</f>
        <v>#VALUE!</v>
      </c>
      <c r="N28" s="174">
        <f>11.95*5</f>
        <v>59.75</v>
      </c>
      <c r="O28" s="175" t="e">
        <f>N28*E28*'He so chung'!D$13</f>
        <v>#VALUE!</v>
      </c>
      <c r="P28" s="174">
        <f>23.9*5</f>
        <v>119.5</v>
      </c>
      <c r="Q28" s="175" t="e">
        <f>P28*E28*'He so chung'!D$13</f>
        <v>#VALUE!</v>
      </c>
    </row>
    <row r="29" spans="1:17" s="4" customFormat="1" ht="13.9" customHeight="1">
      <c r="A29" s="134"/>
      <c r="B29" s="135" t="s">
        <v>83</v>
      </c>
      <c r="C29" s="133"/>
      <c r="D29" s="172"/>
      <c r="E29" s="173">
        <f>H2</f>
        <v>131000</v>
      </c>
      <c r="F29" s="174">
        <v>16.71</v>
      </c>
      <c r="G29" s="175">
        <f t="shared" si="3"/>
        <v>2189010</v>
      </c>
      <c r="H29" s="174">
        <v>11.66</v>
      </c>
      <c r="I29" s="175">
        <f t="shared" si="4"/>
        <v>1527460</v>
      </c>
      <c r="J29" s="174">
        <v>4.25</v>
      </c>
      <c r="K29" s="173">
        <f t="shared" si="5"/>
        <v>556750</v>
      </c>
      <c r="L29" s="174">
        <v>5.96</v>
      </c>
      <c r="M29" s="175">
        <f t="shared" si="0"/>
        <v>780760</v>
      </c>
      <c r="N29" s="174">
        <v>8.36</v>
      </c>
      <c r="O29" s="175">
        <f t="shared" si="1"/>
        <v>1095160</v>
      </c>
      <c r="P29" s="174">
        <v>16.72</v>
      </c>
      <c r="Q29" s="175">
        <f t="shared" si="2"/>
        <v>2190320</v>
      </c>
    </row>
    <row r="30" spans="1:17" s="4" customFormat="1" ht="13.9" customHeight="1">
      <c r="A30" s="134"/>
      <c r="B30" s="135" t="s">
        <v>51</v>
      </c>
      <c r="C30" s="133"/>
      <c r="D30" s="172"/>
      <c r="E30" s="173">
        <f>N2</f>
        <v>131000</v>
      </c>
      <c r="F30" s="174">
        <v>16.71</v>
      </c>
      <c r="G30" s="175">
        <f t="shared" si="3"/>
        <v>2189010</v>
      </c>
      <c r="H30" s="174">
        <v>11.66</v>
      </c>
      <c r="I30" s="175">
        <f t="shared" si="4"/>
        <v>1527460</v>
      </c>
      <c r="J30" s="174">
        <v>4.25</v>
      </c>
      <c r="K30" s="173">
        <f t="shared" si="5"/>
        <v>556750</v>
      </c>
      <c r="L30" s="174">
        <v>5.96</v>
      </c>
      <c r="M30" s="175">
        <f t="shared" si="0"/>
        <v>780760</v>
      </c>
      <c r="N30" s="174">
        <v>8.36</v>
      </c>
      <c r="O30" s="175">
        <f t="shared" si="1"/>
        <v>1095160</v>
      </c>
      <c r="P30" s="174">
        <v>16.72</v>
      </c>
      <c r="Q30" s="175">
        <f t="shared" si="2"/>
        <v>2190320</v>
      </c>
    </row>
    <row r="31" spans="1:17" s="4" customFormat="1" ht="13.9" customHeight="1">
      <c r="A31" s="134"/>
      <c r="B31" s="7"/>
      <c r="C31" s="133"/>
      <c r="D31" s="172"/>
      <c r="E31" s="173"/>
      <c r="F31" s="174"/>
      <c r="G31" s="175">
        <f t="shared" si="3"/>
        <v>0</v>
      </c>
      <c r="H31" s="174"/>
      <c r="I31" s="175">
        <f t="shared" si="4"/>
        <v>0</v>
      </c>
      <c r="J31" s="174"/>
      <c r="K31" s="173">
        <f t="shared" si="5"/>
        <v>0</v>
      </c>
      <c r="L31" s="174"/>
      <c r="M31" s="175">
        <f t="shared" si="0"/>
        <v>0</v>
      </c>
      <c r="N31" s="174"/>
      <c r="O31" s="175">
        <f t="shared" si="1"/>
        <v>0</v>
      </c>
      <c r="P31" s="174"/>
      <c r="Q31" s="175">
        <f t="shared" si="2"/>
        <v>0</v>
      </c>
    </row>
    <row r="32" spans="1:17" s="4" customFormat="1" ht="13.9" customHeight="1">
      <c r="A32" s="134"/>
      <c r="B32" s="135"/>
      <c r="C32" s="133"/>
      <c r="D32" s="172">
        <v>2</v>
      </c>
      <c r="E32" s="173" t="e">
        <f>E28</f>
        <v>#VALUE!</v>
      </c>
      <c r="F32" s="174">
        <f>28.68*5</f>
        <v>143.4</v>
      </c>
      <c r="G32" s="175" t="e">
        <f>F32*E32*'He so chung'!D$13</f>
        <v>#VALUE!</v>
      </c>
      <c r="H32" s="174">
        <f>20.02*5</f>
        <v>100.1</v>
      </c>
      <c r="I32" s="175" t="e">
        <f>H32*E32*'He so chung'!D$13</f>
        <v>#VALUE!</v>
      </c>
      <c r="J32" s="174">
        <f>7.31*5</f>
        <v>36.549999999999997</v>
      </c>
      <c r="K32" s="173" t="e">
        <f>J32*E32*'He so chung'!D$13</f>
        <v>#VALUE!</v>
      </c>
      <c r="L32" s="174">
        <f>10.24*5</f>
        <v>51.2</v>
      </c>
      <c r="M32" s="175" t="e">
        <f>L32*E32*'He so chung'!D$13</f>
        <v>#VALUE!</v>
      </c>
      <c r="N32" s="174">
        <f>14.34*5</f>
        <v>71.7</v>
      </c>
      <c r="O32" s="175" t="e">
        <f>N32*E32*'He so chung'!D$13</f>
        <v>#VALUE!</v>
      </c>
      <c r="P32" s="174">
        <f>28.68</f>
        <v>28.68</v>
      </c>
      <c r="Q32" s="175" t="e">
        <f>P32*E32*'He so chung'!D$13</f>
        <v>#VALUE!</v>
      </c>
    </row>
    <row r="33" spans="1:17" s="4" customFormat="1" ht="13.9" customHeight="1">
      <c r="A33" s="134"/>
      <c r="B33" s="135"/>
      <c r="C33" s="133"/>
      <c r="D33" s="172"/>
      <c r="E33" s="173">
        <f>$E$29</f>
        <v>131000</v>
      </c>
      <c r="F33" s="174">
        <v>20.059999999999999</v>
      </c>
      <c r="G33" s="175">
        <f t="shared" si="3"/>
        <v>2627860</v>
      </c>
      <c r="H33" s="174">
        <v>14</v>
      </c>
      <c r="I33" s="175">
        <f t="shared" si="4"/>
        <v>1834000</v>
      </c>
      <c r="J33" s="174">
        <v>5.1100000000000003</v>
      </c>
      <c r="K33" s="173">
        <f t="shared" si="5"/>
        <v>669410</v>
      </c>
      <c r="L33" s="174">
        <v>7.16</v>
      </c>
      <c r="M33" s="175">
        <f t="shared" si="0"/>
        <v>937960</v>
      </c>
      <c r="N33" s="174">
        <v>10.029999999999999</v>
      </c>
      <c r="O33" s="175">
        <f t="shared" si="1"/>
        <v>1313930</v>
      </c>
      <c r="P33" s="174">
        <v>20.05</v>
      </c>
      <c r="Q33" s="175">
        <f t="shared" si="2"/>
        <v>2626550</v>
      </c>
    </row>
    <row r="34" spans="1:17" s="4" customFormat="1" ht="13.9" customHeight="1">
      <c r="A34" s="134"/>
      <c r="B34" s="135"/>
      <c r="C34" s="133"/>
      <c r="D34" s="172"/>
      <c r="E34" s="173">
        <f>$E$30</f>
        <v>131000</v>
      </c>
      <c r="F34" s="174">
        <v>20.059999999999999</v>
      </c>
      <c r="G34" s="175">
        <f t="shared" si="3"/>
        <v>2627860</v>
      </c>
      <c r="H34" s="174">
        <v>14</v>
      </c>
      <c r="I34" s="175">
        <f t="shared" si="4"/>
        <v>1834000</v>
      </c>
      <c r="J34" s="174">
        <v>5.1100000000000003</v>
      </c>
      <c r="K34" s="173">
        <f t="shared" si="5"/>
        <v>669410</v>
      </c>
      <c r="L34" s="174">
        <v>7.16</v>
      </c>
      <c r="M34" s="175">
        <f t="shared" si="0"/>
        <v>937960</v>
      </c>
      <c r="N34" s="174">
        <v>10.029999999999999</v>
      </c>
      <c r="O34" s="175">
        <f t="shared" si="1"/>
        <v>1313930</v>
      </c>
      <c r="P34" s="174">
        <v>20.05</v>
      </c>
      <c r="Q34" s="175">
        <f t="shared" si="2"/>
        <v>2626550</v>
      </c>
    </row>
    <row r="35" spans="1:17" s="4" customFormat="1" ht="13.9" customHeight="1">
      <c r="A35" s="134"/>
      <c r="B35" s="135"/>
      <c r="C35" s="133"/>
      <c r="D35" s="172"/>
      <c r="E35" s="173"/>
      <c r="F35" s="174"/>
      <c r="G35" s="175">
        <f t="shared" si="3"/>
        <v>0</v>
      </c>
      <c r="H35" s="174"/>
      <c r="I35" s="175">
        <f t="shared" si="4"/>
        <v>0</v>
      </c>
      <c r="J35" s="174"/>
      <c r="K35" s="173">
        <f t="shared" si="5"/>
        <v>0</v>
      </c>
      <c r="L35" s="174"/>
      <c r="M35" s="175">
        <f t="shared" si="0"/>
        <v>0</v>
      </c>
      <c r="N35" s="174"/>
      <c r="O35" s="175">
        <f t="shared" si="1"/>
        <v>0</v>
      </c>
      <c r="P35" s="174"/>
      <c r="Q35" s="175">
        <f t="shared" si="2"/>
        <v>0</v>
      </c>
    </row>
    <row r="36" spans="1:17" s="4" customFormat="1" ht="13.9" customHeight="1">
      <c r="A36" s="134"/>
      <c r="B36" s="135"/>
      <c r="C36" s="133"/>
      <c r="D36" s="172">
        <v>3</v>
      </c>
      <c r="E36" s="173" t="e">
        <f>E32</f>
        <v>#VALUE!</v>
      </c>
      <c r="F36" s="174">
        <f>34.42*5</f>
        <v>172.10000000000002</v>
      </c>
      <c r="G36" s="175" t="e">
        <f>F36*E36*'He so chung'!D$13</f>
        <v>#VALUE!</v>
      </c>
      <c r="H36" s="174">
        <f>24.02*5</f>
        <v>120.1</v>
      </c>
      <c r="I36" s="175" t="e">
        <f>H36*E36*'He so chung'!D$13</f>
        <v>#VALUE!</v>
      </c>
      <c r="J36" s="174">
        <f>8.76*5</f>
        <v>43.8</v>
      </c>
      <c r="K36" s="173" t="e">
        <f>J36*E36*'He so chung'!D$13</f>
        <v>#VALUE!</v>
      </c>
      <c r="L36" s="174">
        <f>12.28*5</f>
        <v>61.4</v>
      </c>
      <c r="M36" s="175" t="e">
        <f>L36*E36*'He so chung'!D$13</f>
        <v>#VALUE!</v>
      </c>
      <c r="N36" s="174">
        <f>17.21*5</f>
        <v>86.050000000000011</v>
      </c>
      <c r="O36" s="175" t="e">
        <f>N36*E36*'He so chung'!D$13</f>
        <v>#VALUE!</v>
      </c>
      <c r="P36" s="174">
        <f>34.41*5</f>
        <v>172.04999999999998</v>
      </c>
      <c r="Q36" s="175" t="e">
        <f>P36*E36*'He so chung'!D$13</f>
        <v>#VALUE!</v>
      </c>
    </row>
    <row r="37" spans="1:17" s="4" customFormat="1" ht="13.9" customHeight="1">
      <c r="A37" s="134"/>
      <c r="B37" s="135"/>
      <c r="C37" s="133"/>
      <c r="D37" s="172"/>
      <c r="E37" s="173">
        <f>$E$29</f>
        <v>131000</v>
      </c>
      <c r="F37" s="174">
        <v>24.07</v>
      </c>
      <c r="G37" s="175">
        <f t="shared" si="3"/>
        <v>3153170</v>
      </c>
      <c r="H37" s="174">
        <v>16.8</v>
      </c>
      <c r="I37" s="175">
        <f t="shared" si="4"/>
        <v>2200800</v>
      </c>
      <c r="J37" s="174">
        <v>6.12</v>
      </c>
      <c r="K37" s="173">
        <f t="shared" si="5"/>
        <v>801720</v>
      </c>
      <c r="L37" s="174">
        <v>8.59</v>
      </c>
      <c r="M37" s="175">
        <f t="shared" si="0"/>
        <v>1125290</v>
      </c>
      <c r="N37" s="174">
        <v>12.03</v>
      </c>
      <c r="O37" s="175">
        <f t="shared" si="1"/>
        <v>1575930</v>
      </c>
      <c r="P37" s="174">
        <v>24.06</v>
      </c>
      <c r="Q37" s="175">
        <f t="shared" si="2"/>
        <v>3151860</v>
      </c>
    </row>
    <row r="38" spans="1:17" s="4" customFormat="1" ht="13.9" customHeight="1">
      <c r="A38" s="134"/>
      <c r="B38" s="135"/>
      <c r="C38" s="133"/>
      <c r="D38" s="172"/>
      <c r="E38" s="173">
        <f>$E$30</f>
        <v>131000</v>
      </c>
      <c r="F38" s="174">
        <v>24.07</v>
      </c>
      <c r="G38" s="175">
        <f t="shared" si="3"/>
        <v>3153170</v>
      </c>
      <c r="H38" s="174">
        <v>16.8</v>
      </c>
      <c r="I38" s="175">
        <f t="shared" si="4"/>
        <v>2200800</v>
      </c>
      <c r="J38" s="174">
        <v>6.12</v>
      </c>
      <c r="K38" s="173">
        <f t="shared" si="5"/>
        <v>801720</v>
      </c>
      <c r="L38" s="174">
        <v>8.59</v>
      </c>
      <c r="M38" s="175">
        <f t="shared" si="0"/>
        <v>1125290</v>
      </c>
      <c r="N38" s="174">
        <v>12.03</v>
      </c>
      <c r="O38" s="175">
        <f t="shared" si="1"/>
        <v>1575930</v>
      </c>
      <c r="P38" s="174">
        <v>24.06</v>
      </c>
      <c r="Q38" s="175">
        <f t="shared" si="2"/>
        <v>3151860</v>
      </c>
    </row>
    <row r="39" spans="1:17" s="4" customFormat="1" ht="13.9" customHeight="1">
      <c r="A39" s="134"/>
      <c r="B39" s="135"/>
      <c r="C39" s="133"/>
      <c r="D39" s="176"/>
      <c r="E39" s="175"/>
      <c r="F39" s="174"/>
      <c r="G39" s="175">
        <f t="shared" si="3"/>
        <v>0</v>
      </c>
      <c r="H39" s="174"/>
      <c r="I39" s="175">
        <f t="shared" si="4"/>
        <v>0</v>
      </c>
      <c r="J39" s="174"/>
      <c r="K39" s="173">
        <f t="shared" si="5"/>
        <v>0</v>
      </c>
      <c r="L39" s="174"/>
      <c r="M39" s="175">
        <f t="shared" si="0"/>
        <v>0</v>
      </c>
      <c r="N39" s="174"/>
      <c r="O39" s="175">
        <f t="shared" si="1"/>
        <v>0</v>
      </c>
      <c r="P39" s="174"/>
      <c r="Q39" s="175">
        <f t="shared" si="2"/>
        <v>0</v>
      </c>
    </row>
    <row r="40" spans="1:17" s="4" customFormat="1" ht="13.9" customHeight="1">
      <c r="A40" s="134"/>
      <c r="B40" s="135"/>
      <c r="C40" s="133"/>
      <c r="D40" s="172">
        <v>4</v>
      </c>
      <c r="E40" s="173" t="e">
        <f>E32</f>
        <v>#VALUE!</v>
      </c>
      <c r="F40" s="174">
        <f>41.3*5</f>
        <v>206.5</v>
      </c>
      <c r="G40" s="175" t="e">
        <f>F40*E40*'He so chung'!D$13</f>
        <v>#VALUE!</v>
      </c>
      <c r="H40" s="174">
        <f>28.82*5</f>
        <v>144.1</v>
      </c>
      <c r="I40" s="175" t="e">
        <f>H40*E40*'He so chung'!D$13</f>
        <v>#VALUE!</v>
      </c>
      <c r="J40" s="174">
        <f>10.52*5</f>
        <v>52.599999999999994</v>
      </c>
      <c r="K40" s="173" t="e">
        <f>J40*E40*'He so chung'!D$13</f>
        <v>#VALUE!</v>
      </c>
      <c r="L40" s="174">
        <f>14.74*5</f>
        <v>73.7</v>
      </c>
      <c r="M40" s="175" t="e">
        <f>L40*E40*'He so chung'!D$13</f>
        <v>#VALUE!</v>
      </c>
      <c r="N40" s="174">
        <f>20.65*5</f>
        <v>103.25</v>
      </c>
      <c r="O40" s="175" t="e">
        <f>N40*E40*'He so chung'!D$13</f>
        <v>#VALUE!</v>
      </c>
      <c r="P40" s="174">
        <f>41.3*5</f>
        <v>206.5</v>
      </c>
      <c r="Q40" s="175" t="e">
        <f>P40*E40*'He so chung'!D$13</f>
        <v>#VALUE!</v>
      </c>
    </row>
    <row r="41" spans="1:17" s="4" customFormat="1" ht="13.9" customHeight="1">
      <c r="A41" s="134"/>
      <c r="B41" s="135"/>
      <c r="C41" s="133"/>
      <c r="D41" s="176"/>
      <c r="E41" s="173">
        <f>$E$29</f>
        <v>131000</v>
      </c>
      <c r="F41" s="174">
        <v>28.88</v>
      </c>
      <c r="G41" s="175">
        <f t="shared" si="3"/>
        <v>3783280</v>
      </c>
      <c r="H41" s="174">
        <v>20.149999999999999</v>
      </c>
      <c r="I41" s="175">
        <f t="shared" si="4"/>
        <v>2639650</v>
      </c>
      <c r="J41" s="174">
        <v>7.35</v>
      </c>
      <c r="K41" s="173">
        <f t="shared" si="5"/>
        <v>962850</v>
      </c>
      <c r="L41" s="174">
        <v>10.31</v>
      </c>
      <c r="M41" s="175">
        <f t="shared" si="0"/>
        <v>1350610</v>
      </c>
      <c r="N41" s="174">
        <v>14.44</v>
      </c>
      <c r="O41" s="175">
        <f t="shared" si="1"/>
        <v>1891640</v>
      </c>
      <c r="P41" s="174">
        <v>28.88</v>
      </c>
      <c r="Q41" s="175">
        <f t="shared" si="2"/>
        <v>3783280</v>
      </c>
    </row>
    <row r="42" spans="1:17" s="4" customFormat="1" ht="13.9" customHeight="1">
      <c r="A42" s="134"/>
      <c r="B42" s="135"/>
      <c r="C42" s="133"/>
      <c r="D42" s="176"/>
      <c r="E42" s="173">
        <f>$E$30</f>
        <v>131000</v>
      </c>
      <c r="F42" s="174">
        <v>28.88</v>
      </c>
      <c r="G42" s="175">
        <f t="shared" si="3"/>
        <v>3783280</v>
      </c>
      <c r="H42" s="174">
        <v>20.149999999999999</v>
      </c>
      <c r="I42" s="175">
        <f t="shared" si="4"/>
        <v>2639650</v>
      </c>
      <c r="J42" s="174">
        <v>7.35</v>
      </c>
      <c r="K42" s="173">
        <f t="shared" si="5"/>
        <v>962850</v>
      </c>
      <c r="L42" s="174">
        <v>10.31</v>
      </c>
      <c r="M42" s="175">
        <f t="shared" si="0"/>
        <v>1350610</v>
      </c>
      <c r="N42" s="174">
        <v>14.44</v>
      </c>
      <c r="O42" s="175">
        <f t="shared" si="1"/>
        <v>1891640</v>
      </c>
      <c r="P42" s="174">
        <v>28.88</v>
      </c>
      <c r="Q42" s="175">
        <f>P42*E42</f>
        <v>3783280</v>
      </c>
    </row>
    <row r="43" spans="1:17" s="4" customFormat="1" ht="13.9" customHeight="1">
      <c r="A43" s="134"/>
      <c r="B43" s="135"/>
      <c r="C43" s="133"/>
      <c r="D43" s="176"/>
      <c r="E43" s="175"/>
      <c r="F43" s="176"/>
      <c r="G43" s="175">
        <f t="shared" si="3"/>
        <v>0</v>
      </c>
      <c r="H43" s="174"/>
      <c r="I43" s="175">
        <f t="shared" si="4"/>
        <v>0</v>
      </c>
      <c r="J43" s="174"/>
      <c r="K43" s="173">
        <f t="shared" si="5"/>
        <v>0</v>
      </c>
      <c r="L43" s="174"/>
      <c r="M43" s="175">
        <f t="shared" si="0"/>
        <v>0</v>
      </c>
      <c r="N43" s="174"/>
      <c r="O43" s="175"/>
      <c r="P43" s="174"/>
      <c r="Q43" s="175"/>
    </row>
    <row r="44" spans="1:17" s="4" customFormat="1" ht="13.9" customHeight="1">
      <c r="A44" s="134"/>
      <c r="B44" s="135"/>
      <c r="C44" s="133"/>
      <c r="D44" s="172">
        <v>5</v>
      </c>
      <c r="E44" s="173" t="e">
        <f>E36</f>
        <v>#VALUE!</v>
      </c>
      <c r="F44" s="176"/>
      <c r="G44" s="175" t="e">
        <f t="shared" si="3"/>
        <v>#VALUE!</v>
      </c>
      <c r="H44" s="174">
        <f>34.59*5</f>
        <v>172.95000000000002</v>
      </c>
      <c r="I44" s="175" t="e">
        <f>H44*E44*'He so chung'!D$13</f>
        <v>#VALUE!</v>
      </c>
      <c r="J44" s="174">
        <f>12.62*5</f>
        <v>63.099999999999994</v>
      </c>
      <c r="K44" s="173" t="e">
        <f>J44*E44*'He so chung'!D$13</f>
        <v>#VALUE!</v>
      </c>
      <c r="L44" s="176">
        <f>17.69*5</f>
        <v>88.45</v>
      </c>
      <c r="M44" s="175" t="e">
        <f>L44*E44*'He so chung'!D$13</f>
        <v>#VALUE!</v>
      </c>
      <c r="N44" s="174"/>
      <c r="O44" s="175"/>
      <c r="P44" s="174"/>
      <c r="Q44" s="175"/>
    </row>
    <row r="45" spans="1:17" s="4" customFormat="1" ht="13.9" customHeight="1">
      <c r="A45" s="134"/>
      <c r="B45" s="135"/>
      <c r="C45" s="133"/>
      <c r="D45" s="176"/>
      <c r="E45" s="173">
        <f>$E$29</f>
        <v>131000</v>
      </c>
      <c r="F45" s="176"/>
      <c r="G45" s="175">
        <f t="shared" si="3"/>
        <v>0</v>
      </c>
      <c r="H45" s="174">
        <v>24.19</v>
      </c>
      <c r="I45" s="175">
        <f t="shared" si="4"/>
        <v>3168890</v>
      </c>
      <c r="J45" s="174">
        <v>8.82</v>
      </c>
      <c r="K45" s="173">
        <f t="shared" si="5"/>
        <v>1155420</v>
      </c>
      <c r="L45" s="176">
        <v>12.37</v>
      </c>
      <c r="M45" s="175">
        <f t="shared" si="0"/>
        <v>1620470</v>
      </c>
      <c r="N45" s="174"/>
      <c r="O45" s="175"/>
      <c r="P45" s="174"/>
      <c r="Q45" s="175"/>
    </row>
    <row r="46" spans="1:17" s="4" customFormat="1" ht="13.9" customHeight="1">
      <c r="A46" s="134"/>
      <c r="B46" s="135"/>
      <c r="C46" s="133"/>
      <c r="D46" s="176"/>
      <c r="E46" s="173">
        <f>$E$30</f>
        <v>131000</v>
      </c>
      <c r="F46" s="176"/>
      <c r="G46" s="175">
        <f t="shared" si="3"/>
        <v>0</v>
      </c>
      <c r="H46" s="174">
        <v>24.19</v>
      </c>
      <c r="I46" s="175">
        <f t="shared" si="4"/>
        <v>3168890</v>
      </c>
      <c r="J46" s="174">
        <v>8.82</v>
      </c>
      <c r="K46" s="173">
        <f t="shared" si="5"/>
        <v>1155420</v>
      </c>
      <c r="L46" s="176">
        <v>12.37</v>
      </c>
      <c r="M46" s="175">
        <f t="shared" si="0"/>
        <v>1620470</v>
      </c>
      <c r="N46" s="174"/>
      <c r="O46" s="175"/>
      <c r="P46" s="174"/>
      <c r="Q46" s="175"/>
    </row>
    <row r="47" spans="1:17" s="4" customFormat="1" ht="13.9" customHeight="1">
      <c r="A47" s="138"/>
      <c r="B47" s="139"/>
      <c r="C47" s="140"/>
      <c r="D47" s="180"/>
      <c r="E47" s="181"/>
      <c r="F47" s="182"/>
      <c r="G47" s="183"/>
      <c r="H47" s="184"/>
      <c r="I47" s="183"/>
      <c r="J47" s="184"/>
      <c r="K47" s="181"/>
      <c r="L47" s="182"/>
      <c r="M47" s="183"/>
      <c r="N47" s="182"/>
      <c r="O47" s="183"/>
      <c r="P47" s="182"/>
      <c r="Q47" s="183"/>
    </row>
    <row r="48" spans="1:17" s="4" customFormat="1" ht="12.75" customHeight="1">
      <c r="A48" s="47"/>
      <c r="B48" s="42"/>
      <c r="C48" s="43"/>
      <c r="D48" s="152"/>
      <c r="E48" s="153"/>
      <c r="F48" s="154"/>
      <c r="G48" s="155"/>
      <c r="H48" s="156"/>
      <c r="I48" s="155"/>
      <c r="J48" s="156"/>
      <c r="K48" s="153"/>
      <c r="L48" s="154"/>
      <c r="M48" s="155"/>
      <c r="N48" s="154"/>
      <c r="O48" s="155"/>
      <c r="P48" s="154"/>
      <c r="Q48" s="155"/>
    </row>
    <row r="49" spans="1:17" s="4" customFormat="1" ht="26.25" customHeight="1">
      <c r="A49" s="170" t="s">
        <v>78</v>
      </c>
      <c r="B49" s="3"/>
      <c r="C49" s="6"/>
      <c r="D49" s="157"/>
      <c r="E49" s="158"/>
      <c r="F49" s="159"/>
      <c r="G49" s="160"/>
      <c r="H49" s="161"/>
      <c r="I49" s="160"/>
      <c r="J49" s="161"/>
      <c r="K49" s="158"/>
      <c r="L49" s="159"/>
      <c r="M49" s="160"/>
      <c r="N49" s="159"/>
      <c r="O49" s="160"/>
      <c r="P49" s="159"/>
      <c r="Q49" s="160"/>
    </row>
    <row r="50" spans="1:17" s="4" customFormat="1" ht="18" customHeight="1">
      <c r="A50" s="1018" t="s">
        <v>65</v>
      </c>
      <c r="B50" s="1018" t="s">
        <v>90</v>
      </c>
      <c r="C50" s="1018" t="s">
        <v>66</v>
      </c>
      <c r="D50" s="1018" t="s">
        <v>91</v>
      </c>
      <c r="E50" s="1018" t="s">
        <v>67</v>
      </c>
      <c r="F50" s="1016" t="s">
        <v>68</v>
      </c>
      <c r="G50" s="1017"/>
      <c r="H50" s="1016" t="s">
        <v>69</v>
      </c>
      <c r="I50" s="1017"/>
      <c r="J50" s="1016" t="s">
        <v>70</v>
      </c>
      <c r="K50" s="1017"/>
      <c r="L50" s="1016" t="s">
        <v>71</v>
      </c>
      <c r="M50" s="1017"/>
      <c r="N50" s="1016" t="s">
        <v>72</v>
      </c>
      <c r="O50" s="1017"/>
      <c r="P50" s="1016" t="s">
        <v>72</v>
      </c>
      <c r="Q50" s="1017"/>
    </row>
    <row r="51" spans="1:17" s="4" customFormat="1" ht="33.6" customHeight="1">
      <c r="A51" s="1019"/>
      <c r="B51" s="1019"/>
      <c r="C51" s="1019"/>
      <c r="D51" s="1019"/>
      <c r="E51" s="1019"/>
      <c r="F51" s="547" t="s">
        <v>465</v>
      </c>
      <c r="G51" s="547" t="s">
        <v>466</v>
      </c>
      <c r="H51" s="547" t="s">
        <v>467</v>
      </c>
      <c r="I51" s="547" t="s">
        <v>466</v>
      </c>
      <c r="J51" s="547" t="s">
        <v>467</v>
      </c>
      <c r="K51" s="547" t="s">
        <v>468</v>
      </c>
      <c r="L51" s="547" t="s">
        <v>467</v>
      </c>
      <c r="M51" s="547" t="s">
        <v>468</v>
      </c>
      <c r="N51" s="547" t="s">
        <v>467</v>
      </c>
      <c r="O51" s="547" t="s">
        <v>468</v>
      </c>
      <c r="P51" s="547" t="s">
        <v>467</v>
      </c>
      <c r="Q51" s="547" t="s">
        <v>468</v>
      </c>
    </row>
    <row r="52" spans="1:17" s="4" customFormat="1" ht="18.600000000000001" customHeight="1">
      <c r="A52" s="168">
        <v>1</v>
      </c>
      <c r="B52" s="169" t="s">
        <v>79</v>
      </c>
      <c r="C52" s="171" t="s">
        <v>92</v>
      </c>
      <c r="D52" s="168"/>
      <c r="E52" s="168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</row>
    <row r="53" spans="1:17" s="4" customFormat="1" ht="18.600000000000001" customHeight="1">
      <c r="A53" s="132"/>
      <c r="B53" s="132"/>
      <c r="C53" s="132"/>
      <c r="D53" s="172"/>
      <c r="E53" s="173"/>
      <c r="F53" s="176"/>
      <c r="G53" s="175"/>
      <c r="H53" s="176"/>
      <c r="I53" s="175"/>
      <c r="J53" s="176"/>
      <c r="K53" s="173"/>
      <c r="L53" s="176"/>
      <c r="M53" s="175"/>
      <c r="N53" s="176"/>
      <c r="O53" s="175"/>
      <c r="P53" s="176"/>
      <c r="Q53" s="175"/>
    </row>
    <row r="54" spans="1:17" s="4" customFormat="1" ht="18.600000000000001" customHeight="1">
      <c r="A54" s="165">
        <v>2</v>
      </c>
      <c r="B54" s="132" t="s">
        <v>473</v>
      </c>
      <c r="C54" s="135" t="s">
        <v>76</v>
      </c>
      <c r="D54" s="172">
        <v>1</v>
      </c>
      <c r="E54" s="173" t="e">
        <f>(LUONGNGAY!K44+LUONGNGAY!K48)/2</f>
        <v>#VALUE!</v>
      </c>
      <c r="F54" s="174">
        <f>5.12*2</f>
        <v>10.24</v>
      </c>
      <c r="G54" s="175" t="e">
        <f>F54*E54</f>
        <v>#VALUE!</v>
      </c>
      <c r="H54" s="174">
        <f>1.63*2</f>
        <v>3.26</v>
      </c>
      <c r="I54" s="175" t="e">
        <f>H54*E54</f>
        <v>#VALUE!</v>
      </c>
      <c r="J54" s="174">
        <f>0.55*2</f>
        <v>1.1000000000000001</v>
      </c>
      <c r="K54" s="173" t="e">
        <f>J54*E54</f>
        <v>#VALUE!</v>
      </c>
      <c r="L54" s="174">
        <f>0.67*2</f>
        <v>1.34</v>
      </c>
      <c r="M54" s="175" t="e">
        <f>L54*E54</f>
        <v>#VALUE!</v>
      </c>
      <c r="N54" s="174">
        <f>1.4*2</f>
        <v>2.8</v>
      </c>
      <c r="O54" s="175" t="e">
        <f>N54*E54</f>
        <v>#VALUE!</v>
      </c>
      <c r="P54" s="174">
        <f>2.2*2</f>
        <v>4.4000000000000004</v>
      </c>
      <c r="Q54" s="175" t="e">
        <f t="shared" ref="Q54:Q60" si="6">E54*P54</f>
        <v>#VALUE!</v>
      </c>
    </row>
    <row r="55" spans="1:17" s="4" customFormat="1" ht="18.600000000000001" customHeight="1">
      <c r="A55" s="132"/>
      <c r="B55" s="135" t="s">
        <v>474</v>
      </c>
      <c r="C55" s="132"/>
      <c r="D55" s="172"/>
      <c r="E55" s="173"/>
      <c r="F55" s="174"/>
      <c r="G55" s="175"/>
      <c r="H55" s="174"/>
      <c r="I55" s="175"/>
      <c r="J55" s="174"/>
      <c r="K55" s="173"/>
      <c r="L55" s="174"/>
      <c r="M55" s="175"/>
      <c r="N55" s="174"/>
      <c r="O55" s="175"/>
      <c r="P55" s="174"/>
      <c r="Q55" s="175">
        <f t="shared" si="6"/>
        <v>0</v>
      </c>
    </row>
    <row r="56" spans="1:17" s="4" customFormat="1" ht="18.600000000000001" customHeight="1">
      <c r="A56" s="131"/>
      <c r="B56" s="135"/>
      <c r="C56" s="133"/>
      <c r="D56" s="172">
        <v>2</v>
      </c>
      <c r="E56" s="173" t="e">
        <f>E54</f>
        <v>#VALUE!</v>
      </c>
      <c r="F56" s="174">
        <f>6.14*2</f>
        <v>12.28</v>
      </c>
      <c r="G56" s="175" t="e">
        <f>F56*E56</f>
        <v>#VALUE!</v>
      </c>
      <c r="H56" s="174">
        <f>2.03*2</f>
        <v>4.0599999999999996</v>
      </c>
      <c r="I56" s="175" t="e">
        <f>H56*E56</f>
        <v>#VALUE!</v>
      </c>
      <c r="J56" s="174">
        <f>0.69*2</f>
        <v>1.38</v>
      </c>
      <c r="K56" s="173" t="e">
        <f>J56*E56</f>
        <v>#VALUE!</v>
      </c>
      <c r="L56" s="174">
        <f>0.89*2</f>
        <v>1.78</v>
      </c>
      <c r="M56" s="175" t="e">
        <f>L56*E56</f>
        <v>#VALUE!</v>
      </c>
      <c r="N56" s="174">
        <f>1.62*2</f>
        <v>3.24</v>
      </c>
      <c r="O56" s="175" t="e">
        <f>N56*E56</f>
        <v>#VALUE!</v>
      </c>
      <c r="P56" s="174">
        <f>2.42*2</f>
        <v>4.84</v>
      </c>
      <c r="Q56" s="175" t="e">
        <f t="shared" si="6"/>
        <v>#VALUE!</v>
      </c>
    </row>
    <row r="57" spans="1:17" s="4" customFormat="1" ht="18.600000000000001" customHeight="1">
      <c r="A57" s="134"/>
      <c r="B57" s="135"/>
      <c r="C57" s="133"/>
      <c r="D57" s="172"/>
      <c r="E57" s="173"/>
      <c r="F57" s="174"/>
      <c r="G57" s="175"/>
      <c r="H57" s="174"/>
      <c r="I57" s="175"/>
      <c r="J57" s="174"/>
      <c r="K57" s="173"/>
      <c r="L57" s="174"/>
      <c r="M57" s="175"/>
      <c r="N57" s="174"/>
      <c r="O57" s="175"/>
      <c r="P57" s="174"/>
      <c r="Q57" s="175">
        <f t="shared" si="6"/>
        <v>0</v>
      </c>
    </row>
    <row r="58" spans="1:17" s="4" customFormat="1" ht="18.600000000000001" customHeight="1">
      <c r="A58" s="134"/>
      <c r="B58" s="135"/>
      <c r="C58" s="133"/>
      <c r="D58" s="172">
        <v>3</v>
      </c>
      <c r="E58" s="173" t="e">
        <f>E56</f>
        <v>#VALUE!</v>
      </c>
      <c r="F58" s="174">
        <f>7.16*2</f>
        <v>14.32</v>
      </c>
      <c r="G58" s="175" t="e">
        <f>F58*E58</f>
        <v>#VALUE!</v>
      </c>
      <c r="H58" s="174">
        <f>2.17*2</f>
        <v>4.34</v>
      </c>
      <c r="I58" s="175" t="e">
        <f>H58*E58</f>
        <v>#VALUE!</v>
      </c>
      <c r="J58" s="174">
        <f>0.92*2</f>
        <v>1.84</v>
      </c>
      <c r="K58" s="173" t="e">
        <f>J58*E58</f>
        <v>#VALUE!</v>
      </c>
      <c r="L58" s="174">
        <f>1.11*2</f>
        <v>2.2200000000000002</v>
      </c>
      <c r="M58" s="175" t="e">
        <f>L58*E58</f>
        <v>#VALUE!</v>
      </c>
      <c r="N58" s="174">
        <f>2.16*2</f>
        <v>4.32</v>
      </c>
      <c r="O58" s="175" t="e">
        <f>N58*E58</f>
        <v>#VALUE!</v>
      </c>
      <c r="P58" s="174">
        <f>2.96*2</f>
        <v>5.92</v>
      </c>
      <c r="Q58" s="175" t="e">
        <f t="shared" si="6"/>
        <v>#VALUE!</v>
      </c>
    </row>
    <row r="59" spans="1:17" s="4" customFormat="1" ht="18.600000000000001" customHeight="1">
      <c r="A59" s="134"/>
      <c r="B59" s="135"/>
      <c r="C59" s="133"/>
      <c r="D59" s="172"/>
      <c r="E59" s="173"/>
      <c r="F59" s="174"/>
      <c r="G59" s="175"/>
      <c r="H59" s="174"/>
      <c r="I59" s="175"/>
      <c r="J59" s="174"/>
      <c r="K59" s="173"/>
      <c r="L59" s="174"/>
      <c r="M59" s="175"/>
      <c r="N59" s="174"/>
      <c r="O59" s="175"/>
      <c r="P59" s="174"/>
      <c r="Q59" s="175">
        <f t="shared" si="6"/>
        <v>0</v>
      </c>
    </row>
    <row r="60" spans="1:17" s="4" customFormat="1" ht="18.600000000000001" customHeight="1">
      <c r="A60" s="134"/>
      <c r="B60" s="135"/>
      <c r="C60" s="133"/>
      <c r="D60" s="172">
        <v>4</v>
      </c>
      <c r="E60" s="173" t="e">
        <f>E58</f>
        <v>#VALUE!</v>
      </c>
      <c r="F60" s="174">
        <f>8.2*2</f>
        <v>16.399999999999999</v>
      </c>
      <c r="G60" s="175" t="e">
        <f>F60*E60</f>
        <v>#VALUE!</v>
      </c>
      <c r="H60" s="174">
        <f>3.66*2</f>
        <v>7.32</v>
      </c>
      <c r="I60" s="175" t="e">
        <f>H60*E60</f>
        <v>#VALUE!</v>
      </c>
      <c r="J60" s="174">
        <f>1.24*2</f>
        <v>2.48</v>
      </c>
      <c r="K60" s="173" t="e">
        <f>J60*E60</f>
        <v>#VALUE!</v>
      </c>
      <c r="L60" s="174">
        <f>1.39*2</f>
        <v>2.78</v>
      </c>
      <c r="M60" s="175" t="e">
        <f>L60*E60</f>
        <v>#VALUE!</v>
      </c>
      <c r="N60" s="174">
        <f>2.38*2</f>
        <v>4.76</v>
      </c>
      <c r="O60" s="175" t="e">
        <f>N60*E60</f>
        <v>#VALUE!</v>
      </c>
      <c r="P60" s="174">
        <f>3.18*2</f>
        <v>6.36</v>
      </c>
      <c r="Q60" s="175" t="e">
        <f t="shared" si="6"/>
        <v>#VALUE!</v>
      </c>
    </row>
    <row r="61" spans="1:17" s="4" customFormat="1" ht="18.600000000000001" customHeight="1">
      <c r="A61" s="134"/>
      <c r="B61" s="135"/>
      <c r="C61" s="133"/>
      <c r="D61" s="172"/>
      <c r="E61" s="173"/>
      <c r="F61" s="174"/>
      <c r="G61" s="175"/>
      <c r="H61" s="174"/>
      <c r="I61" s="175"/>
      <c r="J61" s="174"/>
      <c r="K61" s="173"/>
      <c r="L61" s="174"/>
      <c r="M61" s="175"/>
      <c r="N61" s="174"/>
      <c r="O61" s="175"/>
      <c r="P61" s="174"/>
      <c r="Q61" s="175"/>
    </row>
    <row r="62" spans="1:17" s="4" customFormat="1" ht="18.600000000000001" customHeight="1">
      <c r="A62" s="134"/>
      <c r="B62" s="135"/>
      <c r="C62" s="133"/>
      <c r="D62" s="172">
        <v>5</v>
      </c>
      <c r="E62" s="173" t="e">
        <f>E60</f>
        <v>#VALUE!</v>
      </c>
      <c r="F62" s="174"/>
      <c r="G62" s="175"/>
      <c r="H62" s="174">
        <f>4.61*2</f>
        <v>9.2200000000000006</v>
      </c>
      <c r="I62" s="175" t="e">
        <f>H62*E62</f>
        <v>#VALUE!</v>
      </c>
      <c r="J62" s="174">
        <f>1.61*2</f>
        <v>3.22</v>
      </c>
      <c r="K62" s="173" t="e">
        <f>J62*E62</f>
        <v>#VALUE!</v>
      </c>
      <c r="L62" s="174">
        <f>1.94*2</f>
        <v>3.88</v>
      </c>
      <c r="M62" s="175" t="e">
        <f>L62*E62</f>
        <v>#VALUE!</v>
      </c>
      <c r="N62" s="174"/>
      <c r="O62" s="175"/>
      <c r="P62" s="174"/>
      <c r="Q62" s="175"/>
    </row>
    <row r="63" spans="1:17" s="4" customFormat="1" ht="18.600000000000001" customHeight="1">
      <c r="A63" s="134"/>
      <c r="B63" s="135"/>
      <c r="C63" s="133"/>
      <c r="D63" s="172"/>
      <c r="E63" s="173"/>
      <c r="F63" s="176"/>
      <c r="G63" s="175"/>
      <c r="H63" s="176"/>
      <c r="I63" s="175"/>
      <c r="J63" s="176"/>
      <c r="K63" s="173"/>
      <c r="L63" s="176"/>
      <c r="M63" s="175"/>
      <c r="N63" s="176"/>
      <c r="O63" s="175"/>
      <c r="P63" s="176"/>
      <c r="Q63" s="175"/>
    </row>
    <row r="64" spans="1:17" s="4" customFormat="1" ht="18.600000000000001" customHeight="1">
      <c r="A64" s="131" t="s">
        <v>11</v>
      </c>
      <c r="B64" s="132" t="s">
        <v>475</v>
      </c>
      <c r="C64" s="133" t="s">
        <v>76</v>
      </c>
      <c r="D64" s="185" t="s">
        <v>476</v>
      </c>
      <c r="E64" s="173" t="e">
        <f>LUONGNGAY!K$44</f>
        <v>#VALUE!</v>
      </c>
      <c r="F64" s="174">
        <v>3</v>
      </c>
      <c r="G64" s="175" t="e">
        <f>F64*E64</f>
        <v>#VALUE!</v>
      </c>
      <c r="H64" s="174">
        <v>3</v>
      </c>
      <c r="I64" s="175" t="e">
        <f>H64*E64</f>
        <v>#VALUE!</v>
      </c>
      <c r="J64" s="174">
        <v>3</v>
      </c>
      <c r="K64" s="173" t="e">
        <f>J64*E64</f>
        <v>#VALUE!</v>
      </c>
      <c r="L64" s="174">
        <v>3</v>
      </c>
      <c r="M64" s="175" t="e">
        <f>L64*E64</f>
        <v>#VALUE!</v>
      </c>
      <c r="N64" s="174">
        <v>3</v>
      </c>
      <c r="O64" s="175" t="e">
        <f>N64*E64</f>
        <v>#VALUE!</v>
      </c>
      <c r="P64" s="174">
        <v>3</v>
      </c>
      <c r="Q64" s="175" t="e">
        <f>E64*P64</f>
        <v>#VALUE!</v>
      </c>
    </row>
    <row r="65" spans="1:17" s="4" customFormat="1" ht="18.600000000000001" customHeight="1">
      <c r="A65" s="166"/>
      <c r="B65" s="132" t="s">
        <v>477</v>
      </c>
      <c r="C65" s="132"/>
      <c r="D65" s="172"/>
      <c r="E65" s="173"/>
      <c r="F65" s="174"/>
      <c r="G65" s="175"/>
      <c r="H65" s="174"/>
      <c r="I65" s="175"/>
      <c r="J65" s="174"/>
      <c r="K65" s="173"/>
      <c r="L65" s="176"/>
      <c r="M65" s="175"/>
      <c r="N65" s="176"/>
      <c r="O65" s="175"/>
      <c r="P65" s="176"/>
      <c r="Q65" s="175"/>
    </row>
    <row r="66" spans="1:17" s="4" customFormat="1" ht="18.600000000000001" customHeight="1">
      <c r="A66" s="166"/>
      <c r="B66" s="132"/>
      <c r="C66" s="132"/>
      <c r="D66" s="172"/>
      <c r="E66" s="173"/>
      <c r="F66" s="174"/>
      <c r="G66" s="175"/>
      <c r="H66" s="174"/>
      <c r="I66" s="175"/>
      <c r="J66" s="174"/>
      <c r="K66" s="173"/>
      <c r="L66" s="176"/>
      <c r="M66" s="175"/>
      <c r="N66" s="176"/>
      <c r="O66" s="175"/>
      <c r="P66" s="176"/>
      <c r="Q66" s="175"/>
    </row>
    <row r="67" spans="1:17" s="4" customFormat="1" ht="18.600000000000001" customHeight="1">
      <c r="A67" s="131" t="s">
        <v>12</v>
      </c>
      <c r="B67" s="132" t="s">
        <v>84</v>
      </c>
      <c r="C67" s="133" t="s">
        <v>76</v>
      </c>
      <c r="D67" s="185" t="s">
        <v>476</v>
      </c>
      <c r="E67" s="173" t="e">
        <f>E64</f>
        <v>#VALUE!</v>
      </c>
      <c r="F67" s="174">
        <v>2.6</v>
      </c>
      <c r="G67" s="175" t="e">
        <f>F67*E67</f>
        <v>#VALUE!</v>
      </c>
      <c r="H67" s="174">
        <v>2.6</v>
      </c>
      <c r="I67" s="175" t="e">
        <f>H67*E67</f>
        <v>#VALUE!</v>
      </c>
      <c r="J67" s="174">
        <v>2.6</v>
      </c>
      <c r="K67" s="173" t="e">
        <f>J67*E67</f>
        <v>#VALUE!</v>
      </c>
      <c r="L67" s="174">
        <v>2.6</v>
      </c>
      <c r="M67" s="175" t="e">
        <f>L67*E67</f>
        <v>#VALUE!</v>
      </c>
      <c r="N67" s="174">
        <v>2.6</v>
      </c>
      <c r="O67" s="175" t="e">
        <f>N67*E67</f>
        <v>#VALUE!</v>
      </c>
      <c r="P67" s="174">
        <v>2.6</v>
      </c>
      <c r="Q67" s="175" t="e">
        <f>E67*P67</f>
        <v>#VALUE!</v>
      </c>
    </row>
    <row r="68" spans="1:17" s="4" customFormat="1" ht="18.600000000000001" customHeight="1">
      <c r="A68" s="166"/>
      <c r="B68" s="141"/>
      <c r="C68" s="133"/>
      <c r="D68" s="172"/>
      <c r="E68" s="173"/>
      <c r="F68" s="174"/>
      <c r="G68" s="175"/>
      <c r="H68" s="174"/>
      <c r="I68" s="175"/>
      <c r="J68" s="174"/>
      <c r="K68" s="173"/>
      <c r="L68" s="176"/>
      <c r="M68" s="175"/>
      <c r="N68" s="176"/>
      <c r="O68" s="175"/>
      <c r="P68" s="176"/>
      <c r="Q68" s="175"/>
    </row>
    <row r="69" spans="1:17" s="4" customFormat="1" ht="18.600000000000001" customHeight="1">
      <c r="A69" s="131" t="s">
        <v>13</v>
      </c>
      <c r="B69" s="132" t="s">
        <v>478</v>
      </c>
      <c r="C69" s="133" t="s">
        <v>74</v>
      </c>
      <c r="D69" s="185" t="s">
        <v>476</v>
      </c>
      <c r="E69" s="173" t="e">
        <f>E67</f>
        <v>#VALUE!</v>
      </c>
      <c r="F69" s="174">
        <v>0.51</v>
      </c>
      <c r="G69" s="175" t="e">
        <f>F69*E69</f>
        <v>#VALUE!</v>
      </c>
      <c r="H69" s="174">
        <v>0.6</v>
      </c>
      <c r="I69" s="175" t="e">
        <f>H69*E69</f>
        <v>#VALUE!</v>
      </c>
      <c r="J69" s="174">
        <v>0.68</v>
      </c>
      <c r="K69" s="173" t="e">
        <f>J69*E69</f>
        <v>#VALUE!</v>
      </c>
      <c r="L69" s="176">
        <v>0.77</v>
      </c>
      <c r="M69" s="175" t="e">
        <f>L69*E69</f>
        <v>#VALUE!</v>
      </c>
      <c r="N69" s="176">
        <v>0.85</v>
      </c>
      <c r="O69" s="175" t="e">
        <f>N69*E69</f>
        <v>#VALUE!</v>
      </c>
      <c r="P69" s="174">
        <v>1</v>
      </c>
      <c r="Q69" s="175" t="e">
        <f>P69*E69</f>
        <v>#VALUE!</v>
      </c>
    </row>
    <row r="70" spans="1:17" s="4" customFormat="1" ht="18.600000000000001" customHeight="1">
      <c r="A70" s="166"/>
      <c r="B70" s="141"/>
      <c r="C70" s="141"/>
      <c r="D70" s="172"/>
      <c r="E70" s="173"/>
      <c r="F70" s="174"/>
      <c r="G70" s="175"/>
      <c r="H70" s="174"/>
      <c r="I70" s="175"/>
      <c r="J70" s="174"/>
      <c r="K70" s="173"/>
      <c r="L70" s="176"/>
      <c r="M70" s="175"/>
      <c r="N70" s="176"/>
      <c r="O70" s="175"/>
      <c r="P70" s="176"/>
      <c r="Q70" s="175"/>
    </row>
    <row r="71" spans="1:17" s="4" customFormat="1" ht="18.600000000000001" customHeight="1">
      <c r="A71" s="131" t="s">
        <v>14</v>
      </c>
      <c r="B71" s="132" t="s">
        <v>86</v>
      </c>
      <c r="C71" s="133" t="s">
        <v>74</v>
      </c>
      <c r="D71" s="185" t="s">
        <v>476</v>
      </c>
      <c r="E71" s="173" t="e">
        <f>E69</f>
        <v>#VALUE!</v>
      </c>
      <c r="F71" s="174">
        <v>0.4</v>
      </c>
      <c r="G71" s="175" t="e">
        <f>F71*E71</f>
        <v>#VALUE!</v>
      </c>
      <c r="H71" s="174">
        <v>0.6</v>
      </c>
      <c r="I71" s="175" t="e">
        <f>H71*E71</f>
        <v>#VALUE!</v>
      </c>
      <c r="J71" s="174">
        <v>0.8</v>
      </c>
      <c r="K71" s="173" t="e">
        <f>J71*E71</f>
        <v>#VALUE!</v>
      </c>
      <c r="L71" s="174">
        <v>1.1000000000000001</v>
      </c>
      <c r="M71" s="175" t="e">
        <f>L71*E71</f>
        <v>#VALUE!</v>
      </c>
      <c r="N71" s="174">
        <v>1.7</v>
      </c>
      <c r="O71" s="175" t="e">
        <f>N71*E71</f>
        <v>#VALUE!</v>
      </c>
      <c r="P71" s="174">
        <v>2</v>
      </c>
      <c r="Q71" s="175" t="e">
        <f>P71*E71</f>
        <v>#VALUE!</v>
      </c>
    </row>
    <row r="72" spans="1:17" s="4" customFormat="1" ht="18.600000000000001" customHeight="1">
      <c r="A72" s="134"/>
      <c r="B72" s="135"/>
      <c r="C72" s="133"/>
      <c r="D72" s="172"/>
      <c r="E72" s="173"/>
      <c r="F72" s="174"/>
      <c r="G72" s="175"/>
      <c r="H72" s="174"/>
      <c r="I72" s="175"/>
      <c r="J72" s="174"/>
      <c r="K72" s="173"/>
      <c r="L72" s="176"/>
      <c r="M72" s="175"/>
      <c r="N72" s="176"/>
      <c r="O72" s="175"/>
      <c r="P72" s="176"/>
      <c r="Q72" s="175"/>
    </row>
    <row r="73" spans="1:17" s="4" customFormat="1" ht="18.600000000000001" customHeight="1">
      <c r="A73" s="131" t="s">
        <v>85</v>
      </c>
      <c r="B73" s="132" t="s">
        <v>479</v>
      </c>
      <c r="C73" s="133" t="s">
        <v>74</v>
      </c>
      <c r="D73" s="185" t="s">
        <v>476</v>
      </c>
      <c r="E73" s="173" t="e">
        <f>E71</f>
        <v>#VALUE!</v>
      </c>
      <c r="F73" s="174">
        <f>0.1*2</f>
        <v>0.2</v>
      </c>
      <c r="G73" s="175" t="e">
        <f>F73*E73</f>
        <v>#VALUE!</v>
      </c>
      <c r="H73" s="174">
        <f>0.63*2</f>
        <v>1.26</v>
      </c>
      <c r="I73" s="175" t="e">
        <f>H73*E73</f>
        <v>#VALUE!</v>
      </c>
      <c r="J73" s="174">
        <f>0.85*2</f>
        <v>1.7</v>
      </c>
      <c r="K73" s="173" t="e">
        <f>J73*E73</f>
        <v>#VALUE!</v>
      </c>
      <c r="L73" s="176">
        <f>1.27*2</f>
        <v>2.54</v>
      </c>
      <c r="M73" s="175" t="e">
        <f>L73*E73</f>
        <v>#VALUE!</v>
      </c>
      <c r="N73" s="174">
        <f>1.7*2</f>
        <v>3.4</v>
      </c>
      <c r="O73" s="175" t="e">
        <f>N73*E73</f>
        <v>#VALUE!</v>
      </c>
      <c r="P73" s="174">
        <f>2*2</f>
        <v>4</v>
      </c>
      <c r="Q73" s="175" t="e">
        <f>P73*E73</f>
        <v>#VALUE!</v>
      </c>
    </row>
    <row r="74" spans="1:17" s="4" customFormat="1" ht="18.600000000000001" customHeight="1">
      <c r="A74" s="14"/>
      <c r="B74" s="8"/>
      <c r="C74" s="9"/>
      <c r="D74" s="180"/>
      <c r="E74" s="181"/>
      <c r="F74" s="182"/>
      <c r="G74" s="183"/>
      <c r="H74" s="182"/>
      <c r="I74" s="183"/>
      <c r="J74" s="182"/>
      <c r="K74" s="181"/>
      <c r="L74" s="182"/>
      <c r="M74" s="183"/>
      <c r="N74" s="182"/>
      <c r="O74" s="183"/>
      <c r="P74" s="182"/>
      <c r="Q74" s="183"/>
    </row>
    <row r="75" spans="1:17" s="4" customFormat="1" ht="12.75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7" s="4" customFormat="1" ht="12.75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7" s="4" customFormat="1" ht="12.75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7" s="4" customFormat="1" ht="12.75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7" s="4" customFormat="1" ht="12.7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7" s="4" customFormat="1" ht="12.75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4:15" s="4" customFormat="1" ht="12.75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4:15" s="4" customFormat="1" ht="12.75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4:15" s="4" customFormat="1" ht="12.75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4:15" s="4" customFormat="1" ht="12.75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4:15" s="4" customFormat="1" ht="12.75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4:15" s="4" customFormat="1" ht="12.75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4:15" s="4" customFormat="1" ht="12.75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4:15" s="4" customFormat="1" ht="12.75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4:15" s="4" customFormat="1" ht="12.75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4:15" s="4" customFormat="1" ht="12.75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4:15" s="4" customFormat="1" ht="12.75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4:15" s="4" customFormat="1" ht="12.75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4:15" s="4" customFormat="1" ht="12.75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4:15" s="4" customFormat="1" ht="12.75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4:15" s="4" customFormat="1" ht="12.75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4:15" s="4" customFormat="1" ht="12.75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4:15" s="4" customFormat="1" ht="12.75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4:15" s="4" customFormat="1" ht="12.75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4:15" s="4" customFormat="1" ht="12.75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4:15" s="4" customFormat="1" ht="12.7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4:15" s="4" customFormat="1" ht="12.7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4:15" s="4" customFormat="1" ht="12.75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4:15" s="4" customFormat="1" ht="12.75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4:15" s="4" customFormat="1" ht="12.75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4:15" s="4" customFormat="1" ht="12.75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4:15" s="4" customFormat="1" ht="12.75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4:15" s="4" customFormat="1" ht="12.75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4:15" s="4" customFormat="1" ht="12.75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4:15" s="4" customFormat="1" ht="12.75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4:15" s="4" customFormat="1" ht="12.75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4:15" s="4" customFormat="1" ht="12.75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4:15" s="4" customFormat="1" ht="12.75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4:15" s="4" customFormat="1" ht="12.75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4:15" s="4" customFormat="1" ht="12.75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4:15" s="4" customFormat="1" ht="12.75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4:15" s="4" customFormat="1" ht="12.75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4:15" s="4" customFormat="1" ht="12.75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4:15" s="4" customFormat="1" ht="12.75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4:15" s="4" customFormat="1" ht="12.75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4:15" s="4" customFormat="1" ht="12.75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4:15" s="4" customFormat="1" ht="12.75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4:15" s="4" customFormat="1" ht="12.75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4:15" s="4" customFormat="1" ht="12.75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4:15" s="4" customFormat="1" ht="12.75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4:15" s="4" customFormat="1" ht="12.75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4:15" s="4" customFormat="1" ht="12.75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4:15" s="4" customFormat="1" ht="12.75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4:15" s="4" customFormat="1" ht="12.75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4:15" s="4" customFormat="1" ht="12.75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4:15" s="4" customFormat="1" ht="12.75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4:15" s="4" customFormat="1" ht="12.75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4:15" s="4" customFormat="1" ht="12.75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4:15" s="4" customFormat="1" ht="12.75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4:15" s="4" customFormat="1" ht="12.75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4:15" s="4" customFormat="1" ht="12.75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4:15" s="4" customFormat="1" ht="12.75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4:15" s="4" customFormat="1" ht="12.75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4:15" s="4" customFormat="1" ht="12.75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4:15" s="4" customFormat="1" ht="12.75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4:15" s="4" customFormat="1" ht="12.75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4:15" s="4" customFormat="1" ht="12.75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4:15" s="4" customFormat="1" ht="12.75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4:15" s="4" customFormat="1" ht="12.75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4:15" s="4" customFormat="1" ht="12.75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4:15" s="4" customFormat="1" ht="12.75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4:15" s="4" customFormat="1" ht="12.75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4:15" s="4" customFormat="1" ht="12.75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4:15" s="4" customFormat="1" ht="12.75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4:15" s="4" customFormat="1" ht="12.75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4:15" s="4" customFormat="1" ht="12.75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4:15" s="4" customFormat="1" ht="12.75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4:15" s="4" customFormat="1" ht="12.75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4:15" s="4" customFormat="1" ht="12.75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4:15" s="4" customFormat="1" ht="12.75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4:15" s="4" customFormat="1" ht="12.75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4:15" s="4" customFormat="1" ht="12.75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4:15" s="4" customFormat="1" ht="12.75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4:15" s="4" customFormat="1" ht="12.75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4:15" s="4" customFormat="1" ht="12.75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4:15" s="4" customFormat="1" ht="12.75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</sheetData>
  <mergeCells count="23">
    <mergeCell ref="A1:O1"/>
    <mergeCell ref="L3:M3"/>
    <mergeCell ref="N3:O3"/>
    <mergeCell ref="H3:I3"/>
    <mergeCell ref="J3:K3"/>
    <mergeCell ref="A3:A4"/>
    <mergeCell ref="E3:E4"/>
    <mergeCell ref="P3:Q3"/>
    <mergeCell ref="P50:Q50"/>
    <mergeCell ref="A50:A51"/>
    <mergeCell ref="N50:O50"/>
    <mergeCell ref="C3:C4"/>
    <mergeCell ref="E50:E51"/>
    <mergeCell ref="F3:G3"/>
    <mergeCell ref="D50:D51"/>
    <mergeCell ref="L50:M50"/>
    <mergeCell ref="C50:C51"/>
    <mergeCell ref="F50:G50"/>
    <mergeCell ref="B3:B4"/>
    <mergeCell ref="J50:K50"/>
    <mergeCell ref="B50:B51"/>
    <mergeCell ref="D3:D4"/>
    <mergeCell ref="H50:I50"/>
  </mergeCells>
  <phoneticPr fontId="9" type="noConversion"/>
  <printOptions horizontalCentered="1"/>
  <pageMargins left="0.55118110236220497" right="0.59055118110236204" top="0.59055118110236204" bottom="0.66929133858267698" header="0.196850393700787" footer="0.39370078740157499"/>
  <pageSetup paperSize="9" scale="80" firstPageNumber="59" orientation="landscape" useFirstPageNumber="1" r:id="rId1"/>
  <headerFooter alignWithMargins="0">
    <oddFooter>&amp;C&amp;P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FF21"/>
  </sheetPr>
  <dimension ref="A1:P121"/>
  <sheetViews>
    <sheetView workbookViewId="0">
      <selection activeCell="P11" sqref="P11:P12"/>
    </sheetView>
  </sheetViews>
  <sheetFormatPr defaultRowHeight="16.5"/>
  <cols>
    <col min="1" max="1" width="5" customWidth="1"/>
    <col min="2" max="2" width="18.21875" customWidth="1"/>
    <col min="3" max="3" width="6.21875" customWidth="1"/>
    <col min="4" max="4" width="7.77734375" customWidth="1"/>
    <col min="5" max="5" width="6.77734375" customWidth="1"/>
    <col min="6" max="6" width="8.21875" customWidth="1"/>
    <col min="7" max="7" width="6.77734375" customWidth="1"/>
    <col min="8" max="8" width="7.88671875" customWidth="1"/>
    <col min="9" max="9" width="6.5546875" customWidth="1"/>
    <col min="10" max="10" width="7.77734375" customWidth="1"/>
    <col min="11" max="11" width="6.5546875" customWidth="1"/>
    <col min="12" max="12" width="7.44140625" customWidth="1"/>
    <col min="13" max="13" width="6.88671875" customWidth="1"/>
    <col min="14" max="14" width="7.77734375" customWidth="1"/>
  </cols>
  <sheetData>
    <row r="1" spans="1:14" ht="26.25" customHeight="1">
      <c r="A1" s="1021" t="s">
        <v>554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1"/>
    </row>
    <row r="2" spans="1:14" ht="15.95" customHeight="1">
      <c r="A2" s="129" t="s">
        <v>113</v>
      </c>
      <c r="B2" s="1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5.95" customHeight="1">
      <c r="A3" s="129" t="s">
        <v>555</v>
      </c>
      <c r="B3" s="17"/>
      <c r="C3" s="246" t="s">
        <v>556</v>
      </c>
      <c r="D3" s="280"/>
      <c r="E3" s="159"/>
      <c r="F3" s="160"/>
      <c r="G3" s="159"/>
      <c r="H3" s="160"/>
      <c r="I3" s="159"/>
      <c r="J3" s="160"/>
      <c r="K3" s="159"/>
      <c r="L3" s="160"/>
      <c r="M3" s="159"/>
      <c r="N3" s="160"/>
    </row>
    <row r="4" spans="1:14" ht="15.95" customHeight="1">
      <c r="A4" s="129"/>
      <c r="B4" s="164"/>
      <c r="C4" s="157"/>
      <c r="D4" s="280"/>
      <c r="E4" s="159"/>
      <c r="F4" s="160"/>
      <c r="G4" s="159"/>
      <c r="H4" s="160"/>
      <c r="I4" s="159"/>
      <c r="J4" s="160"/>
      <c r="K4" s="159"/>
      <c r="L4" s="160"/>
      <c r="M4" s="159"/>
      <c r="N4" s="160"/>
    </row>
    <row r="5" spans="1:14" ht="15.95" customHeight="1">
      <c r="A5" s="227" t="s">
        <v>268</v>
      </c>
      <c r="B5" s="246"/>
      <c r="C5" s="157"/>
      <c r="D5" s="280"/>
      <c r="E5" s="159"/>
      <c r="F5" s="160"/>
      <c r="G5" s="159"/>
      <c r="H5" s="160"/>
      <c r="I5" s="159"/>
      <c r="J5" s="160"/>
      <c r="K5" s="159"/>
      <c r="L5" s="160"/>
      <c r="M5" s="1022" t="s">
        <v>350</v>
      </c>
      <c r="N5" s="1022"/>
    </row>
    <row r="6" spans="1:14" ht="15.95" customHeight="1">
      <c r="A6" s="129"/>
      <c r="B6" s="246"/>
      <c r="C6" s="157"/>
      <c r="D6" s="280"/>
      <c r="E6" s="159"/>
      <c r="F6" s="160"/>
      <c r="G6" s="159"/>
      <c r="H6" s="160"/>
      <c r="I6" s="159"/>
      <c r="J6" s="160"/>
      <c r="K6" s="159"/>
      <c r="L6" s="160"/>
      <c r="M6" s="159"/>
      <c r="N6" s="164"/>
    </row>
    <row r="7" spans="1:14" ht="21" customHeight="1">
      <c r="A7" s="1018" t="s">
        <v>0</v>
      </c>
      <c r="B7" s="1018" t="s">
        <v>351</v>
      </c>
      <c r="C7" s="1018" t="s">
        <v>116</v>
      </c>
      <c r="D7" s="1023" t="s">
        <v>557</v>
      </c>
      <c r="E7" s="1025" t="s">
        <v>41</v>
      </c>
      <c r="F7" s="1026"/>
      <c r="G7" s="1025" t="s">
        <v>42</v>
      </c>
      <c r="H7" s="1026"/>
      <c r="I7" s="1025" t="s">
        <v>43</v>
      </c>
      <c r="J7" s="1026"/>
      <c r="K7" s="1025" t="s">
        <v>44</v>
      </c>
      <c r="L7" s="1026"/>
      <c r="M7" s="1025" t="s">
        <v>45</v>
      </c>
      <c r="N7" s="1026"/>
    </row>
    <row r="8" spans="1:14" ht="30" customHeight="1">
      <c r="A8" s="1019"/>
      <c r="B8" s="1019"/>
      <c r="C8" s="1019"/>
      <c r="D8" s="1024"/>
      <c r="E8" s="247" t="s">
        <v>558</v>
      </c>
      <c r="F8" s="247" t="s">
        <v>512</v>
      </c>
      <c r="G8" s="247" t="s">
        <v>558</v>
      </c>
      <c r="H8" s="247" t="s">
        <v>512</v>
      </c>
      <c r="I8" s="247" t="s">
        <v>558</v>
      </c>
      <c r="J8" s="247" t="s">
        <v>512</v>
      </c>
      <c r="K8" s="247" t="s">
        <v>558</v>
      </c>
      <c r="L8" s="247" t="s">
        <v>512</v>
      </c>
      <c r="M8" s="247" t="s">
        <v>558</v>
      </c>
      <c r="N8" s="247" t="s">
        <v>512</v>
      </c>
    </row>
    <row r="9" spans="1:14" s="44" customFormat="1" ht="19.899999999999999" customHeight="1">
      <c r="A9" s="282">
        <v>1</v>
      </c>
      <c r="B9" s="283" t="s">
        <v>354</v>
      </c>
      <c r="C9" s="282" t="s">
        <v>362</v>
      </c>
      <c r="D9" s="789"/>
      <c r="E9" s="790"/>
      <c r="F9" s="791">
        <f>SUM(F10:F10)/100</f>
        <v>5.4390000000000001</v>
      </c>
      <c r="G9" s="791"/>
      <c r="H9" s="791">
        <f>SUM(H10:H10)/100</f>
        <v>6.8376000000000001</v>
      </c>
      <c r="I9" s="791"/>
      <c r="J9" s="791">
        <f>SUM(J10:J10)/100</f>
        <v>8.7024000000000008</v>
      </c>
      <c r="K9" s="791"/>
      <c r="L9" s="791">
        <f>SUM(L10:L10)/100</f>
        <v>10.5672</v>
      </c>
      <c r="M9" s="790"/>
      <c r="N9" s="790"/>
    </row>
    <row r="10" spans="1:14" ht="19.899999999999999" customHeight="1">
      <c r="A10" s="286"/>
      <c r="B10" s="287" t="s">
        <v>152</v>
      </c>
      <c r="C10" s="286" t="s">
        <v>39</v>
      </c>
      <c r="D10" s="307">
        <f>'Gia-DC'!E89</f>
        <v>1554</v>
      </c>
      <c r="E10" s="792">
        <v>0.35</v>
      </c>
      <c r="F10" s="793">
        <f>D10*E10</f>
        <v>543.9</v>
      </c>
      <c r="G10" s="792">
        <v>0.44</v>
      </c>
      <c r="H10" s="793">
        <f>D10*G10</f>
        <v>683.76</v>
      </c>
      <c r="I10" s="792">
        <v>0.56000000000000005</v>
      </c>
      <c r="J10" s="793">
        <f>D10*I10</f>
        <v>870.24000000000012</v>
      </c>
      <c r="K10" s="792">
        <v>0.68</v>
      </c>
      <c r="L10" s="793">
        <f>D10*K10</f>
        <v>1056.72</v>
      </c>
      <c r="M10" s="794"/>
      <c r="N10" s="794"/>
    </row>
    <row r="11" spans="1:14" ht="19.899999999999999" customHeight="1">
      <c r="A11" s="288"/>
      <c r="B11" s="289"/>
      <c r="C11" s="288"/>
      <c r="D11" s="795"/>
      <c r="E11" s="796"/>
      <c r="F11" s="797"/>
      <c r="G11" s="796"/>
      <c r="H11" s="797"/>
      <c r="I11" s="796"/>
      <c r="J11" s="797"/>
      <c r="K11" s="796"/>
      <c r="L11" s="797"/>
      <c r="M11" s="797"/>
      <c r="N11" s="797"/>
    </row>
    <row r="12" spans="1:14" s="44" customFormat="1" ht="19.899999999999999" customHeight="1">
      <c r="A12" s="282">
        <v>2</v>
      </c>
      <c r="B12" s="283" t="s">
        <v>357</v>
      </c>
      <c r="C12" s="282" t="s">
        <v>362</v>
      </c>
      <c r="D12" s="789"/>
      <c r="E12" s="798"/>
      <c r="F12" s="791">
        <f>SUM(F13:F13)/100</f>
        <v>3.1080000000000001</v>
      </c>
      <c r="G12" s="798"/>
      <c r="H12" s="791">
        <f t="shared" ref="H12:N12" si="0">SUM(H13:H13)/100</f>
        <v>3.7295999999999996</v>
      </c>
      <c r="I12" s="798"/>
      <c r="J12" s="791">
        <f t="shared" si="0"/>
        <v>4.9728000000000003</v>
      </c>
      <c r="K12" s="798"/>
      <c r="L12" s="791">
        <f t="shared" si="0"/>
        <v>6.8376000000000001</v>
      </c>
      <c r="M12" s="791"/>
      <c r="N12" s="791">
        <f t="shared" si="0"/>
        <v>8.7024000000000008</v>
      </c>
    </row>
    <row r="13" spans="1:14" ht="19.899999999999999" customHeight="1">
      <c r="A13" s="286"/>
      <c r="B13" s="287" t="s">
        <v>152</v>
      </c>
      <c r="C13" s="286" t="s">
        <v>39</v>
      </c>
      <c r="D13" s="307">
        <f>D10</f>
        <v>1554</v>
      </c>
      <c r="E13" s="792">
        <v>0.2</v>
      </c>
      <c r="F13" s="793">
        <f>D13*E13</f>
        <v>310.8</v>
      </c>
      <c r="G13" s="792">
        <v>0.24</v>
      </c>
      <c r="H13" s="793">
        <f>D13*G13</f>
        <v>372.96</v>
      </c>
      <c r="I13" s="792">
        <v>0.32</v>
      </c>
      <c r="J13" s="793">
        <f>D13*I13</f>
        <v>497.28000000000003</v>
      </c>
      <c r="K13" s="792">
        <v>0.44</v>
      </c>
      <c r="L13" s="793">
        <f>D13*K13</f>
        <v>683.76</v>
      </c>
      <c r="M13" s="792">
        <v>0.56000000000000005</v>
      </c>
      <c r="N13" s="793">
        <f>D13*M13</f>
        <v>870.24000000000012</v>
      </c>
    </row>
    <row r="14" spans="1:14" ht="19.899999999999999" customHeight="1">
      <c r="A14" s="288"/>
      <c r="B14" s="289"/>
      <c r="C14" s="288"/>
      <c r="D14" s="795"/>
      <c r="E14" s="796"/>
      <c r="F14" s="797"/>
      <c r="G14" s="796"/>
      <c r="H14" s="797"/>
      <c r="I14" s="796"/>
      <c r="J14" s="797"/>
      <c r="K14" s="796"/>
      <c r="L14" s="797"/>
      <c r="M14" s="796"/>
      <c r="N14" s="797"/>
    </row>
    <row r="15" spans="1:14" s="44" customFormat="1" ht="19.899999999999999" customHeight="1">
      <c r="A15" s="282">
        <v>3</v>
      </c>
      <c r="B15" s="283" t="s">
        <v>358</v>
      </c>
      <c r="C15" s="282" t="s">
        <v>362</v>
      </c>
      <c r="D15" s="789"/>
      <c r="E15" s="798"/>
      <c r="F15" s="791">
        <f>SUM(F16:F16)/100</f>
        <v>0.9323999999999999</v>
      </c>
      <c r="G15" s="798"/>
      <c r="H15" s="791">
        <f t="shared" ref="H15:N15" si="1">SUM(H16:H16)/100</f>
        <v>0.9323999999999999</v>
      </c>
      <c r="I15" s="798"/>
      <c r="J15" s="791">
        <f t="shared" si="1"/>
        <v>1.3985999999999998</v>
      </c>
      <c r="K15" s="798"/>
      <c r="L15" s="791">
        <f t="shared" si="1"/>
        <v>1.8647999999999998</v>
      </c>
      <c r="M15" s="798"/>
      <c r="N15" s="791">
        <f t="shared" si="1"/>
        <v>2.331</v>
      </c>
    </row>
    <row r="16" spans="1:14" ht="19.899999999999999" customHeight="1">
      <c r="A16" s="286"/>
      <c r="B16" s="287" t="s">
        <v>152</v>
      </c>
      <c r="C16" s="286" t="s">
        <v>39</v>
      </c>
      <c r="D16" s="307">
        <f>D13</f>
        <v>1554</v>
      </c>
      <c r="E16" s="792">
        <v>0.06</v>
      </c>
      <c r="F16" s="793">
        <f>D16*E16</f>
        <v>93.24</v>
      </c>
      <c r="G16" s="792">
        <v>0.06</v>
      </c>
      <c r="H16" s="793">
        <f>D16*G16</f>
        <v>93.24</v>
      </c>
      <c r="I16" s="792">
        <v>0.09</v>
      </c>
      <c r="J16" s="793">
        <f>D16*I16</f>
        <v>139.85999999999999</v>
      </c>
      <c r="K16" s="792">
        <v>0.12</v>
      </c>
      <c r="L16" s="793">
        <f>D16*K16</f>
        <v>186.48</v>
      </c>
      <c r="M16" s="792">
        <v>0.15</v>
      </c>
      <c r="N16" s="793">
        <f>D16*M16</f>
        <v>233.1</v>
      </c>
    </row>
    <row r="17" spans="1:14" ht="19.899999999999999" customHeight="1">
      <c r="A17" s="288"/>
      <c r="B17" s="289"/>
      <c r="C17" s="288"/>
      <c r="D17" s="795"/>
      <c r="E17" s="796"/>
      <c r="F17" s="799"/>
      <c r="G17" s="796"/>
      <c r="H17" s="799"/>
      <c r="I17" s="796"/>
      <c r="J17" s="799"/>
      <c r="K17" s="796"/>
      <c r="L17" s="799"/>
      <c r="M17" s="799"/>
      <c r="N17" s="799"/>
    </row>
    <row r="18" spans="1:14" s="44" customFormat="1" ht="19.899999999999999" customHeight="1">
      <c r="A18" s="282">
        <v>4</v>
      </c>
      <c r="B18" s="283" t="s">
        <v>359</v>
      </c>
      <c r="C18" s="282" t="s">
        <v>362</v>
      </c>
      <c r="D18" s="789"/>
      <c r="E18" s="800"/>
      <c r="F18" s="789">
        <f>SUM(F19:F19)/100</f>
        <v>0.9323999999999999</v>
      </c>
      <c r="G18" s="800"/>
      <c r="H18" s="789">
        <f>SUM(H19:H19)/100</f>
        <v>1.2432000000000001</v>
      </c>
      <c r="I18" s="800"/>
      <c r="J18" s="789">
        <f>SUM(J19:J19)/100</f>
        <v>1.3985999999999998</v>
      </c>
      <c r="K18" s="800"/>
      <c r="L18" s="789">
        <f>SUM(L19:L19)/100</f>
        <v>1.554</v>
      </c>
      <c r="M18" s="789"/>
      <c r="N18" s="789">
        <f>SUM(N19:N19)/100</f>
        <v>1.8647999999999998</v>
      </c>
    </row>
    <row r="19" spans="1:14" ht="19.899999999999999" customHeight="1">
      <c r="A19" s="286"/>
      <c r="B19" s="287" t="s">
        <v>152</v>
      </c>
      <c r="C19" s="286" t="s">
        <v>39</v>
      </c>
      <c r="D19" s="307">
        <f>D16</f>
        <v>1554</v>
      </c>
      <c r="E19" s="792">
        <v>0.06</v>
      </c>
      <c r="F19" s="793">
        <f>D19*E19</f>
        <v>93.24</v>
      </c>
      <c r="G19" s="792">
        <v>0.08</v>
      </c>
      <c r="H19" s="793">
        <f>D19*G19</f>
        <v>124.32000000000001</v>
      </c>
      <c r="I19" s="792">
        <v>0.09</v>
      </c>
      <c r="J19" s="793">
        <f>D19*I19</f>
        <v>139.85999999999999</v>
      </c>
      <c r="K19" s="792">
        <v>0.1</v>
      </c>
      <c r="L19" s="793">
        <f>D19*K19</f>
        <v>155.4</v>
      </c>
      <c r="M19" s="308">
        <v>0.12</v>
      </c>
      <c r="N19" s="793">
        <f>D19*M19</f>
        <v>186.48</v>
      </c>
    </row>
    <row r="20" spans="1:14" ht="19.899999999999999" customHeight="1">
      <c r="A20" s="288"/>
      <c r="B20" s="289"/>
      <c r="C20" s="288"/>
      <c r="D20" s="795"/>
      <c r="E20" s="796"/>
      <c r="F20" s="799"/>
      <c r="G20" s="796"/>
      <c r="H20" s="799"/>
      <c r="I20" s="796"/>
      <c r="J20" s="799"/>
      <c r="K20" s="796"/>
      <c r="L20" s="799"/>
      <c r="M20" s="799"/>
      <c r="N20" s="799"/>
    </row>
    <row r="21" spans="1:14" s="44" customFormat="1" ht="19.899999999999999" customHeight="1">
      <c r="A21" s="282">
        <v>5</v>
      </c>
      <c r="B21" s="283" t="s">
        <v>360</v>
      </c>
      <c r="C21" s="282" t="s">
        <v>362</v>
      </c>
      <c r="D21" s="789"/>
      <c r="E21" s="798"/>
      <c r="F21" s="791">
        <f>SUM(F22:F22)/100</f>
        <v>1.8647999999999998</v>
      </c>
      <c r="G21" s="798"/>
      <c r="H21" s="791">
        <f>SUM(H22:H22)/100</f>
        <v>2.331</v>
      </c>
      <c r="I21" s="798"/>
      <c r="J21" s="791">
        <f>SUM(J22:J22)/100</f>
        <v>2.7971999999999997</v>
      </c>
      <c r="K21" s="798"/>
      <c r="L21" s="791">
        <f>SUM(L22:L22)/100</f>
        <v>3.2633999999999999</v>
      </c>
      <c r="M21" s="801"/>
      <c r="N21" s="801"/>
    </row>
    <row r="22" spans="1:14" ht="19.899999999999999" customHeight="1">
      <c r="A22" s="286"/>
      <c r="B22" s="287" t="s">
        <v>152</v>
      </c>
      <c r="C22" s="286" t="s">
        <v>39</v>
      </c>
      <c r="D22" s="307">
        <f>D19</f>
        <v>1554</v>
      </c>
      <c r="E22" s="792">
        <v>0.12</v>
      </c>
      <c r="F22" s="793">
        <f>D22*E22</f>
        <v>186.48</v>
      </c>
      <c r="G22" s="792">
        <v>0.15</v>
      </c>
      <c r="H22" s="793">
        <f>D22*G22</f>
        <v>233.1</v>
      </c>
      <c r="I22" s="792">
        <v>0.18</v>
      </c>
      <c r="J22" s="793">
        <f>D22*I22</f>
        <v>279.71999999999997</v>
      </c>
      <c r="K22" s="792">
        <v>0.21</v>
      </c>
      <c r="L22" s="793">
        <f>D22*K22</f>
        <v>326.33999999999997</v>
      </c>
      <c r="M22" s="308"/>
      <c r="N22" s="308"/>
    </row>
    <row r="23" spans="1:14" ht="19.899999999999999" customHeight="1">
      <c r="A23" s="288"/>
      <c r="B23" s="289"/>
      <c r="C23" s="288"/>
      <c r="D23" s="795"/>
      <c r="E23" s="796"/>
      <c r="F23" s="799"/>
      <c r="G23" s="796"/>
      <c r="H23" s="799"/>
      <c r="I23" s="799"/>
      <c r="J23" s="799"/>
      <c r="K23" s="799"/>
      <c r="L23" s="799"/>
      <c r="M23" s="799"/>
      <c r="N23" s="799"/>
    </row>
    <row r="24" spans="1:14" s="44" customFormat="1" ht="19.899999999999999" customHeight="1">
      <c r="A24" s="282">
        <v>6</v>
      </c>
      <c r="B24" s="283" t="s">
        <v>487</v>
      </c>
      <c r="C24" s="282" t="s">
        <v>362</v>
      </c>
      <c r="D24" s="789"/>
      <c r="E24" s="798"/>
      <c r="F24" s="791">
        <f>SUM(F25:F25)/100</f>
        <v>2.4864000000000002</v>
      </c>
      <c r="G24" s="798"/>
      <c r="H24" s="791">
        <f>SUM(H25:H25)/100</f>
        <v>3.1080000000000001</v>
      </c>
      <c r="I24" s="798"/>
      <c r="J24" s="791">
        <f>SUM(J25:J25)/100</f>
        <v>3.5742000000000003</v>
      </c>
      <c r="K24" s="798"/>
      <c r="L24" s="791">
        <f>SUM(L25:L25)/100</f>
        <v>4.1958000000000002</v>
      </c>
      <c r="M24" s="801"/>
      <c r="N24" s="801"/>
    </row>
    <row r="25" spans="1:14" ht="19.899999999999999" customHeight="1">
      <c r="A25" s="286"/>
      <c r="B25" s="287" t="s">
        <v>152</v>
      </c>
      <c r="C25" s="286" t="s">
        <v>39</v>
      </c>
      <c r="D25" s="307">
        <f>D22</f>
        <v>1554</v>
      </c>
      <c r="E25" s="792">
        <v>0.16</v>
      </c>
      <c r="F25" s="793">
        <f>D25*E25</f>
        <v>248.64000000000001</v>
      </c>
      <c r="G25" s="792">
        <v>0.2</v>
      </c>
      <c r="H25" s="793">
        <f>D25*G25</f>
        <v>310.8</v>
      </c>
      <c r="I25" s="792">
        <v>0.23</v>
      </c>
      <c r="J25" s="793">
        <f>D25*I25</f>
        <v>357.42</v>
      </c>
      <c r="K25" s="792">
        <v>0.27</v>
      </c>
      <c r="L25" s="793">
        <f>D25*K25</f>
        <v>419.58000000000004</v>
      </c>
      <c r="M25" s="308"/>
      <c r="N25" s="308"/>
    </row>
    <row r="26" spans="1:14" ht="19.899999999999999" customHeight="1">
      <c r="A26" s="288"/>
      <c r="B26" s="289"/>
      <c r="C26" s="288"/>
      <c r="D26" s="795"/>
      <c r="E26" s="796"/>
      <c r="F26" s="799"/>
      <c r="G26" s="796"/>
      <c r="H26" s="799"/>
      <c r="I26" s="799"/>
      <c r="J26" s="799"/>
      <c r="K26" s="799"/>
      <c r="L26" s="799"/>
      <c r="M26" s="799"/>
      <c r="N26" s="799"/>
    </row>
    <row r="27" spans="1:14" ht="15" customHeight="1">
      <c r="A27" s="45"/>
      <c r="B27" s="46"/>
      <c r="C27" s="45"/>
      <c r="D27" s="802"/>
      <c r="E27" s="803"/>
      <c r="F27" s="803"/>
      <c r="G27" s="803"/>
      <c r="H27" s="803"/>
      <c r="I27" s="803"/>
      <c r="J27" s="803"/>
      <c r="K27" s="803"/>
      <c r="L27" s="803"/>
      <c r="M27" s="803"/>
      <c r="N27" s="803"/>
    </row>
    <row r="28" spans="1:14" ht="15" customHeight="1">
      <c r="A28" s="45"/>
      <c r="B28" s="46"/>
      <c r="C28" s="45"/>
      <c r="D28" s="37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4.9" customHeight="1">
      <c r="A29" s="227" t="s">
        <v>279</v>
      </c>
      <c r="B29" s="246"/>
      <c r="C29" s="157"/>
      <c r="D29" s="280"/>
      <c r="E29" s="159"/>
      <c r="F29" s="160"/>
      <c r="G29" s="159"/>
      <c r="H29" s="160"/>
      <c r="I29" s="159"/>
      <c r="J29" s="160"/>
      <c r="K29" s="159"/>
      <c r="L29" s="160"/>
      <c r="M29" s="1022" t="s">
        <v>350</v>
      </c>
      <c r="N29" s="1022"/>
    </row>
    <row r="30" spans="1:14">
      <c r="A30" s="40"/>
      <c r="B30" s="804"/>
      <c r="C30" s="6"/>
      <c r="D30" s="37"/>
      <c r="E30" s="3"/>
      <c r="F30" s="38"/>
      <c r="G30" s="3"/>
      <c r="H30" s="38"/>
      <c r="I30" s="3"/>
      <c r="J30" s="38"/>
      <c r="K30" s="3"/>
      <c r="L30" s="38"/>
      <c r="M30" s="3"/>
    </row>
    <row r="31" spans="1:14" ht="22.5" customHeight="1">
      <c r="A31" s="1018" t="s">
        <v>0</v>
      </c>
      <c r="B31" s="1018" t="s">
        <v>351</v>
      </c>
      <c r="C31" s="1018" t="s">
        <v>116</v>
      </c>
      <c r="D31" s="1023" t="s">
        <v>557</v>
      </c>
      <c r="E31" s="1025" t="s">
        <v>41</v>
      </c>
      <c r="F31" s="1026"/>
      <c r="G31" s="1025" t="s">
        <v>42</v>
      </c>
      <c r="H31" s="1026"/>
      <c r="I31" s="1025" t="s">
        <v>43</v>
      </c>
      <c r="J31" s="1026"/>
      <c r="K31" s="1025" t="s">
        <v>44</v>
      </c>
      <c r="L31" s="1026"/>
      <c r="M31" s="1025" t="s">
        <v>45</v>
      </c>
      <c r="N31" s="1026"/>
    </row>
    <row r="32" spans="1:14" ht="37.5" customHeight="1">
      <c r="A32" s="1019"/>
      <c r="B32" s="1019"/>
      <c r="C32" s="1019"/>
      <c r="D32" s="1024"/>
      <c r="E32" s="247" t="s">
        <v>558</v>
      </c>
      <c r="F32" s="247" t="s">
        <v>512</v>
      </c>
      <c r="G32" s="247" t="s">
        <v>558</v>
      </c>
      <c r="H32" s="247" t="s">
        <v>512</v>
      </c>
      <c r="I32" s="247" t="s">
        <v>558</v>
      </c>
      <c r="J32" s="247" t="s">
        <v>512</v>
      </c>
      <c r="K32" s="247" t="s">
        <v>558</v>
      </c>
      <c r="L32" s="247" t="s">
        <v>512</v>
      </c>
      <c r="M32" s="247" t="s">
        <v>558</v>
      </c>
      <c r="N32" s="247" t="s">
        <v>512</v>
      </c>
    </row>
    <row r="33" spans="1:14" ht="23.45" customHeight="1">
      <c r="A33" s="282">
        <v>1</v>
      </c>
      <c r="B33" s="283" t="s">
        <v>354</v>
      </c>
      <c r="C33" s="282" t="s">
        <v>362</v>
      </c>
      <c r="D33" s="789"/>
      <c r="E33" s="790"/>
      <c r="F33" s="791">
        <f>SUM(F34:F34)/100</f>
        <v>54.39</v>
      </c>
      <c r="G33" s="791"/>
      <c r="H33" s="791">
        <f>SUM(H34:H34)/100</f>
        <v>68.376000000000005</v>
      </c>
      <c r="I33" s="791"/>
      <c r="J33" s="791">
        <f>SUM(J34:J34)/100</f>
        <v>91.686000000000007</v>
      </c>
      <c r="K33" s="791"/>
      <c r="L33" s="791">
        <f>SUM(L34:L34)/100</f>
        <v>108.78</v>
      </c>
      <c r="M33" s="790"/>
      <c r="N33" s="790"/>
    </row>
    <row r="34" spans="1:14" ht="23.45" customHeight="1">
      <c r="A34" s="286"/>
      <c r="B34" s="287" t="s">
        <v>152</v>
      </c>
      <c r="C34" s="286" t="s">
        <v>39</v>
      </c>
      <c r="D34" s="307">
        <v>1554</v>
      </c>
      <c r="E34" s="792">
        <v>3.5</v>
      </c>
      <c r="F34" s="793">
        <f>D34*E34</f>
        <v>5439</v>
      </c>
      <c r="G34" s="792">
        <v>4.4000000000000004</v>
      </c>
      <c r="H34" s="793">
        <f>D34*G34</f>
        <v>6837.6</v>
      </c>
      <c r="I34" s="792">
        <v>5.9</v>
      </c>
      <c r="J34" s="793">
        <f>D34*I34</f>
        <v>9168.6</v>
      </c>
      <c r="K34" s="792">
        <v>7</v>
      </c>
      <c r="L34" s="793">
        <f>D34*K34</f>
        <v>10878</v>
      </c>
      <c r="M34" s="794"/>
      <c r="N34" s="794"/>
    </row>
    <row r="35" spans="1:14" ht="23.45" customHeight="1">
      <c r="A35" s="288"/>
      <c r="B35" s="289"/>
      <c r="C35" s="288"/>
      <c r="D35" s="795"/>
      <c r="E35" s="796"/>
      <c r="F35" s="797"/>
      <c r="G35" s="796"/>
      <c r="H35" s="797"/>
      <c r="I35" s="796"/>
      <c r="J35" s="797"/>
      <c r="K35" s="796"/>
      <c r="L35" s="797"/>
      <c r="M35" s="797"/>
      <c r="N35" s="797"/>
    </row>
    <row r="36" spans="1:14" ht="23.45" customHeight="1">
      <c r="A36" s="282">
        <v>2</v>
      </c>
      <c r="B36" s="283" t="s">
        <v>357</v>
      </c>
      <c r="C36" s="282" t="s">
        <v>362</v>
      </c>
      <c r="D36" s="789"/>
      <c r="E36" s="798"/>
      <c r="F36" s="791">
        <f>SUM(F37:F37)/100</f>
        <v>38.85</v>
      </c>
      <c r="G36" s="798"/>
      <c r="H36" s="791">
        <f t="shared" ref="H36:N36" si="2">SUM(H37:H37)/100</f>
        <v>48.174000000000007</v>
      </c>
      <c r="I36" s="798"/>
      <c r="J36" s="791">
        <f t="shared" si="2"/>
        <v>63.713999999999999</v>
      </c>
      <c r="K36" s="798"/>
      <c r="L36" s="791">
        <f t="shared" si="2"/>
        <v>85.47</v>
      </c>
      <c r="M36" s="791"/>
      <c r="N36" s="791">
        <f t="shared" si="2"/>
        <v>107.226</v>
      </c>
    </row>
    <row r="37" spans="1:14" ht="23.45" customHeight="1">
      <c r="A37" s="286"/>
      <c r="B37" s="287" t="s">
        <v>152</v>
      </c>
      <c r="C37" s="286" t="s">
        <v>39</v>
      </c>
      <c r="D37" s="307">
        <f>D34</f>
        <v>1554</v>
      </c>
      <c r="E37" s="792">
        <v>2.5</v>
      </c>
      <c r="F37" s="793">
        <f>D37*E37</f>
        <v>3885</v>
      </c>
      <c r="G37" s="792">
        <v>3.1</v>
      </c>
      <c r="H37" s="793">
        <f>D37*G37</f>
        <v>4817.4000000000005</v>
      </c>
      <c r="I37" s="792">
        <v>4.0999999999999996</v>
      </c>
      <c r="J37" s="793">
        <f>D37*I37</f>
        <v>6371.4</v>
      </c>
      <c r="K37" s="792">
        <v>5.5</v>
      </c>
      <c r="L37" s="793">
        <f>D37*K37</f>
        <v>8547</v>
      </c>
      <c r="M37" s="792">
        <v>6.9</v>
      </c>
      <c r="N37" s="793">
        <f>D37*M37</f>
        <v>10722.6</v>
      </c>
    </row>
    <row r="38" spans="1:14" ht="23.45" customHeight="1">
      <c r="A38" s="288"/>
      <c r="B38" s="289"/>
      <c r="C38" s="288"/>
      <c r="D38" s="795"/>
      <c r="E38" s="796"/>
      <c r="F38" s="797"/>
      <c r="G38" s="796"/>
      <c r="H38" s="797"/>
      <c r="I38" s="796"/>
      <c r="J38" s="797"/>
      <c r="K38" s="796"/>
      <c r="L38" s="797"/>
      <c r="M38" s="796"/>
      <c r="N38" s="797"/>
    </row>
    <row r="39" spans="1:14" ht="23.45" customHeight="1">
      <c r="A39" s="282">
        <v>3</v>
      </c>
      <c r="B39" s="283" t="s">
        <v>358</v>
      </c>
      <c r="C39" s="282" t="s">
        <v>362</v>
      </c>
      <c r="D39" s="789"/>
      <c r="E39" s="798"/>
      <c r="F39" s="791">
        <f>SUM(F40:F40)/100</f>
        <v>14.763</v>
      </c>
      <c r="G39" s="798"/>
      <c r="H39" s="791">
        <f t="shared" ref="H39:N39" si="3">SUM(H40:H40)/100</f>
        <v>18.9588</v>
      </c>
      <c r="I39" s="798"/>
      <c r="J39" s="791">
        <f t="shared" si="3"/>
        <v>25.174800000000001</v>
      </c>
      <c r="K39" s="798"/>
      <c r="L39" s="791">
        <f t="shared" si="3"/>
        <v>33.566400000000002</v>
      </c>
      <c r="M39" s="798"/>
      <c r="N39" s="791">
        <f t="shared" si="3"/>
        <v>44.133599999999994</v>
      </c>
    </row>
    <row r="40" spans="1:14" ht="23.45" customHeight="1">
      <c r="A40" s="286"/>
      <c r="B40" s="287" t="s">
        <v>152</v>
      </c>
      <c r="C40" s="286" t="s">
        <v>39</v>
      </c>
      <c r="D40" s="307">
        <f>D37</f>
        <v>1554</v>
      </c>
      <c r="E40" s="792">
        <v>0.95</v>
      </c>
      <c r="F40" s="793">
        <f>D40*E40</f>
        <v>1476.3</v>
      </c>
      <c r="G40" s="792">
        <v>1.22</v>
      </c>
      <c r="H40" s="793">
        <f>D40*G40</f>
        <v>1895.8799999999999</v>
      </c>
      <c r="I40" s="792">
        <v>1.62</v>
      </c>
      <c r="J40" s="793">
        <f>D40*I40</f>
        <v>2517.48</v>
      </c>
      <c r="K40" s="792">
        <v>2.16</v>
      </c>
      <c r="L40" s="793">
        <f>D40*K40</f>
        <v>3356.6400000000003</v>
      </c>
      <c r="M40" s="792">
        <v>2.84</v>
      </c>
      <c r="N40" s="793">
        <f>D40*M40</f>
        <v>4413.3599999999997</v>
      </c>
    </row>
    <row r="41" spans="1:14" ht="23.45" customHeight="1">
      <c r="A41" s="288"/>
      <c r="B41" s="289"/>
      <c r="C41" s="288"/>
      <c r="D41" s="795"/>
      <c r="E41" s="796"/>
      <c r="F41" s="799"/>
      <c r="G41" s="796"/>
      <c r="H41" s="799"/>
      <c r="I41" s="796"/>
      <c r="J41" s="799"/>
      <c r="K41" s="796"/>
      <c r="L41" s="799"/>
      <c r="M41" s="799"/>
      <c r="N41" s="799"/>
    </row>
    <row r="42" spans="1:14" ht="23.45" customHeight="1">
      <c r="A42" s="282">
        <v>4</v>
      </c>
      <c r="B42" s="283" t="s">
        <v>359</v>
      </c>
      <c r="C42" s="282" t="s">
        <v>362</v>
      </c>
      <c r="D42" s="789"/>
      <c r="E42" s="800"/>
      <c r="F42" s="789">
        <f>SUM(F43:F43)/100</f>
        <v>16.783200000000001</v>
      </c>
      <c r="G42" s="800"/>
      <c r="H42" s="789">
        <f>SUM(H43:H43)/100</f>
        <v>20.978999999999999</v>
      </c>
      <c r="I42" s="800"/>
      <c r="J42" s="789">
        <f>SUM(J43:J43)/100</f>
        <v>27.3504</v>
      </c>
      <c r="K42" s="800"/>
      <c r="L42" s="789">
        <f>SUM(L43:L43)/100</f>
        <v>33.566400000000002</v>
      </c>
      <c r="M42" s="789"/>
      <c r="N42" s="789">
        <f>SUM(N43:N43)/100</f>
        <v>0</v>
      </c>
    </row>
    <row r="43" spans="1:14" ht="23.45" customHeight="1">
      <c r="A43" s="286"/>
      <c r="B43" s="287" t="s">
        <v>152</v>
      </c>
      <c r="C43" s="286" t="s">
        <v>39</v>
      </c>
      <c r="D43" s="307">
        <f>D40</f>
        <v>1554</v>
      </c>
      <c r="E43" s="792">
        <v>1.08</v>
      </c>
      <c r="F43" s="793">
        <f>D43*E43</f>
        <v>1678.3200000000002</v>
      </c>
      <c r="G43" s="792">
        <v>1.35</v>
      </c>
      <c r="H43" s="793">
        <f>D43*G43</f>
        <v>2097.9</v>
      </c>
      <c r="I43" s="792">
        <v>1.76</v>
      </c>
      <c r="J43" s="793">
        <f>D43*I43</f>
        <v>2735.04</v>
      </c>
      <c r="K43" s="792">
        <v>2.16</v>
      </c>
      <c r="L43" s="793">
        <f>D43*K43</f>
        <v>3356.6400000000003</v>
      </c>
      <c r="M43" s="308"/>
      <c r="N43" s="793">
        <f>D43*M43</f>
        <v>0</v>
      </c>
    </row>
    <row r="44" spans="1:14" ht="23.45" customHeight="1">
      <c r="A44" s="288"/>
      <c r="B44" s="289"/>
      <c r="C44" s="288"/>
      <c r="D44" s="795"/>
      <c r="E44" s="796"/>
      <c r="F44" s="799"/>
      <c r="G44" s="796"/>
      <c r="H44" s="799"/>
      <c r="I44" s="796"/>
      <c r="J44" s="799"/>
      <c r="K44" s="796"/>
      <c r="L44" s="799"/>
      <c r="M44" s="799"/>
      <c r="N44" s="799"/>
    </row>
    <row r="45" spans="1:14" ht="23.45" customHeight="1">
      <c r="A45" s="282">
        <v>5</v>
      </c>
      <c r="B45" s="283" t="s">
        <v>360</v>
      </c>
      <c r="C45" s="282" t="s">
        <v>362</v>
      </c>
      <c r="D45" s="789"/>
      <c r="E45" s="798"/>
      <c r="F45" s="791">
        <f>SUM(F46:F46)/100</f>
        <v>23.31</v>
      </c>
      <c r="G45" s="798"/>
      <c r="H45" s="791">
        <f>SUM(H46:H46)/100</f>
        <v>26.417999999999996</v>
      </c>
      <c r="I45" s="798"/>
      <c r="J45" s="791">
        <f>SUM(J46:J46)/100</f>
        <v>35.741999999999997</v>
      </c>
      <c r="K45" s="798"/>
      <c r="L45" s="791">
        <f>SUM(L46:L46)/100</f>
        <v>38.85</v>
      </c>
      <c r="M45" s="801"/>
      <c r="N45" s="801"/>
    </row>
    <row r="46" spans="1:14" ht="23.45" customHeight="1">
      <c r="A46" s="286"/>
      <c r="B46" s="287" t="s">
        <v>152</v>
      </c>
      <c r="C46" s="286" t="s">
        <v>39</v>
      </c>
      <c r="D46" s="307">
        <f>D43</f>
        <v>1554</v>
      </c>
      <c r="E46" s="792">
        <v>1.5</v>
      </c>
      <c r="F46" s="793">
        <f>D46*E46</f>
        <v>2331</v>
      </c>
      <c r="G46" s="792">
        <v>1.7</v>
      </c>
      <c r="H46" s="793">
        <f>D46*G46</f>
        <v>2641.7999999999997</v>
      </c>
      <c r="I46" s="792">
        <v>2.2999999999999998</v>
      </c>
      <c r="J46" s="793">
        <f>D46*I46</f>
        <v>3574.2</v>
      </c>
      <c r="K46" s="792">
        <v>2.5</v>
      </c>
      <c r="L46" s="793">
        <f>D46*K46</f>
        <v>3885</v>
      </c>
      <c r="M46" s="308"/>
      <c r="N46" s="308"/>
    </row>
    <row r="47" spans="1:14" ht="23.45" customHeight="1">
      <c r="A47" s="288"/>
      <c r="B47" s="289"/>
      <c r="C47" s="288"/>
      <c r="D47" s="795"/>
      <c r="E47" s="796"/>
      <c r="F47" s="799"/>
      <c r="G47" s="796"/>
      <c r="H47" s="799"/>
      <c r="I47" s="799"/>
      <c r="J47" s="799"/>
      <c r="K47" s="799"/>
      <c r="L47" s="799"/>
      <c r="M47" s="799"/>
      <c r="N47" s="799"/>
    </row>
    <row r="48" spans="1:14" ht="23.45" customHeight="1">
      <c r="A48" s="282">
        <v>6</v>
      </c>
      <c r="B48" s="283" t="s">
        <v>487</v>
      </c>
      <c r="C48" s="282" t="s">
        <v>362</v>
      </c>
      <c r="D48" s="789"/>
      <c r="E48" s="798"/>
      <c r="F48" s="791">
        <f>SUM(F49:F49)/100</f>
        <v>30.302999999999997</v>
      </c>
      <c r="G48" s="798"/>
      <c r="H48" s="791">
        <f>SUM(H49:H49)/100</f>
        <v>34.343400000000003</v>
      </c>
      <c r="I48" s="798"/>
      <c r="J48" s="791">
        <f>SUM(J49:J49)/100</f>
        <v>46.464599999999997</v>
      </c>
      <c r="K48" s="798"/>
      <c r="L48" s="791">
        <f>SUM(L49:L49)/100</f>
        <v>50.505000000000003</v>
      </c>
      <c r="M48" s="801"/>
      <c r="N48" s="801"/>
    </row>
    <row r="49" spans="1:14" ht="23.45" customHeight="1">
      <c r="A49" s="286"/>
      <c r="B49" s="287" t="s">
        <v>152</v>
      </c>
      <c r="C49" s="286" t="s">
        <v>39</v>
      </c>
      <c r="D49" s="307">
        <f>D46</f>
        <v>1554</v>
      </c>
      <c r="E49" s="792">
        <v>1.95</v>
      </c>
      <c r="F49" s="793">
        <f>D49*E49</f>
        <v>3030.2999999999997</v>
      </c>
      <c r="G49" s="792">
        <v>2.21</v>
      </c>
      <c r="H49" s="793">
        <f>D49*G49</f>
        <v>3434.34</v>
      </c>
      <c r="I49" s="792">
        <v>2.99</v>
      </c>
      <c r="J49" s="793">
        <f>D49*I49</f>
        <v>4646.46</v>
      </c>
      <c r="K49" s="792">
        <v>3.25</v>
      </c>
      <c r="L49" s="793">
        <f>D49*K49</f>
        <v>5050.5</v>
      </c>
      <c r="M49" s="308"/>
      <c r="N49" s="308"/>
    </row>
    <row r="50" spans="1:14" ht="23.45" customHeight="1">
      <c r="A50" s="288"/>
      <c r="B50" s="289"/>
      <c r="C50" s="288"/>
      <c r="D50" s="795"/>
      <c r="E50" s="796"/>
      <c r="F50" s="799"/>
      <c r="G50" s="796"/>
      <c r="H50" s="799"/>
      <c r="I50" s="799"/>
      <c r="J50" s="799"/>
      <c r="K50" s="799"/>
      <c r="L50" s="799"/>
      <c r="M50" s="799"/>
      <c r="N50" s="799"/>
    </row>
    <row r="51" spans="1:14" ht="17.4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20.45" customHeight="1">
      <c r="A52" s="129" t="s">
        <v>302</v>
      </c>
      <c r="B52" s="304"/>
      <c r="C52" s="305"/>
      <c r="D52" s="280"/>
      <c r="E52" s="157"/>
      <c r="F52" s="157"/>
      <c r="G52" s="157"/>
      <c r="H52" s="157"/>
      <c r="I52" s="157"/>
      <c r="J52" s="157"/>
      <c r="K52" s="157"/>
      <c r="L52" s="157"/>
      <c r="M52" s="157"/>
      <c r="N52" s="157"/>
    </row>
    <row r="53" spans="1:14" ht="21" customHeight="1">
      <c r="A53" s="227" t="s">
        <v>303</v>
      </c>
      <c r="B53" s="246"/>
      <c r="C53" s="157"/>
      <c r="D53" s="280"/>
      <c r="E53" s="159"/>
      <c r="F53" s="160"/>
      <c r="G53" s="159"/>
      <c r="H53" s="160"/>
      <c r="I53" s="159"/>
      <c r="J53" s="160"/>
      <c r="K53" s="159"/>
      <c r="L53" s="160"/>
      <c r="M53" s="159"/>
      <c r="N53" s="164"/>
    </row>
    <row r="54" spans="1:14" ht="16.5" hidden="1" customHeight="1">
      <c r="A54" s="227"/>
      <c r="B54" s="246"/>
      <c r="C54" s="157"/>
      <c r="D54" s="280"/>
      <c r="E54" s="159"/>
      <c r="F54" s="160"/>
      <c r="G54" s="159"/>
      <c r="H54" s="160"/>
      <c r="I54" s="159"/>
      <c r="J54" s="160"/>
      <c r="K54" s="159"/>
      <c r="L54" s="160"/>
      <c r="M54" s="159"/>
      <c r="N54" s="281"/>
    </row>
    <row r="55" spans="1:14" ht="23.25" customHeight="1">
      <c r="A55" s="227" t="s">
        <v>483</v>
      </c>
      <c r="B55" s="246"/>
      <c r="C55" s="157"/>
      <c r="D55" s="280"/>
      <c r="E55" s="159"/>
      <c r="F55" s="160"/>
      <c r="G55" s="159"/>
      <c r="H55" s="160"/>
      <c r="I55" s="159"/>
      <c r="J55" s="160"/>
      <c r="K55" s="159"/>
      <c r="L55" s="160"/>
      <c r="M55" s="1022" t="s">
        <v>350</v>
      </c>
      <c r="N55" s="1022"/>
    </row>
    <row r="56" spans="1:14">
      <c r="A56" s="40"/>
      <c r="B56" s="804"/>
      <c r="C56" s="6"/>
      <c r="D56" s="37"/>
      <c r="E56" s="3"/>
      <c r="F56" s="38"/>
      <c r="G56" s="3"/>
      <c r="H56" s="38"/>
      <c r="I56" s="3"/>
      <c r="J56" s="38"/>
      <c r="K56" s="3"/>
      <c r="L56" s="38"/>
      <c r="M56" s="3"/>
    </row>
    <row r="57" spans="1:14" ht="17.45" customHeight="1">
      <c r="A57" s="1018" t="s">
        <v>0</v>
      </c>
      <c r="B57" s="1018" t="s">
        <v>351</v>
      </c>
      <c r="C57" s="1018" t="s">
        <v>116</v>
      </c>
      <c r="D57" s="1023" t="s">
        <v>557</v>
      </c>
      <c r="E57" s="1025" t="s">
        <v>41</v>
      </c>
      <c r="F57" s="1026"/>
      <c r="G57" s="1025" t="s">
        <v>42</v>
      </c>
      <c r="H57" s="1026"/>
      <c r="I57" s="1025" t="s">
        <v>43</v>
      </c>
      <c r="J57" s="1026"/>
      <c r="K57" s="1025" t="s">
        <v>44</v>
      </c>
      <c r="L57" s="1026"/>
      <c r="M57" s="1025" t="s">
        <v>45</v>
      </c>
      <c r="N57" s="1026"/>
    </row>
    <row r="58" spans="1:14" ht="34.15" customHeight="1">
      <c r="A58" s="1019"/>
      <c r="B58" s="1019"/>
      <c r="C58" s="1019"/>
      <c r="D58" s="1024"/>
      <c r="E58" s="247" t="s">
        <v>558</v>
      </c>
      <c r="F58" s="247" t="s">
        <v>512</v>
      </c>
      <c r="G58" s="247" t="s">
        <v>558</v>
      </c>
      <c r="H58" s="247" t="s">
        <v>512</v>
      </c>
      <c r="I58" s="247" t="s">
        <v>558</v>
      </c>
      <c r="J58" s="247" t="s">
        <v>512</v>
      </c>
      <c r="K58" s="247" t="s">
        <v>558</v>
      </c>
      <c r="L58" s="247" t="s">
        <v>512</v>
      </c>
      <c r="M58" s="247" t="s">
        <v>558</v>
      </c>
      <c r="N58" s="247" t="s">
        <v>512</v>
      </c>
    </row>
    <row r="59" spans="1:14" ht="20.45" customHeight="1">
      <c r="A59" s="282">
        <v>1</v>
      </c>
      <c r="B59" s="283" t="s">
        <v>354</v>
      </c>
      <c r="C59" s="282" t="s">
        <v>362</v>
      </c>
      <c r="D59" s="789"/>
      <c r="E59" s="790"/>
      <c r="F59" s="791">
        <f>SUM(F60:F60)/100</f>
        <v>446.30879999999996</v>
      </c>
      <c r="G59" s="801"/>
      <c r="H59" s="791">
        <f>SUM(H60:H60)/100</f>
        <v>502.40820000000002</v>
      </c>
      <c r="I59" s="801"/>
      <c r="J59" s="791">
        <f>SUM(J60:J60)/100</f>
        <v>595.80360000000007</v>
      </c>
      <c r="K59" s="801"/>
      <c r="L59" s="791">
        <f>SUM(L60:L60)/100</f>
        <v>670.55099999999993</v>
      </c>
      <c r="M59" s="801"/>
      <c r="N59" s="790"/>
    </row>
    <row r="60" spans="1:14" ht="20.45" customHeight="1">
      <c r="A60" s="286"/>
      <c r="B60" s="287" t="s">
        <v>152</v>
      </c>
      <c r="C60" s="286" t="s">
        <v>39</v>
      </c>
      <c r="D60" s="307">
        <v>1554</v>
      </c>
      <c r="E60" s="792">
        <v>28.72</v>
      </c>
      <c r="F60" s="793">
        <f>D60*E60</f>
        <v>44630.879999999997</v>
      </c>
      <c r="G60" s="308">
        <v>32.33</v>
      </c>
      <c r="H60" s="793">
        <f>D60*G60</f>
        <v>50240.82</v>
      </c>
      <c r="I60" s="308">
        <v>38.340000000000003</v>
      </c>
      <c r="J60" s="793">
        <f>D60*I60</f>
        <v>59580.360000000008</v>
      </c>
      <c r="K60" s="308">
        <v>43.15</v>
      </c>
      <c r="L60" s="793">
        <f>D60*K60</f>
        <v>67055.099999999991</v>
      </c>
      <c r="M60" s="308"/>
      <c r="N60" s="794"/>
    </row>
    <row r="61" spans="1:14" ht="20.45" customHeight="1">
      <c r="A61" s="288"/>
      <c r="B61" s="289"/>
      <c r="C61" s="288"/>
      <c r="D61" s="795"/>
      <c r="E61" s="796"/>
      <c r="F61" s="797"/>
      <c r="G61" s="799"/>
      <c r="H61" s="797"/>
      <c r="I61" s="799"/>
      <c r="J61" s="797"/>
      <c r="K61" s="799"/>
      <c r="L61" s="797"/>
      <c r="M61" s="799"/>
      <c r="N61" s="797"/>
    </row>
    <row r="62" spans="1:14" ht="20.45" customHeight="1">
      <c r="A62" s="282">
        <v>2</v>
      </c>
      <c r="B62" s="283" t="s">
        <v>357</v>
      </c>
      <c r="C62" s="282" t="s">
        <v>362</v>
      </c>
      <c r="D62" s="789"/>
      <c r="E62" s="798"/>
      <c r="F62" s="791">
        <f>SUM(F63:F63)/100</f>
        <v>340.63679999999999</v>
      </c>
      <c r="G62" s="801"/>
      <c r="H62" s="791">
        <f t="shared" ref="H62:N62" si="4">SUM(H63:H63)/100</f>
        <v>368.60879999999997</v>
      </c>
      <c r="I62" s="801"/>
      <c r="J62" s="791">
        <f t="shared" si="4"/>
        <v>419.89080000000001</v>
      </c>
      <c r="K62" s="801"/>
      <c r="L62" s="791">
        <f t="shared" si="4"/>
        <v>488.42220000000003</v>
      </c>
      <c r="M62" s="801"/>
      <c r="N62" s="791">
        <f t="shared" si="4"/>
        <v>558.35220000000004</v>
      </c>
    </row>
    <row r="63" spans="1:14" ht="20.45" customHeight="1">
      <c r="A63" s="286"/>
      <c r="B63" s="287" t="s">
        <v>152</v>
      </c>
      <c r="C63" s="286" t="s">
        <v>39</v>
      </c>
      <c r="D63" s="307">
        <f>D60</f>
        <v>1554</v>
      </c>
      <c r="E63" s="792">
        <v>21.92</v>
      </c>
      <c r="F63" s="793">
        <f>D63*E63</f>
        <v>34063.68</v>
      </c>
      <c r="G63" s="308">
        <v>23.72</v>
      </c>
      <c r="H63" s="793">
        <f>D63*G63</f>
        <v>36860.879999999997</v>
      </c>
      <c r="I63" s="308">
        <v>27.02</v>
      </c>
      <c r="J63" s="793">
        <f>D63*I63</f>
        <v>41989.08</v>
      </c>
      <c r="K63" s="308">
        <v>31.43</v>
      </c>
      <c r="L63" s="793">
        <f>D63*K63</f>
        <v>48842.22</v>
      </c>
      <c r="M63" s="308">
        <v>35.93</v>
      </c>
      <c r="N63" s="793">
        <f>D63*M63</f>
        <v>55835.22</v>
      </c>
    </row>
    <row r="64" spans="1:14" ht="20.45" customHeight="1">
      <c r="A64" s="288"/>
      <c r="B64" s="289"/>
      <c r="C64" s="288"/>
      <c r="D64" s="795"/>
      <c r="E64" s="796"/>
      <c r="F64" s="797"/>
      <c r="G64" s="799"/>
      <c r="H64" s="797"/>
      <c r="I64" s="799"/>
      <c r="J64" s="797"/>
      <c r="K64" s="799"/>
      <c r="L64" s="797"/>
      <c r="M64" s="799"/>
      <c r="N64" s="797"/>
    </row>
    <row r="65" spans="1:14" ht="20.45" customHeight="1">
      <c r="A65" s="282">
        <v>3</v>
      </c>
      <c r="B65" s="283" t="s">
        <v>358</v>
      </c>
      <c r="C65" s="282" t="s">
        <v>362</v>
      </c>
      <c r="D65" s="789"/>
      <c r="E65" s="798"/>
      <c r="F65" s="791">
        <f>SUM(F66:F66)/100</f>
        <v>261.22739999999999</v>
      </c>
      <c r="G65" s="801"/>
      <c r="H65" s="791">
        <f t="shared" ref="H65:N65" si="5">SUM(H66:H66)/100</f>
        <v>270.5514</v>
      </c>
      <c r="I65" s="801"/>
      <c r="J65" s="791">
        <f t="shared" si="5"/>
        <v>287.80079999999998</v>
      </c>
      <c r="K65" s="801"/>
      <c r="L65" s="791">
        <f t="shared" si="5"/>
        <v>311.11079999999998</v>
      </c>
      <c r="M65" s="801"/>
      <c r="N65" s="791">
        <f t="shared" si="5"/>
        <v>339.23820000000001</v>
      </c>
    </row>
    <row r="66" spans="1:14" ht="20.45" customHeight="1">
      <c r="A66" s="286"/>
      <c r="B66" s="287" t="s">
        <v>152</v>
      </c>
      <c r="C66" s="286" t="s">
        <v>39</v>
      </c>
      <c r="D66" s="307">
        <f>D63</f>
        <v>1554</v>
      </c>
      <c r="E66" s="792">
        <v>16.809999999999999</v>
      </c>
      <c r="F66" s="793">
        <f>D66*E66</f>
        <v>26122.739999999998</v>
      </c>
      <c r="G66" s="308">
        <v>17.41</v>
      </c>
      <c r="H66" s="793">
        <f>D66*G66</f>
        <v>27055.14</v>
      </c>
      <c r="I66" s="308">
        <v>18.52</v>
      </c>
      <c r="J66" s="793">
        <f>D66*I66</f>
        <v>28780.079999999998</v>
      </c>
      <c r="K66" s="308">
        <v>20.02</v>
      </c>
      <c r="L66" s="793">
        <f>D66*K66</f>
        <v>31111.079999999998</v>
      </c>
      <c r="M66" s="308">
        <v>21.83</v>
      </c>
      <c r="N66" s="793">
        <f>D66*M66</f>
        <v>33923.82</v>
      </c>
    </row>
    <row r="67" spans="1:14" ht="20.45" customHeight="1">
      <c r="A67" s="288"/>
      <c r="B67" s="289"/>
      <c r="C67" s="288"/>
      <c r="D67" s="795"/>
      <c r="E67" s="796"/>
      <c r="F67" s="799"/>
      <c r="G67" s="799"/>
      <c r="H67" s="799"/>
      <c r="I67" s="799"/>
      <c r="J67" s="799"/>
      <c r="K67" s="799"/>
      <c r="L67" s="799"/>
      <c r="M67" s="799"/>
      <c r="N67" s="799"/>
    </row>
    <row r="68" spans="1:14" ht="20.45" customHeight="1">
      <c r="A68" s="282">
        <v>4</v>
      </c>
      <c r="B68" s="283" t="s">
        <v>359</v>
      </c>
      <c r="C68" s="282" t="s">
        <v>362</v>
      </c>
      <c r="D68" s="789"/>
      <c r="E68" s="800"/>
      <c r="F68" s="789">
        <f>SUM(F69:F69)/100</f>
        <v>268.99739999999997</v>
      </c>
      <c r="G68" s="805"/>
      <c r="H68" s="789">
        <f>SUM(H69:H69)/100</f>
        <v>286.09140000000002</v>
      </c>
      <c r="I68" s="805"/>
      <c r="J68" s="789">
        <f>SUM(J69:J69)/100</f>
        <v>301.63139999999999</v>
      </c>
      <c r="K68" s="805"/>
      <c r="L68" s="789">
        <f>SUM(L69:L69)/100</f>
        <v>321.98879999999997</v>
      </c>
      <c r="M68" s="789"/>
      <c r="N68" s="789">
        <f>SUM(N69:N69)/100</f>
        <v>340.79220000000004</v>
      </c>
    </row>
    <row r="69" spans="1:14" ht="20.45" customHeight="1">
      <c r="A69" s="286"/>
      <c r="B69" s="287" t="s">
        <v>152</v>
      </c>
      <c r="C69" s="286" t="s">
        <v>39</v>
      </c>
      <c r="D69" s="307">
        <f>D66</f>
        <v>1554</v>
      </c>
      <c r="E69" s="792">
        <v>17.309999999999999</v>
      </c>
      <c r="F69" s="793">
        <f>D69*E69</f>
        <v>26899.739999999998</v>
      </c>
      <c r="G69" s="308">
        <v>18.41</v>
      </c>
      <c r="H69" s="793">
        <f>D69*G69</f>
        <v>28609.14</v>
      </c>
      <c r="I69" s="308">
        <v>19.41</v>
      </c>
      <c r="J69" s="793">
        <f>D69*I69</f>
        <v>30163.14</v>
      </c>
      <c r="K69" s="308">
        <v>20.72</v>
      </c>
      <c r="L69" s="793">
        <f>D69*K69</f>
        <v>32198.879999999997</v>
      </c>
      <c r="M69" s="308">
        <v>21.93</v>
      </c>
      <c r="N69" s="793">
        <f>D69*M69</f>
        <v>34079.22</v>
      </c>
    </row>
    <row r="70" spans="1:14" ht="20.45" customHeight="1">
      <c r="A70" s="288"/>
      <c r="B70" s="289"/>
      <c r="C70" s="288"/>
      <c r="D70" s="795"/>
      <c r="E70" s="796"/>
      <c r="F70" s="799"/>
      <c r="G70" s="799"/>
      <c r="H70" s="799"/>
      <c r="I70" s="799"/>
      <c r="J70" s="799"/>
      <c r="K70" s="799"/>
      <c r="L70" s="799"/>
      <c r="M70" s="799"/>
      <c r="N70" s="799"/>
    </row>
    <row r="71" spans="1:14" ht="20.45" customHeight="1">
      <c r="A71" s="282">
        <v>5</v>
      </c>
      <c r="B71" s="283" t="s">
        <v>360</v>
      </c>
      <c r="C71" s="282" t="s">
        <v>362</v>
      </c>
      <c r="D71" s="789"/>
      <c r="E71" s="798"/>
      <c r="F71" s="791">
        <f>SUM(F72:F72)/100</f>
        <v>323.38739999999996</v>
      </c>
      <c r="G71" s="801"/>
      <c r="H71" s="791">
        <f>SUM(H72:H72)/100</f>
        <v>339.08279999999996</v>
      </c>
      <c r="I71" s="801"/>
      <c r="J71" s="791">
        <f>SUM(J72:J72)/100</f>
        <v>379.48680000000002</v>
      </c>
      <c r="K71" s="801"/>
      <c r="L71" s="791">
        <f>SUM(L72:L72)/100</f>
        <v>395.02679999999998</v>
      </c>
      <c r="M71" s="801"/>
      <c r="N71" s="801"/>
    </row>
    <row r="72" spans="1:14" ht="20.45" customHeight="1">
      <c r="A72" s="286"/>
      <c r="B72" s="287" t="s">
        <v>152</v>
      </c>
      <c r="C72" s="286" t="s">
        <v>39</v>
      </c>
      <c r="D72" s="307">
        <f>D69</f>
        <v>1554</v>
      </c>
      <c r="E72" s="792">
        <v>20.81</v>
      </c>
      <c r="F72" s="793">
        <f>D72*E72</f>
        <v>32338.739999999998</v>
      </c>
      <c r="G72" s="308">
        <v>21.82</v>
      </c>
      <c r="H72" s="793">
        <f>D72*G72</f>
        <v>33908.28</v>
      </c>
      <c r="I72" s="308">
        <v>24.42</v>
      </c>
      <c r="J72" s="793">
        <f>D72*I72</f>
        <v>37948.68</v>
      </c>
      <c r="K72" s="308">
        <v>25.42</v>
      </c>
      <c r="L72" s="793">
        <f>D72*K72</f>
        <v>39502.68</v>
      </c>
      <c r="M72" s="308"/>
      <c r="N72" s="308"/>
    </row>
    <row r="73" spans="1:14" ht="20.45" customHeight="1">
      <c r="A73" s="288"/>
      <c r="B73" s="289"/>
      <c r="C73" s="288"/>
      <c r="D73" s="795"/>
      <c r="E73" s="799"/>
      <c r="F73" s="799"/>
      <c r="G73" s="799"/>
      <c r="H73" s="799"/>
      <c r="I73" s="799"/>
      <c r="J73" s="799"/>
      <c r="K73" s="799"/>
      <c r="L73" s="799"/>
      <c r="M73" s="799"/>
      <c r="N73" s="799"/>
    </row>
    <row r="74" spans="1:14" ht="20.45" customHeight="1">
      <c r="A74" s="282">
        <v>6</v>
      </c>
      <c r="B74" s="283" t="s">
        <v>487</v>
      </c>
      <c r="C74" s="282" t="s">
        <v>362</v>
      </c>
      <c r="D74" s="789"/>
      <c r="E74" s="798"/>
      <c r="F74" s="791">
        <f>SUM(F75:F75)/100</f>
        <v>485.15879999999999</v>
      </c>
      <c r="G74" s="801"/>
      <c r="H74" s="791">
        <f>SUM(H75:H75)/100</f>
        <v>509.24580000000003</v>
      </c>
      <c r="I74" s="801"/>
      <c r="J74" s="791">
        <f>SUM(J75:J75)/100</f>
        <v>569.38559999999995</v>
      </c>
      <c r="K74" s="801"/>
      <c r="L74" s="791">
        <f>SUM(L75:L75)/100</f>
        <v>592.69560000000001</v>
      </c>
      <c r="M74" s="801"/>
      <c r="N74" s="801"/>
    </row>
    <row r="75" spans="1:14" ht="20.45" customHeight="1">
      <c r="A75" s="286"/>
      <c r="B75" s="287" t="s">
        <v>152</v>
      </c>
      <c r="C75" s="286" t="s">
        <v>39</v>
      </c>
      <c r="D75" s="307">
        <f>D72</f>
        <v>1554</v>
      </c>
      <c r="E75" s="792">
        <v>31.22</v>
      </c>
      <c r="F75" s="793">
        <f>D75*E75</f>
        <v>48515.88</v>
      </c>
      <c r="G75" s="308">
        <v>32.770000000000003</v>
      </c>
      <c r="H75" s="793">
        <f>D75*G75</f>
        <v>50924.58</v>
      </c>
      <c r="I75" s="308">
        <v>36.64</v>
      </c>
      <c r="J75" s="793">
        <f>D75*I75</f>
        <v>56938.559999999998</v>
      </c>
      <c r="K75" s="308">
        <v>38.14</v>
      </c>
      <c r="L75" s="793">
        <f>D75*K75</f>
        <v>59269.56</v>
      </c>
      <c r="M75" s="308"/>
      <c r="N75" s="308"/>
    </row>
    <row r="76" spans="1:14" ht="20.45" customHeight="1">
      <c r="A76" s="288"/>
      <c r="B76" s="289"/>
      <c r="C76" s="288"/>
      <c r="D76" s="795"/>
      <c r="E76" s="799"/>
      <c r="F76" s="799"/>
      <c r="G76" s="799"/>
      <c r="H76" s="799"/>
      <c r="I76" s="799"/>
      <c r="J76" s="799"/>
      <c r="K76" s="799"/>
      <c r="L76" s="799"/>
      <c r="M76" s="799"/>
      <c r="N76" s="799"/>
    </row>
    <row r="77" spans="1:14">
      <c r="A77" s="274"/>
      <c r="B77" s="164"/>
      <c r="C77" s="164"/>
    </row>
    <row r="78" spans="1:14">
      <c r="A78" s="456"/>
      <c r="B78" s="164"/>
      <c r="C78" s="164"/>
    </row>
    <row r="79" spans="1:14">
      <c r="A79" s="456"/>
      <c r="B79" s="164"/>
      <c r="C79" s="164"/>
    </row>
    <row r="80" spans="1:14">
      <c r="A80" s="456"/>
      <c r="B80" s="164"/>
      <c r="C80" s="164"/>
    </row>
    <row r="81" spans="1:14" ht="31.15" customHeight="1">
      <c r="A81" s="227" t="s">
        <v>484</v>
      </c>
      <c r="B81" s="246"/>
      <c r="C81" s="157"/>
      <c r="D81" s="280"/>
      <c r="E81" s="159"/>
      <c r="F81" s="160"/>
      <c r="G81" s="159"/>
      <c r="H81" s="160"/>
      <c r="I81" s="159"/>
      <c r="J81" s="160"/>
      <c r="K81" s="159"/>
      <c r="L81" s="160"/>
      <c r="M81" s="1022" t="s">
        <v>350</v>
      </c>
      <c r="N81" s="1022"/>
    </row>
    <row r="82" spans="1:14">
      <c r="A82" s="40"/>
      <c r="B82" s="804"/>
      <c r="C82" s="6"/>
      <c r="D82" s="37"/>
      <c r="E82" s="3"/>
      <c r="F82" s="38"/>
      <c r="G82" s="3"/>
      <c r="H82" s="38"/>
      <c r="I82" s="3"/>
      <c r="J82" s="38"/>
      <c r="K82" s="3"/>
      <c r="L82" s="38"/>
      <c r="M82" s="3"/>
    </row>
    <row r="83" spans="1:14" ht="26.25" customHeight="1">
      <c r="A83" s="1018" t="s">
        <v>0</v>
      </c>
      <c r="B83" s="1018" t="s">
        <v>351</v>
      </c>
      <c r="C83" s="1018" t="s">
        <v>116</v>
      </c>
      <c r="D83" s="1023" t="s">
        <v>557</v>
      </c>
      <c r="E83" s="1025" t="s">
        <v>41</v>
      </c>
      <c r="F83" s="1026"/>
      <c r="G83" s="1025" t="s">
        <v>42</v>
      </c>
      <c r="H83" s="1026"/>
      <c r="I83" s="1025" t="s">
        <v>43</v>
      </c>
      <c r="J83" s="1026"/>
      <c r="K83" s="1025" t="s">
        <v>44</v>
      </c>
      <c r="L83" s="1026"/>
      <c r="M83" s="1025" t="s">
        <v>45</v>
      </c>
      <c r="N83" s="1026"/>
    </row>
    <row r="84" spans="1:14" ht="42" customHeight="1">
      <c r="A84" s="1019"/>
      <c r="B84" s="1019"/>
      <c r="C84" s="1019"/>
      <c r="D84" s="1024"/>
      <c r="E84" s="247" t="s">
        <v>558</v>
      </c>
      <c r="F84" s="247" t="s">
        <v>512</v>
      </c>
      <c r="G84" s="247" t="s">
        <v>558</v>
      </c>
      <c r="H84" s="247" t="s">
        <v>512</v>
      </c>
      <c r="I84" s="247" t="s">
        <v>558</v>
      </c>
      <c r="J84" s="247" t="s">
        <v>512</v>
      </c>
      <c r="K84" s="247" t="s">
        <v>558</v>
      </c>
      <c r="L84" s="247" t="s">
        <v>512</v>
      </c>
      <c r="M84" s="247" t="s">
        <v>558</v>
      </c>
      <c r="N84" s="247" t="s">
        <v>512</v>
      </c>
    </row>
    <row r="85" spans="1:14" ht="27.6" customHeight="1">
      <c r="A85" s="282"/>
      <c r="B85" s="306" t="s">
        <v>489</v>
      </c>
      <c r="C85" s="282"/>
      <c r="D85" s="312"/>
      <c r="E85" s="282"/>
      <c r="F85" s="282"/>
      <c r="G85" s="282"/>
      <c r="H85" s="282"/>
      <c r="I85" s="282"/>
      <c r="J85" s="282"/>
      <c r="K85" s="282"/>
      <c r="L85" s="282"/>
      <c r="M85" s="282"/>
      <c r="N85" s="282"/>
    </row>
    <row r="86" spans="1:14" ht="24" customHeight="1">
      <c r="A86" s="284"/>
      <c r="B86" s="285"/>
      <c r="C86" s="284" t="s">
        <v>362</v>
      </c>
      <c r="D86" s="806"/>
      <c r="E86" s="807"/>
      <c r="F86" s="808">
        <f>SUM(F87:F87)/100</f>
        <v>191.142</v>
      </c>
      <c r="G86" s="809"/>
      <c r="H86" s="808">
        <f>SUM(H87:H87)/100</f>
        <v>191.142</v>
      </c>
      <c r="I86" s="809"/>
      <c r="J86" s="808">
        <f>SUM(J87:J87)/100</f>
        <v>191.142</v>
      </c>
      <c r="K86" s="809"/>
      <c r="L86" s="808">
        <f>SUM(L87:L87)/100</f>
        <v>191.142</v>
      </c>
      <c r="M86" s="809"/>
      <c r="N86" s="808">
        <f>SUM(N87:N87)/100</f>
        <v>191.142</v>
      </c>
    </row>
    <row r="87" spans="1:14" ht="24" customHeight="1">
      <c r="A87" s="286"/>
      <c r="B87" s="287" t="s">
        <v>152</v>
      </c>
      <c r="C87" s="286" t="s">
        <v>39</v>
      </c>
      <c r="D87" s="307">
        <v>1554</v>
      </c>
      <c r="E87" s="792">
        <v>12.3</v>
      </c>
      <c r="F87" s="793">
        <f>D87*E87</f>
        <v>19114.2</v>
      </c>
      <c r="G87" s="308">
        <v>12.3</v>
      </c>
      <c r="H87" s="793">
        <f>D87*G87</f>
        <v>19114.2</v>
      </c>
      <c r="I87" s="308">
        <v>12.3</v>
      </c>
      <c r="J87" s="793">
        <f>D87*I87</f>
        <v>19114.2</v>
      </c>
      <c r="K87" s="308">
        <v>12.3</v>
      </c>
      <c r="L87" s="793">
        <f>D87*K87</f>
        <v>19114.2</v>
      </c>
      <c r="M87" s="308">
        <v>12.3</v>
      </c>
      <c r="N87" s="793">
        <f>D87*M87</f>
        <v>19114.2</v>
      </c>
    </row>
    <row r="88" spans="1:14" ht="21.75" customHeight="1">
      <c r="A88" s="288"/>
      <c r="B88" s="289"/>
      <c r="C88" s="288"/>
      <c r="D88" s="795"/>
      <c r="E88" s="797"/>
      <c r="F88" s="797"/>
      <c r="G88" s="799"/>
      <c r="H88" s="797"/>
      <c r="I88" s="799"/>
      <c r="J88" s="797"/>
      <c r="K88" s="799"/>
      <c r="L88" s="797"/>
      <c r="M88" s="799"/>
      <c r="N88" s="797"/>
    </row>
    <row r="89" spans="1:14" ht="34.15" customHeight="1">
      <c r="A89" s="164"/>
      <c r="C89" s="164"/>
    </row>
    <row r="90" spans="1:14" ht="24.75" customHeight="1">
      <c r="A90" s="227" t="s">
        <v>485</v>
      </c>
      <c r="B90" s="246"/>
      <c r="C90" s="157"/>
      <c r="D90" s="280"/>
      <c r="E90" s="159"/>
      <c r="F90" s="160"/>
      <c r="G90" s="159"/>
      <c r="H90" s="160"/>
      <c r="I90" s="159"/>
      <c r="J90" s="160"/>
      <c r="K90" s="1027" t="s">
        <v>115</v>
      </c>
      <c r="L90" s="1027"/>
      <c r="M90" s="1027"/>
      <c r="N90" s="1027"/>
    </row>
    <row r="91" spans="1:14">
      <c r="A91" s="40"/>
      <c r="B91" s="804"/>
      <c r="C91" s="6"/>
      <c r="D91" s="37"/>
      <c r="E91" s="3"/>
      <c r="F91" s="38"/>
      <c r="G91" s="3"/>
      <c r="H91" s="38"/>
      <c r="I91" s="3"/>
      <c r="J91" s="38"/>
      <c r="K91" s="3"/>
      <c r="L91" s="38"/>
      <c r="M91" s="3"/>
    </row>
    <row r="92" spans="1:14" ht="27.6" customHeight="1">
      <c r="A92" s="1018" t="s">
        <v>0</v>
      </c>
      <c r="B92" s="1018" t="s">
        <v>351</v>
      </c>
      <c r="C92" s="1018" t="s">
        <v>116</v>
      </c>
      <c r="D92" s="1023" t="s">
        <v>557</v>
      </c>
      <c r="E92" s="1025" t="s">
        <v>41</v>
      </c>
      <c r="F92" s="1026"/>
      <c r="G92" s="1025" t="s">
        <v>42</v>
      </c>
      <c r="H92" s="1026"/>
      <c r="I92" s="1025" t="s">
        <v>43</v>
      </c>
      <c r="J92" s="1026"/>
      <c r="K92" s="1025" t="s">
        <v>44</v>
      </c>
      <c r="L92" s="1026"/>
      <c r="M92" s="1025" t="s">
        <v>45</v>
      </c>
      <c r="N92" s="1026"/>
    </row>
    <row r="93" spans="1:14" ht="39" customHeight="1">
      <c r="A93" s="1019"/>
      <c r="B93" s="1019"/>
      <c r="C93" s="1019"/>
      <c r="D93" s="1024"/>
      <c r="E93" s="247" t="s">
        <v>558</v>
      </c>
      <c r="F93" s="247" t="s">
        <v>512</v>
      </c>
      <c r="G93" s="247" t="s">
        <v>558</v>
      </c>
      <c r="H93" s="247" t="s">
        <v>512</v>
      </c>
      <c r="I93" s="247" t="s">
        <v>558</v>
      </c>
      <c r="J93" s="247" t="s">
        <v>512</v>
      </c>
      <c r="K93" s="247" t="s">
        <v>558</v>
      </c>
      <c r="L93" s="247" t="s">
        <v>512</v>
      </c>
      <c r="M93" s="247" t="s">
        <v>558</v>
      </c>
      <c r="N93" s="247" t="s">
        <v>512</v>
      </c>
    </row>
    <row r="94" spans="1:14" ht="26.45" customHeight="1">
      <c r="A94" s="282">
        <v>1</v>
      </c>
      <c r="B94" s="283" t="s">
        <v>354</v>
      </c>
      <c r="C94" s="282" t="s">
        <v>2</v>
      </c>
      <c r="D94" s="789"/>
      <c r="E94" s="790"/>
      <c r="F94" s="791">
        <f>SUM(F95:F95)/1</f>
        <v>4040.4</v>
      </c>
      <c r="G94" s="801"/>
      <c r="H94" s="791">
        <f>SUM(H95:H95)/1</f>
        <v>4040.4</v>
      </c>
      <c r="I94" s="801"/>
      <c r="J94" s="791">
        <f>SUM(J95:J95)/1</f>
        <v>4040.4</v>
      </c>
      <c r="K94" s="801"/>
      <c r="L94" s="791">
        <f>SUM(L95:L95)/1</f>
        <v>4040.4</v>
      </c>
      <c r="M94" s="801"/>
      <c r="N94" s="790"/>
    </row>
    <row r="95" spans="1:14" ht="26.45" customHeight="1">
      <c r="A95" s="286"/>
      <c r="B95" s="287" t="s">
        <v>152</v>
      </c>
      <c r="C95" s="286" t="s">
        <v>39</v>
      </c>
      <c r="D95" s="307">
        <v>1554</v>
      </c>
      <c r="E95" s="792">
        <v>2.6</v>
      </c>
      <c r="F95" s="793">
        <f>D95*E95</f>
        <v>4040.4</v>
      </c>
      <c r="G95" s="308">
        <v>2.6</v>
      </c>
      <c r="H95" s="793">
        <f>D95*G95</f>
        <v>4040.4</v>
      </c>
      <c r="I95" s="308">
        <v>2.6</v>
      </c>
      <c r="J95" s="793">
        <f>D95*I95</f>
        <v>4040.4</v>
      </c>
      <c r="K95" s="308">
        <v>2.6</v>
      </c>
      <c r="L95" s="793">
        <f>D95*K95</f>
        <v>4040.4</v>
      </c>
      <c r="M95" s="308"/>
      <c r="N95" s="794"/>
    </row>
    <row r="96" spans="1:14" ht="26.45" customHeight="1">
      <c r="A96" s="288"/>
      <c r="B96" s="289"/>
      <c r="C96" s="288"/>
      <c r="D96" s="795"/>
      <c r="E96" s="796"/>
      <c r="F96" s="797"/>
      <c r="G96" s="799"/>
      <c r="H96" s="797"/>
      <c r="I96" s="799"/>
      <c r="J96" s="797"/>
      <c r="K96" s="799"/>
      <c r="L96" s="797"/>
      <c r="M96" s="799"/>
      <c r="N96" s="797"/>
    </row>
    <row r="97" spans="1:14" ht="26.45" customHeight="1">
      <c r="A97" s="282">
        <v>2</v>
      </c>
      <c r="B97" s="283" t="s">
        <v>357</v>
      </c>
      <c r="C97" s="282" t="s">
        <v>2</v>
      </c>
      <c r="D97" s="789"/>
      <c r="E97" s="798"/>
      <c r="F97" s="791">
        <f>SUM(F98:F98)/6.25</f>
        <v>745.92</v>
      </c>
      <c r="G97" s="791"/>
      <c r="H97" s="791">
        <f>SUM(H98:H98)/6.25</f>
        <v>745.92</v>
      </c>
      <c r="I97" s="791"/>
      <c r="J97" s="791">
        <f>SUM(J98:J98)/6.25</f>
        <v>745.92</v>
      </c>
      <c r="K97" s="791"/>
      <c r="L97" s="791">
        <f>SUM(L98:L98)/6.25</f>
        <v>745.92</v>
      </c>
      <c r="M97" s="791"/>
      <c r="N97" s="791">
        <f>SUM(N98:N98)/6.25</f>
        <v>745.92</v>
      </c>
    </row>
    <row r="98" spans="1:14" ht="26.45" customHeight="1">
      <c r="A98" s="286"/>
      <c r="B98" s="287" t="s">
        <v>152</v>
      </c>
      <c r="C98" s="286" t="s">
        <v>39</v>
      </c>
      <c r="D98" s="307">
        <f>D95</f>
        <v>1554</v>
      </c>
      <c r="E98" s="792">
        <v>3</v>
      </c>
      <c r="F98" s="793">
        <f>D98*E98</f>
        <v>4662</v>
      </c>
      <c r="G98" s="308">
        <v>3</v>
      </c>
      <c r="H98" s="793">
        <f>D98*G98</f>
        <v>4662</v>
      </c>
      <c r="I98" s="308">
        <v>3</v>
      </c>
      <c r="J98" s="793">
        <f>D98*I98</f>
        <v>4662</v>
      </c>
      <c r="K98" s="308">
        <v>3</v>
      </c>
      <c r="L98" s="793">
        <f>D98*K98</f>
        <v>4662</v>
      </c>
      <c r="M98" s="308">
        <v>3</v>
      </c>
      <c r="N98" s="793">
        <f>D98*M98</f>
        <v>4662</v>
      </c>
    </row>
    <row r="99" spans="1:14" ht="26.45" customHeight="1">
      <c r="A99" s="288"/>
      <c r="B99" s="289"/>
      <c r="C99" s="288"/>
      <c r="D99" s="795"/>
      <c r="E99" s="796"/>
      <c r="F99" s="797"/>
      <c r="G99" s="799"/>
      <c r="H99" s="797"/>
      <c r="I99" s="799"/>
      <c r="J99" s="797"/>
      <c r="K99" s="799"/>
      <c r="L99" s="797"/>
      <c r="M99" s="799"/>
      <c r="N99" s="797"/>
    </row>
    <row r="100" spans="1:14" ht="21.75" customHeight="1">
      <c r="A100" s="810"/>
      <c r="B100" s="811"/>
      <c r="C100" s="810"/>
      <c r="D100" s="812"/>
      <c r="E100" s="813"/>
      <c r="F100" s="814"/>
      <c r="G100" s="815"/>
      <c r="H100" s="814"/>
      <c r="I100" s="815"/>
      <c r="J100" s="814"/>
      <c r="K100" s="815"/>
      <c r="L100" s="814"/>
      <c r="M100" s="815"/>
      <c r="N100" s="814"/>
    </row>
    <row r="101" spans="1:14" ht="21.75" customHeight="1">
      <c r="A101" s="816"/>
      <c r="B101" s="817"/>
      <c r="C101" s="816"/>
      <c r="D101" s="818"/>
      <c r="E101" s="819"/>
      <c r="F101" s="820"/>
      <c r="G101" s="821"/>
      <c r="H101" s="820"/>
      <c r="I101" s="821"/>
      <c r="J101" s="820"/>
      <c r="K101" s="821"/>
      <c r="L101" s="820"/>
      <c r="M101" s="821"/>
      <c r="N101" s="820"/>
    </row>
    <row r="102" spans="1:14" ht="24.75" customHeight="1">
      <c r="A102" s="1018" t="s">
        <v>0</v>
      </c>
      <c r="B102" s="1018" t="s">
        <v>351</v>
      </c>
      <c r="C102" s="1018" t="s">
        <v>116</v>
      </c>
      <c r="D102" s="1023" t="s">
        <v>557</v>
      </c>
      <c r="E102" s="1025" t="s">
        <v>41</v>
      </c>
      <c r="F102" s="1026"/>
      <c r="G102" s="1025" t="s">
        <v>42</v>
      </c>
      <c r="H102" s="1026"/>
      <c r="I102" s="1025" t="s">
        <v>43</v>
      </c>
      <c r="J102" s="1026"/>
      <c r="K102" s="1025" t="s">
        <v>44</v>
      </c>
      <c r="L102" s="1026"/>
      <c r="M102" s="1025" t="s">
        <v>45</v>
      </c>
      <c r="N102" s="1026"/>
    </row>
    <row r="103" spans="1:14" ht="40.5" customHeight="1">
      <c r="A103" s="1019"/>
      <c r="B103" s="1019"/>
      <c r="C103" s="1019"/>
      <c r="D103" s="1024"/>
      <c r="E103" s="247" t="s">
        <v>558</v>
      </c>
      <c r="F103" s="247" t="s">
        <v>512</v>
      </c>
      <c r="G103" s="247" t="s">
        <v>558</v>
      </c>
      <c r="H103" s="247" t="s">
        <v>512</v>
      </c>
      <c r="I103" s="247" t="s">
        <v>558</v>
      </c>
      <c r="J103" s="247" t="s">
        <v>512</v>
      </c>
      <c r="K103" s="247" t="s">
        <v>558</v>
      </c>
      <c r="L103" s="247" t="s">
        <v>512</v>
      </c>
      <c r="M103" s="247" t="s">
        <v>558</v>
      </c>
      <c r="N103" s="247" t="s">
        <v>512</v>
      </c>
    </row>
    <row r="104" spans="1:14" ht="26.45" customHeight="1">
      <c r="A104" s="282">
        <v>3</v>
      </c>
      <c r="B104" s="283" t="s">
        <v>358</v>
      </c>
      <c r="C104" s="282" t="s">
        <v>2</v>
      </c>
      <c r="D104" s="789"/>
      <c r="E104" s="798"/>
      <c r="F104" s="791">
        <f>SUM(F105:F105)/25</f>
        <v>211.34399999999997</v>
      </c>
      <c r="G104" s="791"/>
      <c r="H104" s="791">
        <f t="shared" ref="H104:N104" si="6">SUM(H105:H105)/25</f>
        <v>211.34399999999997</v>
      </c>
      <c r="I104" s="791"/>
      <c r="J104" s="791">
        <f t="shared" si="6"/>
        <v>211.34399999999997</v>
      </c>
      <c r="K104" s="791"/>
      <c r="L104" s="791">
        <f t="shared" si="6"/>
        <v>211.34399999999997</v>
      </c>
      <c r="M104" s="791"/>
      <c r="N104" s="791">
        <f t="shared" si="6"/>
        <v>211.34399999999997</v>
      </c>
    </row>
    <row r="105" spans="1:14" ht="26.45" customHeight="1">
      <c r="A105" s="286"/>
      <c r="B105" s="287" t="s">
        <v>152</v>
      </c>
      <c r="C105" s="286" t="s">
        <v>39</v>
      </c>
      <c r="D105" s="307">
        <f>D98</f>
        <v>1554</v>
      </c>
      <c r="E105" s="792">
        <v>3.4</v>
      </c>
      <c r="F105" s="793">
        <f>D105*E105</f>
        <v>5283.5999999999995</v>
      </c>
      <c r="G105" s="308">
        <v>3.4</v>
      </c>
      <c r="H105" s="793">
        <f>D105*G105</f>
        <v>5283.5999999999995</v>
      </c>
      <c r="I105" s="308">
        <v>3.4</v>
      </c>
      <c r="J105" s="793">
        <f>D105*I105</f>
        <v>5283.5999999999995</v>
      </c>
      <c r="K105" s="308">
        <v>3.4</v>
      </c>
      <c r="L105" s="793">
        <f>D105*K105</f>
        <v>5283.5999999999995</v>
      </c>
      <c r="M105" s="308">
        <v>3.4</v>
      </c>
      <c r="N105" s="793">
        <f>D105*M105</f>
        <v>5283.5999999999995</v>
      </c>
    </row>
    <row r="106" spans="1:14" ht="26.45" customHeight="1">
      <c r="A106" s="288"/>
      <c r="B106" s="289"/>
      <c r="C106" s="288"/>
      <c r="D106" s="795"/>
      <c r="E106" s="796"/>
      <c r="F106" s="799"/>
      <c r="G106" s="799"/>
      <c r="H106" s="799"/>
      <c r="I106" s="799"/>
      <c r="J106" s="799"/>
      <c r="K106" s="799"/>
      <c r="L106" s="799"/>
      <c r="M106" s="799"/>
      <c r="N106" s="799"/>
    </row>
    <row r="107" spans="1:14" ht="26.45" customHeight="1">
      <c r="A107" s="282">
        <v>4</v>
      </c>
      <c r="B107" s="283" t="s">
        <v>359</v>
      </c>
      <c r="C107" s="282" t="s">
        <v>362</v>
      </c>
      <c r="D107" s="789"/>
      <c r="E107" s="800"/>
      <c r="F107" s="789">
        <f>SUM(F108:F108)/100</f>
        <v>59.052</v>
      </c>
      <c r="G107" s="805"/>
      <c r="H107" s="789">
        <f>SUM(H108:H108)/100</f>
        <v>59.052</v>
      </c>
      <c r="I107" s="805"/>
      <c r="J107" s="789">
        <f>SUM(J108:J108)/100</f>
        <v>59.052</v>
      </c>
      <c r="K107" s="805"/>
      <c r="L107" s="789">
        <f>SUM(L108:L108)/100</f>
        <v>59.052</v>
      </c>
      <c r="M107" s="789"/>
      <c r="N107" s="789">
        <f>SUM(N108:N108)/100</f>
        <v>59.052</v>
      </c>
    </row>
    <row r="108" spans="1:14" ht="26.45" customHeight="1">
      <c r="A108" s="286"/>
      <c r="B108" s="287" t="s">
        <v>152</v>
      </c>
      <c r="C108" s="286" t="s">
        <v>39</v>
      </c>
      <c r="D108" s="307">
        <f>D105</f>
        <v>1554</v>
      </c>
      <c r="E108" s="792">
        <v>3.8</v>
      </c>
      <c r="F108" s="793">
        <f>D108*E108</f>
        <v>5905.2</v>
      </c>
      <c r="G108" s="308">
        <v>3.8</v>
      </c>
      <c r="H108" s="793">
        <f>D108*G108</f>
        <v>5905.2</v>
      </c>
      <c r="I108" s="308">
        <v>3.8</v>
      </c>
      <c r="J108" s="793">
        <f>D108*I108</f>
        <v>5905.2</v>
      </c>
      <c r="K108" s="308">
        <v>3.8</v>
      </c>
      <c r="L108" s="793">
        <f>D108*K108</f>
        <v>5905.2</v>
      </c>
      <c r="M108" s="308">
        <v>3.8</v>
      </c>
      <c r="N108" s="793">
        <f>D108*M108</f>
        <v>5905.2</v>
      </c>
    </row>
    <row r="109" spans="1:14" ht="26.45" customHeight="1">
      <c r="A109" s="288"/>
      <c r="B109" s="289"/>
      <c r="C109" s="288"/>
      <c r="D109" s="795"/>
      <c r="E109" s="796"/>
      <c r="F109" s="799"/>
      <c r="G109" s="799"/>
      <c r="H109" s="799"/>
      <c r="I109" s="799"/>
      <c r="J109" s="799"/>
      <c r="K109" s="799"/>
      <c r="L109" s="799"/>
      <c r="M109" s="799"/>
      <c r="N109" s="799"/>
    </row>
    <row r="110" spans="1:14" ht="26.45" customHeight="1">
      <c r="A110" s="282">
        <v>5</v>
      </c>
      <c r="B110" s="283" t="s">
        <v>360</v>
      </c>
      <c r="C110" s="282" t="s">
        <v>2</v>
      </c>
      <c r="D110" s="789"/>
      <c r="E110" s="798"/>
      <c r="F110" s="791">
        <f>SUM(F111:F111)/900</f>
        <v>7.2519999999999998</v>
      </c>
      <c r="G110" s="791"/>
      <c r="H110" s="791">
        <f>SUM(H111:H111)/900</f>
        <v>7.2519999999999998</v>
      </c>
      <c r="I110" s="791"/>
      <c r="J110" s="791">
        <f>SUM(J111:J111)/900</f>
        <v>7.2519999999999998</v>
      </c>
      <c r="K110" s="791"/>
      <c r="L110" s="791">
        <f>SUM(L111:L111)/900</f>
        <v>7.2519999999999998</v>
      </c>
      <c r="M110" s="801"/>
      <c r="N110" s="801"/>
    </row>
    <row r="111" spans="1:14" ht="26.45" customHeight="1">
      <c r="A111" s="286"/>
      <c r="B111" s="287" t="s">
        <v>152</v>
      </c>
      <c r="C111" s="286" t="s">
        <v>39</v>
      </c>
      <c r="D111" s="307">
        <f>D108</f>
        <v>1554</v>
      </c>
      <c r="E111" s="792">
        <v>4.2</v>
      </c>
      <c r="F111" s="793">
        <f>D111*E111</f>
        <v>6526.8</v>
      </c>
      <c r="G111" s="308">
        <v>4.2</v>
      </c>
      <c r="H111" s="793">
        <f>D111*G111</f>
        <v>6526.8</v>
      </c>
      <c r="I111" s="308">
        <v>4.2</v>
      </c>
      <c r="J111" s="793">
        <f>D111*I111</f>
        <v>6526.8</v>
      </c>
      <c r="K111" s="308">
        <v>4.2</v>
      </c>
      <c r="L111" s="793">
        <f>D111*K111</f>
        <v>6526.8</v>
      </c>
      <c r="M111" s="308"/>
      <c r="N111" s="308"/>
    </row>
    <row r="112" spans="1:14" ht="26.45" customHeight="1">
      <c r="A112" s="288"/>
      <c r="B112" s="289"/>
      <c r="C112" s="288"/>
      <c r="D112" s="795"/>
      <c r="E112" s="799"/>
      <c r="F112" s="799"/>
      <c r="G112" s="799"/>
      <c r="H112" s="799"/>
      <c r="I112" s="799"/>
      <c r="J112" s="799"/>
      <c r="K112" s="799"/>
      <c r="L112" s="799"/>
      <c r="M112" s="799"/>
      <c r="N112" s="799"/>
    </row>
    <row r="113" spans="1:16" ht="26.45" customHeight="1">
      <c r="A113" s="282">
        <v>6</v>
      </c>
      <c r="B113" s="283" t="s">
        <v>487</v>
      </c>
      <c r="C113" s="282" t="s">
        <v>2</v>
      </c>
      <c r="D113" s="789"/>
      <c r="E113" s="798"/>
      <c r="F113" s="791">
        <f>SUM(F114:F114)/3600</f>
        <v>1.8345833333333332</v>
      </c>
      <c r="G113" s="791"/>
      <c r="H113" s="791">
        <f>SUM(H114:H114)/3600</f>
        <v>1.8345833333333332</v>
      </c>
      <c r="I113" s="791"/>
      <c r="J113" s="791">
        <f>SUM(J114:J114)/3600</f>
        <v>1.8345833333333332</v>
      </c>
      <c r="K113" s="791"/>
      <c r="L113" s="791">
        <f>SUM(L114:L114)/3600</f>
        <v>1.8345833333333332</v>
      </c>
      <c r="M113" s="801"/>
      <c r="N113" s="801"/>
    </row>
    <row r="114" spans="1:16" ht="26.45" customHeight="1">
      <c r="A114" s="286"/>
      <c r="B114" s="287" t="s">
        <v>152</v>
      </c>
      <c r="C114" s="286" t="s">
        <v>39</v>
      </c>
      <c r="D114" s="307">
        <f>D111</f>
        <v>1554</v>
      </c>
      <c r="E114" s="792">
        <v>4.25</v>
      </c>
      <c r="F114" s="793">
        <f>D114*E114</f>
        <v>6604.5</v>
      </c>
      <c r="G114" s="308">
        <v>4.25</v>
      </c>
      <c r="H114" s="793">
        <f>D114*G114</f>
        <v>6604.5</v>
      </c>
      <c r="I114" s="308">
        <v>4.25</v>
      </c>
      <c r="J114" s="793">
        <f>D114*I114</f>
        <v>6604.5</v>
      </c>
      <c r="K114" s="308">
        <v>4.25</v>
      </c>
      <c r="L114" s="793">
        <f>D114*K114</f>
        <v>6604.5</v>
      </c>
      <c r="M114" s="308"/>
      <c r="N114" s="308"/>
    </row>
    <row r="115" spans="1:16" ht="26.45" customHeight="1">
      <c r="A115" s="288"/>
      <c r="B115" s="289"/>
      <c r="C115" s="288"/>
      <c r="D115" s="795"/>
      <c r="E115" s="799"/>
      <c r="F115" s="799"/>
      <c r="G115" s="799"/>
      <c r="H115" s="799"/>
      <c r="I115" s="799"/>
      <c r="J115" s="799"/>
      <c r="K115" s="799"/>
      <c r="L115" s="799"/>
      <c r="M115" s="799"/>
      <c r="N115" s="799"/>
    </row>
    <row r="117" spans="1:16" s="16" customFormat="1" ht="21" customHeight="1">
      <c r="A117" s="455" t="s">
        <v>323</v>
      </c>
    </row>
    <row r="118" spans="1:16" s="16" customFormat="1" ht="21" customHeight="1">
      <c r="A118" s="456" t="s">
        <v>559</v>
      </c>
    </row>
    <row r="119" spans="1:16" s="16" customFormat="1" ht="21" customHeight="1">
      <c r="A119" s="456"/>
      <c r="P119" s="245"/>
    </row>
    <row r="120" spans="1:16" s="16" customFormat="1" ht="21" customHeight="1">
      <c r="A120" s="456"/>
    </row>
    <row r="121" spans="1:16">
      <c r="B121" s="246"/>
    </row>
  </sheetData>
  <mergeCells count="60">
    <mergeCell ref="M92:N92"/>
    <mergeCell ref="A102:A103"/>
    <mergeCell ref="B102:B103"/>
    <mergeCell ref="C102:C103"/>
    <mergeCell ref="D102:D103"/>
    <mergeCell ref="E102:F102"/>
    <mergeCell ref="G102:H102"/>
    <mergeCell ref="I102:J102"/>
    <mergeCell ref="K102:L102"/>
    <mergeCell ref="M102:N102"/>
    <mergeCell ref="M83:N83"/>
    <mergeCell ref="K90:N90"/>
    <mergeCell ref="A92:A93"/>
    <mergeCell ref="B92:B93"/>
    <mergeCell ref="C92:C93"/>
    <mergeCell ref="D92:D93"/>
    <mergeCell ref="E92:F92"/>
    <mergeCell ref="G92:H92"/>
    <mergeCell ref="I92:J92"/>
    <mergeCell ref="K92:L92"/>
    <mergeCell ref="M57:N57"/>
    <mergeCell ref="M81:N81"/>
    <mergeCell ref="A83:A84"/>
    <mergeCell ref="B83:B84"/>
    <mergeCell ref="C83:C84"/>
    <mergeCell ref="D83:D84"/>
    <mergeCell ref="E83:F83"/>
    <mergeCell ref="G83:H83"/>
    <mergeCell ref="I83:J83"/>
    <mergeCell ref="K83:L83"/>
    <mergeCell ref="M31:N31"/>
    <mergeCell ref="M55:N55"/>
    <mergeCell ref="A57:A58"/>
    <mergeCell ref="B57:B58"/>
    <mergeCell ref="C57:C58"/>
    <mergeCell ref="D57:D58"/>
    <mergeCell ref="E57:F57"/>
    <mergeCell ref="G57:H57"/>
    <mergeCell ref="I57:J57"/>
    <mergeCell ref="K57:L57"/>
    <mergeCell ref="M7:N7"/>
    <mergeCell ref="M29:N29"/>
    <mergeCell ref="A31:A32"/>
    <mergeCell ref="B31:B32"/>
    <mergeCell ref="C31:C32"/>
    <mergeCell ref="D31:D32"/>
    <mergeCell ref="E31:F31"/>
    <mergeCell ref="G31:H31"/>
    <mergeCell ref="I31:J31"/>
    <mergeCell ref="K31:L31"/>
    <mergeCell ref="A1:N1"/>
    <mergeCell ref="M5:N5"/>
    <mergeCell ref="A7:A8"/>
    <mergeCell ref="B7:B8"/>
    <mergeCell ref="C7:C8"/>
    <mergeCell ref="D7:D8"/>
    <mergeCell ref="E7:F7"/>
    <mergeCell ref="G7:H7"/>
    <mergeCell ref="I7:J7"/>
    <mergeCell ref="K7:L7"/>
  </mergeCells>
  <phoneticPr fontId="4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V214"/>
  <sheetViews>
    <sheetView zoomScale="80" workbookViewId="0">
      <selection activeCell="P17" sqref="P17"/>
    </sheetView>
  </sheetViews>
  <sheetFormatPr defaultRowHeight="16.5"/>
  <cols>
    <col min="1" max="1" width="4.6640625" style="164" customWidth="1"/>
    <col min="2" max="2" width="19.6640625" style="164" customWidth="1"/>
    <col min="3" max="4" width="4.77734375" style="164" customWidth="1"/>
    <col min="5" max="5" width="8.88671875" style="164"/>
    <col min="6" max="6" width="7.44140625" style="164" customWidth="1"/>
    <col min="7" max="7" width="5.88671875" style="164" customWidth="1"/>
    <col min="8" max="8" width="8.44140625" style="164" customWidth="1"/>
    <col min="9" max="9" width="5.5546875" style="164" customWidth="1"/>
    <col min="10" max="10" width="8.6640625" style="164" customWidth="1"/>
    <col min="11" max="11" width="6.33203125" style="164" customWidth="1"/>
    <col min="12" max="12" width="7.5546875" style="164" customWidth="1"/>
    <col min="13" max="13" width="6.109375" style="164" customWidth="1"/>
    <col min="14" max="14" width="7.77734375" style="164" customWidth="1"/>
    <col min="15" max="15" width="6.109375" style="164" customWidth="1"/>
    <col min="16" max="16" width="8.5546875" style="164" customWidth="1"/>
    <col min="17" max="17" width="6.33203125" style="164" customWidth="1"/>
    <col min="18" max="18" width="8.88671875" style="164"/>
    <col min="19" max="19" width="5.5546875" style="164" customWidth="1"/>
    <col min="20" max="22" width="5.33203125" style="164" customWidth="1"/>
  </cols>
  <sheetData>
    <row r="1" spans="1:18" ht="23.25" customHeight="1">
      <c r="A1" s="1035" t="s">
        <v>112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</row>
    <row r="2" spans="1:18" ht="20.25" customHeight="1">
      <c r="A2" s="129" t="s">
        <v>113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8">
      <c r="A3" s="129" t="s">
        <v>114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 t="s">
        <v>115</v>
      </c>
      <c r="N3" s="17"/>
      <c r="P3" s="17"/>
    </row>
    <row r="4" spans="1:18" ht="15.75" customHeight="1">
      <c r="A4" s="12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8" ht="24" customHeight="1">
      <c r="A5" s="1032" t="s">
        <v>0</v>
      </c>
      <c r="B5" s="1018" t="s">
        <v>307</v>
      </c>
      <c r="C5" s="1032" t="s">
        <v>116</v>
      </c>
      <c r="D5" s="1032" t="s">
        <v>33</v>
      </c>
      <c r="E5" s="1018" t="s">
        <v>513</v>
      </c>
      <c r="F5" s="1018" t="s">
        <v>510</v>
      </c>
      <c r="G5" s="1016" t="s">
        <v>34</v>
      </c>
      <c r="H5" s="1017"/>
      <c r="I5" s="1016" t="s">
        <v>35</v>
      </c>
      <c r="J5" s="1017"/>
      <c r="K5" s="1016" t="s">
        <v>36</v>
      </c>
      <c r="L5" s="1017"/>
      <c r="M5" s="1030" t="s">
        <v>37</v>
      </c>
      <c r="N5" s="1031"/>
      <c r="O5" s="1030" t="s">
        <v>38</v>
      </c>
      <c r="P5" s="1031"/>
      <c r="Q5" s="1030" t="s">
        <v>480</v>
      </c>
      <c r="R5" s="1031"/>
    </row>
    <row r="6" spans="1:18" ht="32.25" customHeight="1">
      <c r="A6" s="1033"/>
      <c r="B6" s="1019"/>
      <c r="C6" s="1033"/>
      <c r="D6" s="1033"/>
      <c r="E6" s="1019"/>
      <c r="F6" s="1019"/>
      <c r="G6" s="247" t="s">
        <v>511</v>
      </c>
      <c r="H6" s="247" t="s">
        <v>512</v>
      </c>
      <c r="I6" s="247" t="s">
        <v>511</v>
      </c>
      <c r="J6" s="247" t="s">
        <v>512</v>
      </c>
      <c r="K6" s="247" t="s">
        <v>511</v>
      </c>
      <c r="L6" s="247" t="s">
        <v>512</v>
      </c>
      <c r="M6" s="247" t="s">
        <v>511</v>
      </c>
      <c r="N6" s="247" t="s">
        <v>512</v>
      </c>
      <c r="O6" s="247" t="s">
        <v>511</v>
      </c>
      <c r="P6" s="247" t="s">
        <v>512</v>
      </c>
      <c r="Q6" s="247" t="s">
        <v>511</v>
      </c>
      <c r="R6" s="247" t="s">
        <v>512</v>
      </c>
    </row>
    <row r="7" spans="1:18" ht="21.6" customHeight="1">
      <c r="A7" s="194">
        <v>1</v>
      </c>
      <c r="B7" s="195" t="s">
        <v>117</v>
      </c>
      <c r="C7" s="194" t="s">
        <v>118</v>
      </c>
      <c r="D7" s="194">
        <v>18</v>
      </c>
      <c r="E7" s="198">
        <f>'Gia-DC'!E4</f>
        <v>150000</v>
      </c>
      <c r="F7" s="207">
        <f t="shared" ref="F7:F17" si="0">E7/(D7*26)</f>
        <v>320.5128205128205</v>
      </c>
      <c r="G7" s="208">
        <v>4.4800000000000004</v>
      </c>
      <c r="H7" s="209">
        <f>(G7*F7)</f>
        <v>1435.897435897436</v>
      </c>
      <c r="I7" s="208">
        <v>6.72</v>
      </c>
      <c r="J7" s="210">
        <f t="shared" ref="J7:J17" si="1">(I7*F7)</f>
        <v>2153.8461538461538</v>
      </c>
      <c r="K7" s="208">
        <v>10.08</v>
      </c>
      <c r="L7" s="210">
        <f t="shared" ref="L7:L17" si="2">(K7*F7)</f>
        <v>3230.7692307692305</v>
      </c>
      <c r="M7" s="208">
        <v>15.12</v>
      </c>
      <c r="N7" s="209">
        <f t="shared" ref="N7:N17" si="3">(M7*F7)</f>
        <v>4846.1538461538457</v>
      </c>
      <c r="O7" s="211">
        <v>30.24</v>
      </c>
      <c r="P7" s="209">
        <f t="shared" ref="P7:P17" si="4">(O7*F7)</f>
        <v>9692.3076923076915</v>
      </c>
      <c r="Q7" s="211">
        <v>45.36</v>
      </c>
      <c r="R7" s="209">
        <f>Q7*F7</f>
        <v>14538.461538461537</v>
      </c>
    </row>
    <row r="8" spans="1:18" ht="21.6" customHeight="1">
      <c r="A8" s="133">
        <v>2</v>
      </c>
      <c r="B8" s="135" t="s">
        <v>134</v>
      </c>
      <c r="C8" s="133" t="s">
        <v>118</v>
      </c>
      <c r="D8" s="133">
        <v>18</v>
      </c>
      <c r="E8" s="200">
        <f>'Gia-DC'!E5</f>
        <v>80000</v>
      </c>
      <c r="F8" s="200">
        <f t="shared" si="0"/>
        <v>170.94017094017093</v>
      </c>
      <c r="G8" s="144">
        <v>4.4800000000000004</v>
      </c>
      <c r="H8" s="143">
        <f t="shared" ref="H8:H17" si="5">(G8*F8)</f>
        <v>765.81196581196582</v>
      </c>
      <c r="I8" s="144">
        <v>6.72</v>
      </c>
      <c r="J8" s="145">
        <f t="shared" si="1"/>
        <v>1148.7179487179485</v>
      </c>
      <c r="K8" s="144">
        <v>10.08</v>
      </c>
      <c r="L8" s="145">
        <f t="shared" si="2"/>
        <v>1723.0769230769231</v>
      </c>
      <c r="M8" s="144">
        <v>15.12</v>
      </c>
      <c r="N8" s="143">
        <f t="shared" si="3"/>
        <v>2584.6153846153843</v>
      </c>
      <c r="O8" s="212">
        <v>30.24</v>
      </c>
      <c r="P8" s="143">
        <f t="shared" si="4"/>
        <v>5169.2307692307686</v>
      </c>
      <c r="Q8" s="212">
        <v>45.36</v>
      </c>
      <c r="R8" s="143">
        <f>Q8*F8</f>
        <v>7753.8461538461534</v>
      </c>
    </row>
    <row r="9" spans="1:18" ht="21.6" customHeight="1">
      <c r="A9" s="133">
        <v>3</v>
      </c>
      <c r="B9" s="135" t="s">
        <v>119</v>
      </c>
      <c r="C9" s="133" t="s">
        <v>118</v>
      </c>
      <c r="D9" s="133">
        <v>18</v>
      </c>
      <c r="E9" s="200">
        <f>'Gia-DC'!E6</f>
        <v>180000</v>
      </c>
      <c r="F9" s="200">
        <f t="shared" si="0"/>
        <v>384.61538461538464</v>
      </c>
      <c r="G9" s="144">
        <v>11.92</v>
      </c>
      <c r="H9" s="143">
        <f t="shared" si="5"/>
        <v>4584.6153846153848</v>
      </c>
      <c r="I9" s="144">
        <v>17.88</v>
      </c>
      <c r="J9" s="145">
        <f t="shared" si="1"/>
        <v>6876.9230769230771</v>
      </c>
      <c r="K9" s="144">
        <v>26.81</v>
      </c>
      <c r="L9" s="145">
        <f t="shared" si="2"/>
        <v>10311.538461538461</v>
      </c>
      <c r="M9" s="144">
        <v>40.22</v>
      </c>
      <c r="N9" s="143">
        <f t="shared" si="3"/>
        <v>15469.23076923077</v>
      </c>
      <c r="O9" s="212">
        <v>80.44</v>
      </c>
      <c r="P9" s="143">
        <f t="shared" si="4"/>
        <v>30938.461538461539</v>
      </c>
      <c r="Q9" s="212">
        <v>120.66</v>
      </c>
      <c r="R9" s="143">
        <f t="shared" ref="R9:R17" si="6">Q9*F9</f>
        <v>46407.692307692312</v>
      </c>
    </row>
    <row r="10" spans="1:18" ht="21.6" customHeight="1">
      <c r="A10" s="133">
        <v>4</v>
      </c>
      <c r="B10" s="135" t="s">
        <v>135</v>
      </c>
      <c r="C10" s="133" t="s">
        <v>121</v>
      </c>
      <c r="D10" s="133">
        <v>12</v>
      </c>
      <c r="E10" s="200">
        <f>'Gia-DC'!E21</f>
        <v>85000</v>
      </c>
      <c r="F10" s="200">
        <f t="shared" si="0"/>
        <v>272.43589743589746</v>
      </c>
      <c r="G10" s="144">
        <v>11.92</v>
      </c>
      <c r="H10" s="143">
        <f t="shared" si="5"/>
        <v>3247.4358974358979</v>
      </c>
      <c r="I10" s="144">
        <v>17.88</v>
      </c>
      <c r="J10" s="145">
        <f t="shared" si="1"/>
        <v>4871.1538461538466</v>
      </c>
      <c r="K10" s="144">
        <v>26.81</v>
      </c>
      <c r="L10" s="145">
        <f t="shared" si="2"/>
        <v>7304.0064102564102</v>
      </c>
      <c r="M10" s="144">
        <v>40.22</v>
      </c>
      <c r="N10" s="143">
        <f t="shared" si="3"/>
        <v>10957.371794871795</v>
      </c>
      <c r="O10" s="212">
        <v>80.44</v>
      </c>
      <c r="P10" s="143">
        <f t="shared" si="4"/>
        <v>21914.74358974359</v>
      </c>
      <c r="Q10" s="212">
        <v>120.66</v>
      </c>
      <c r="R10" s="143">
        <f t="shared" si="6"/>
        <v>32872.115384615383</v>
      </c>
    </row>
    <row r="11" spans="1:18" ht="21.6" customHeight="1">
      <c r="A11" s="133">
        <v>5</v>
      </c>
      <c r="B11" s="135" t="s">
        <v>122</v>
      </c>
      <c r="C11" s="133" t="s">
        <v>118</v>
      </c>
      <c r="D11" s="133">
        <v>12</v>
      </c>
      <c r="E11" s="200">
        <f>'Gia-DC'!E26</f>
        <v>40000</v>
      </c>
      <c r="F11" s="200">
        <f t="shared" si="0"/>
        <v>128.2051282051282</v>
      </c>
      <c r="G11" s="144">
        <v>11.92</v>
      </c>
      <c r="H11" s="143">
        <f t="shared" si="5"/>
        <v>1528.2051282051282</v>
      </c>
      <c r="I11" s="144">
        <v>17.88</v>
      </c>
      <c r="J11" s="145">
        <f t="shared" si="1"/>
        <v>2292.3076923076924</v>
      </c>
      <c r="K11" s="144">
        <v>26.81</v>
      </c>
      <c r="L11" s="145">
        <f t="shared" si="2"/>
        <v>3437.1794871794868</v>
      </c>
      <c r="M11" s="144">
        <v>40.22</v>
      </c>
      <c r="N11" s="143">
        <f t="shared" si="3"/>
        <v>5156.4102564102559</v>
      </c>
      <c r="O11" s="212">
        <v>80.44</v>
      </c>
      <c r="P11" s="143">
        <f t="shared" si="4"/>
        <v>10312.820512820512</v>
      </c>
      <c r="Q11" s="212">
        <v>120.66</v>
      </c>
      <c r="R11" s="143">
        <f t="shared" si="6"/>
        <v>15469.23076923077</v>
      </c>
    </row>
    <row r="12" spans="1:18" ht="21.6" customHeight="1">
      <c r="A12" s="133">
        <v>6</v>
      </c>
      <c r="B12" s="135" t="s">
        <v>123</v>
      </c>
      <c r="C12" s="133" t="s">
        <v>124</v>
      </c>
      <c r="D12" s="133">
        <v>9</v>
      </c>
      <c r="E12" s="200">
        <f>'Gia-DC'!E32</f>
        <v>150000</v>
      </c>
      <c r="F12" s="200">
        <f t="shared" si="0"/>
        <v>641.02564102564099</v>
      </c>
      <c r="G12" s="144">
        <v>11.92</v>
      </c>
      <c r="H12" s="143">
        <f t="shared" si="5"/>
        <v>7641.0256410256407</v>
      </c>
      <c r="I12" s="144">
        <v>17.88</v>
      </c>
      <c r="J12" s="145">
        <f t="shared" si="1"/>
        <v>11461.538461538461</v>
      </c>
      <c r="K12" s="144">
        <v>26.81</v>
      </c>
      <c r="L12" s="145">
        <f t="shared" si="2"/>
        <v>17185.897435897434</v>
      </c>
      <c r="M12" s="144">
        <v>40.22</v>
      </c>
      <c r="N12" s="143">
        <f t="shared" si="3"/>
        <v>25782.051282051281</v>
      </c>
      <c r="O12" s="212">
        <v>80.44</v>
      </c>
      <c r="P12" s="143">
        <f t="shared" si="4"/>
        <v>51564.102564102563</v>
      </c>
      <c r="Q12" s="212">
        <v>120.66</v>
      </c>
      <c r="R12" s="143">
        <f t="shared" si="6"/>
        <v>77346.153846153844</v>
      </c>
    </row>
    <row r="13" spans="1:18" ht="21.6" customHeight="1">
      <c r="A13" s="133">
        <v>7</v>
      </c>
      <c r="B13" s="135" t="s">
        <v>126</v>
      </c>
      <c r="C13" s="133" t="s">
        <v>118</v>
      </c>
      <c r="D13" s="133">
        <v>12</v>
      </c>
      <c r="E13" s="200">
        <f>'Gia-DC'!E7</f>
        <v>30000</v>
      </c>
      <c r="F13" s="200">
        <f t="shared" si="0"/>
        <v>96.15384615384616</v>
      </c>
      <c r="G13" s="144">
        <v>11.92</v>
      </c>
      <c r="H13" s="143">
        <f t="shared" si="5"/>
        <v>1146.1538461538462</v>
      </c>
      <c r="I13" s="144">
        <v>17.88</v>
      </c>
      <c r="J13" s="145">
        <f t="shared" si="1"/>
        <v>1719.2307692307693</v>
      </c>
      <c r="K13" s="144">
        <v>26.81</v>
      </c>
      <c r="L13" s="145">
        <f t="shared" si="2"/>
        <v>2577.8846153846152</v>
      </c>
      <c r="M13" s="144">
        <v>40.22</v>
      </c>
      <c r="N13" s="143">
        <f t="shared" si="3"/>
        <v>3867.3076923076924</v>
      </c>
      <c r="O13" s="212">
        <v>80.44</v>
      </c>
      <c r="P13" s="143">
        <f t="shared" si="4"/>
        <v>7734.6153846153848</v>
      </c>
      <c r="Q13" s="212">
        <v>120.66</v>
      </c>
      <c r="R13" s="143">
        <f t="shared" si="6"/>
        <v>11601.923076923078</v>
      </c>
    </row>
    <row r="14" spans="1:18" ht="21.6" customHeight="1">
      <c r="A14" s="133">
        <v>8</v>
      </c>
      <c r="B14" s="135" t="s">
        <v>127</v>
      </c>
      <c r="C14" s="133" t="s">
        <v>118</v>
      </c>
      <c r="D14" s="133">
        <v>24</v>
      </c>
      <c r="E14" s="200">
        <f>'Gia-DC'!E29</f>
        <v>50000</v>
      </c>
      <c r="F14" s="200">
        <f t="shared" si="0"/>
        <v>80.128205128205124</v>
      </c>
      <c r="G14" s="144">
        <v>4.4800000000000004</v>
      </c>
      <c r="H14" s="143">
        <f t="shared" si="5"/>
        <v>358.97435897435901</v>
      </c>
      <c r="I14" s="144">
        <v>6.72</v>
      </c>
      <c r="J14" s="145">
        <f t="shared" si="1"/>
        <v>538.46153846153845</v>
      </c>
      <c r="K14" s="144">
        <v>10.08</v>
      </c>
      <c r="L14" s="145">
        <f t="shared" si="2"/>
        <v>807.69230769230762</v>
      </c>
      <c r="M14" s="144">
        <v>15.12</v>
      </c>
      <c r="N14" s="143">
        <f t="shared" si="3"/>
        <v>1211.5384615384614</v>
      </c>
      <c r="O14" s="212">
        <v>30.24</v>
      </c>
      <c r="P14" s="143">
        <f t="shared" si="4"/>
        <v>2423.0769230769229</v>
      </c>
      <c r="Q14" s="212">
        <v>45.36</v>
      </c>
      <c r="R14" s="143">
        <f t="shared" si="6"/>
        <v>3634.6153846153843</v>
      </c>
    </row>
    <row r="15" spans="1:18" ht="21.6" customHeight="1">
      <c r="A15" s="133">
        <v>9</v>
      </c>
      <c r="B15" s="135" t="s">
        <v>128</v>
      </c>
      <c r="C15" s="133" t="s">
        <v>118</v>
      </c>
      <c r="D15" s="133">
        <v>4</v>
      </c>
      <c r="E15" s="200">
        <f>'Gia-DC'!E56</f>
        <v>95000</v>
      </c>
      <c r="F15" s="200">
        <f t="shared" si="0"/>
        <v>913.46153846153845</v>
      </c>
      <c r="G15" s="144">
        <v>4.4800000000000004</v>
      </c>
      <c r="H15" s="143">
        <f t="shared" si="5"/>
        <v>4092.3076923076928</v>
      </c>
      <c r="I15" s="144">
        <v>6.72</v>
      </c>
      <c r="J15" s="145">
        <f t="shared" si="1"/>
        <v>6138.4615384615381</v>
      </c>
      <c r="K15" s="144">
        <v>10.08</v>
      </c>
      <c r="L15" s="145">
        <f t="shared" si="2"/>
        <v>9207.6923076923085</v>
      </c>
      <c r="M15" s="144">
        <v>15.12</v>
      </c>
      <c r="N15" s="143">
        <f t="shared" si="3"/>
        <v>13811.538461538461</v>
      </c>
      <c r="O15" s="212">
        <v>30.24</v>
      </c>
      <c r="P15" s="143">
        <f t="shared" si="4"/>
        <v>27623.076923076922</v>
      </c>
      <c r="Q15" s="212">
        <v>45.36</v>
      </c>
      <c r="R15" s="143">
        <f t="shared" si="6"/>
        <v>41434.615384615383</v>
      </c>
    </row>
    <row r="16" spans="1:18" ht="21.6" customHeight="1">
      <c r="A16" s="133">
        <v>10</v>
      </c>
      <c r="B16" s="135" t="s">
        <v>129</v>
      </c>
      <c r="C16" s="133" t="s">
        <v>118</v>
      </c>
      <c r="D16" s="133">
        <v>24</v>
      </c>
      <c r="E16" s="200">
        <f>'Gia-DC'!E25</f>
        <v>270000</v>
      </c>
      <c r="F16" s="200">
        <f t="shared" si="0"/>
        <v>432.69230769230768</v>
      </c>
      <c r="G16" s="144">
        <v>4.4800000000000004</v>
      </c>
      <c r="H16" s="143">
        <f t="shared" si="5"/>
        <v>1938.4615384615386</v>
      </c>
      <c r="I16" s="144">
        <v>6.72</v>
      </c>
      <c r="J16" s="145">
        <f t="shared" si="1"/>
        <v>2907.6923076923076</v>
      </c>
      <c r="K16" s="144">
        <v>10.08</v>
      </c>
      <c r="L16" s="145">
        <f t="shared" si="2"/>
        <v>4361.5384615384619</v>
      </c>
      <c r="M16" s="144">
        <v>15.12</v>
      </c>
      <c r="N16" s="143">
        <f t="shared" si="3"/>
        <v>6542.3076923076915</v>
      </c>
      <c r="O16" s="212">
        <v>30.24</v>
      </c>
      <c r="P16" s="143">
        <f t="shared" si="4"/>
        <v>13084.615384615383</v>
      </c>
      <c r="Q16" s="212">
        <v>45.36</v>
      </c>
      <c r="R16" s="143">
        <f t="shared" si="6"/>
        <v>19626.923076923074</v>
      </c>
    </row>
    <row r="17" spans="1:22" ht="21.6" customHeight="1">
      <c r="A17" s="146">
        <v>11</v>
      </c>
      <c r="B17" s="137" t="s">
        <v>130</v>
      </c>
      <c r="C17" s="146" t="s">
        <v>118</v>
      </c>
      <c r="D17" s="146">
        <v>36</v>
      </c>
      <c r="E17" s="213">
        <f>'Gia-DC'!E76</f>
        <v>50000</v>
      </c>
      <c r="F17" s="213">
        <f t="shared" si="0"/>
        <v>53.418803418803421</v>
      </c>
      <c r="G17" s="163">
        <v>11.92</v>
      </c>
      <c r="H17" s="147">
        <f t="shared" si="5"/>
        <v>636.75213675213672</v>
      </c>
      <c r="I17" s="163">
        <v>17.88</v>
      </c>
      <c r="J17" s="148">
        <f t="shared" si="1"/>
        <v>955.12820512820508</v>
      </c>
      <c r="K17" s="163">
        <v>26.81</v>
      </c>
      <c r="L17" s="148">
        <f t="shared" si="2"/>
        <v>1432.1581196581196</v>
      </c>
      <c r="M17" s="163">
        <v>40.22</v>
      </c>
      <c r="N17" s="147">
        <f t="shared" si="3"/>
        <v>2148.5042735042734</v>
      </c>
      <c r="O17" s="214">
        <v>80.44</v>
      </c>
      <c r="P17" s="147">
        <f t="shared" si="4"/>
        <v>4297.0085470085469</v>
      </c>
      <c r="Q17" s="214">
        <v>120.66</v>
      </c>
      <c r="R17" s="143">
        <f t="shared" si="6"/>
        <v>6445.5128205128203</v>
      </c>
    </row>
    <row r="18" spans="1:22" ht="24" customHeight="1">
      <c r="A18" s="196"/>
      <c r="B18" s="130" t="s">
        <v>131</v>
      </c>
      <c r="C18" s="196"/>
      <c r="D18" s="196"/>
      <c r="E18" s="215"/>
      <c r="F18" s="215"/>
      <c r="G18" s="216"/>
      <c r="H18" s="217">
        <f>SUM(H7:H17)</f>
        <v>27375.641025641027</v>
      </c>
      <c r="I18" s="218"/>
      <c r="J18" s="219">
        <f>SUM(J7:J17)</f>
        <v>41063.461538461532</v>
      </c>
      <c r="K18" s="218"/>
      <c r="L18" s="219">
        <f>SUM(L7:L17)</f>
        <v>61579.433760683751</v>
      </c>
      <c r="M18" s="218"/>
      <c r="N18" s="217">
        <f>SUM(N7:N17)</f>
        <v>92377.029914529936</v>
      </c>
      <c r="O18" s="218"/>
      <c r="P18" s="217">
        <f>SUM(P7:P17)</f>
        <v>184754.05982905987</v>
      </c>
      <c r="Q18" s="218"/>
      <c r="R18" s="217">
        <f>SUM(R7:R17)</f>
        <v>277131.08974358969</v>
      </c>
    </row>
    <row r="19" spans="1:22" ht="24" customHeight="1">
      <c r="A19" s="197"/>
      <c r="B19" s="130" t="s">
        <v>275</v>
      </c>
      <c r="C19" s="130"/>
      <c r="D19" s="220"/>
      <c r="E19" s="217"/>
      <c r="F19" s="217"/>
      <c r="G19" s="220"/>
      <c r="H19" s="217">
        <f>H18*0.05</f>
        <v>1368.7820512820515</v>
      </c>
      <c r="I19" s="217"/>
      <c r="J19" s="217">
        <f>J18*0.05</f>
        <v>2053.1730769230767</v>
      </c>
      <c r="K19" s="217"/>
      <c r="L19" s="217">
        <f>L18*0.05</f>
        <v>3078.9716880341875</v>
      </c>
      <c r="M19" s="217"/>
      <c r="N19" s="217">
        <f>N18*0.05</f>
        <v>4618.851495726497</v>
      </c>
      <c r="O19" s="217"/>
      <c r="P19" s="217">
        <f>P18*0.05</f>
        <v>9237.702991452994</v>
      </c>
      <c r="Q19" s="217"/>
      <c r="R19" s="217">
        <f>R18*0.05</f>
        <v>13856.554487179485</v>
      </c>
    </row>
    <row r="20" spans="1:22" ht="24" customHeight="1">
      <c r="A20" s="197"/>
      <c r="B20" s="130" t="s">
        <v>132</v>
      </c>
      <c r="C20" s="130"/>
      <c r="D20" s="220"/>
      <c r="E20" s="217"/>
      <c r="F20" s="217"/>
      <c r="G20" s="220"/>
      <c r="H20" s="217">
        <f>H18+H19</f>
        <v>28744.423076923078</v>
      </c>
      <c r="I20" s="217"/>
      <c r="J20" s="217">
        <f>J18+J19</f>
        <v>43116.63461538461</v>
      </c>
      <c r="K20" s="217"/>
      <c r="L20" s="217">
        <f>L18+L19</f>
        <v>64658.405448717938</v>
      </c>
      <c r="M20" s="217"/>
      <c r="N20" s="217">
        <f>N18+N19</f>
        <v>96995.881410256436</v>
      </c>
      <c r="O20" s="217"/>
      <c r="P20" s="217">
        <f>P18+P19</f>
        <v>193991.76282051287</v>
      </c>
      <c r="Q20" s="217"/>
      <c r="R20" s="217">
        <f>R18+R19</f>
        <v>290987.64423076919</v>
      </c>
    </row>
    <row r="21" spans="1:22" ht="24" customHeight="1">
      <c r="A21" s="197"/>
      <c r="B21" s="130" t="s">
        <v>133</v>
      </c>
      <c r="C21" s="130"/>
      <c r="D21" s="220"/>
      <c r="E21" s="217"/>
      <c r="F21" s="217"/>
      <c r="G21" s="220"/>
      <c r="H21" s="217">
        <f>H20/1</f>
        <v>28744.423076923078</v>
      </c>
      <c r="I21" s="217"/>
      <c r="J21" s="217">
        <f>J20/6.25</f>
        <v>6898.6615384615379</v>
      </c>
      <c r="K21" s="217"/>
      <c r="L21" s="217">
        <f>L20/25</f>
        <v>2586.3362179487176</v>
      </c>
      <c r="M21" s="217"/>
      <c r="N21" s="217">
        <f>N20/100</f>
        <v>969.95881410256436</v>
      </c>
      <c r="O21" s="217"/>
      <c r="P21" s="217">
        <f>P20/900</f>
        <v>215.5464031339032</v>
      </c>
      <c r="Q21" s="217"/>
      <c r="R21" s="217">
        <f>R20/3600</f>
        <v>80.829901175213664</v>
      </c>
    </row>
    <row r="22" spans="1:22" ht="20.45" customHeight="1">
      <c r="A22" s="264"/>
      <c r="B22" s="221"/>
      <c r="C22" s="41"/>
      <c r="D22" s="221"/>
      <c r="E22" s="221"/>
      <c r="F22" s="221"/>
      <c r="G22" s="221"/>
      <c r="H22" s="221"/>
      <c r="I22" s="222"/>
      <c r="J22" s="223"/>
      <c r="K22" s="222"/>
      <c r="L22" s="223"/>
      <c r="M22" s="222"/>
      <c r="N22" s="224"/>
      <c r="O22" s="222"/>
      <c r="P22" s="224"/>
      <c r="Q22" s="222"/>
      <c r="R22" s="224"/>
    </row>
    <row r="23" spans="1:22" ht="20.45" customHeight="1">
      <c r="A23" s="142"/>
      <c r="B23" s="166" t="s">
        <v>263</v>
      </c>
      <c r="C23" s="205" t="s">
        <v>1</v>
      </c>
      <c r="D23" s="166"/>
      <c r="E23" s="225"/>
      <c r="F23" s="225"/>
      <c r="G23" s="166">
        <v>0.6</v>
      </c>
      <c r="H23" s="225">
        <f>G23*$H$21</f>
        <v>17246.653846153848</v>
      </c>
      <c r="I23" s="732">
        <v>0.6</v>
      </c>
      <c r="J23" s="225">
        <f>I23*$J$21</f>
        <v>4139.1969230769228</v>
      </c>
      <c r="K23" s="732">
        <v>0.6</v>
      </c>
      <c r="L23" s="225">
        <f>K23*$L$21</f>
        <v>1551.8017307692305</v>
      </c>
      <c r="M23" s="732">
        <v>0.6</v>
      </c>
      <c r="N23" s="225">
        <f>M23*$N$21</f>
        <v>581.97528846153864</v>
      </c>
      <c r="O23" s="732">
        <v>0.6</v>
      </c>
      <c r="P23" s="225">
        <f>O23*$P$21</f>
        <v>129.32784188034191</v>
      </c>
      <c r="Q23" s="732">
        <v>0.6</v>
      </c>
      <c r="R23" s="225">
        <f>Q23*$R$21</f>
        <v>48.497940705128194</v>
      </c>
    </row>
    <row r="24" spans="1:22" ht="20.45" customHeight="1">
      <c r="A24" s="135"/>
      <c r="B24" s="132" t="s">
        <v>264</v>
      </c>
      <c r="C24" s="165" t="s">
        <v>1</v>
      </c>
      <c r="D24" s="132"/>
      <c r="E24" s="39"/>
      <c r="F24" s="39"/>
      <c r="G24" s="132">
        <v>0.75</v>
      </c>
      <c r="H24" s="225">
        <f>G24*$H$21</f>
        <v>21558.317307692309</v>
      </c>
      <c r="I24" s="733">
        <v>0.75</v>
      </c>
      <c r="J24" s="225">
        <f>I24*$J$21</f>
        <v>5173.9961538461539</v>
      </c>
      <c r="K24" s="733">
        <v>0.75</v>
      </c>
      <c r="L24" s="225">
        <f>K24*$L$21</f>
        <v>1939.7521634615382</v>
      </c>
      <c r="M24" s="733">
        <v>0.75</v>
      </c>
      <c r="N24" s="225">
        <f>M24*$N$21</f>
        <v>727.4691105769233</v>
      </c>
      <c r="O24" s="733">
        <v>0.75</v>
      </c>
      <c r="P24" s="225">
        <f>O24*$P$21</f>
        <v>161.65980235042741</v>
      </c>
      <c r="Q24" s="733">
        <v>0.75</v>
      </c>
      <c r="R24" s="225">
        <f>Q24*$R$21</f>
        <v>60.622425881410251</v>
      </c>
    </row>
    <row r="25" spans="1:22" ht="20.45" customHeight="1">
      <c r="A25" s="135"/>
      <c r="B25" s="132" t="s">
        <v>265</v>
      </c>
      <c r="C25" s="165" t="s">
        <v>1</v>
      </c>
      <c r="D25" s="132"/>
      <c r="E25" s="39"/>
      <c r="F25" s="39"/>
      <c r="G25" s="132">
        <v>1</v>
      </c>
      <c r="H25" s="225">
        <f>G25*$H$21</f>
        <v>28744.423076923078</v>
      </c>
      <c r="I25" s="733">
        <v>1</v>
      </c>
      <c r="J25" s="225">
        <f>I25*$J$21</f>
        <v>6898.6615384615379</v>
      </c>
      <c r="K25" s="733">
        <v>1</v>
      </c>
      <c r="L25" s="225">
        <f>K25*$L$21</f>
        <v>2586.3362179487176</v>
      </c>
      <c r="M25" s="733">
        <v>1</v>
      </c>
      <c r="N25" s="225">
        <f>M25*$N$21</f>
        <v>969.95881410256436</v>
      </c>
      <c r="O25" s="733">
        <v>1</v>
      </c>
      <c r="P25" s="225">
        <f>O25*$P$21</f>
        <v>215.5464031339032</v>
      </c>
      <c r="Q25" s="733">
        <v>1</v>
      </c>
      <c r="R25" s="225">
        <f>Q25*$R$21</f>
        <v>80.829901175213664</v>
      </c>
    </row>
    <row r="26" spans="1:22" ht="20.45" customHeight="1">
      <c r="A26" s="135"/>
      <c r="B26" s="132" t="s">
        <v>266</v>
      </c>
      <c r="C26" s="165" t="s">
        <v>1</v>
      </c>
      <c r="D26" s="135"/>
      <c r="E26" s="143"/>
      <c r="F26" s="143"/>
      <c r="G26" s="132">
        <v>1.2</v>
      </c>
      <c r="H26" s="225">
        <f>G26*$H$21</f>
        <v>34493.307692307695</v>
      </c>
      <c r="I26" s="733">
        <v>1.35</v>
      </c>
      <c r="J26" s="225">
        <f>I26*$J$21</f>
        <v>9313.1930769230767</v>
      </c>
      <c r="K26" s="733">
        <v>1.35</v>
      </c>
      <c r="L26" s="225">
        <f>K26*$L$21</f>
        <v>3491.5538942307689</v>
      </c>
      <c r="M26" s="733">
        <v>1.35</v>
      </c>
      <c r="N26" s="225">
        <f>M26*$N$21</f>
        <v>1309.4443990384621</v>
      </c>
      <c r="O26" s="733">
        <v>1.1000000000000001</v>
      </c>
      <c r="P26" s="225">
        <f>O26*$P$21</f>
        <v>237.10104344729353</v>
      </c>
      <c r="Q26" s="733">
        <v>1.1000000000000001</v>
      </c>
      <c r="R26" s="225">
        <f>Q26*$R$21</f>
        <v>88.91289129273504</v>
      </c>
    </row>
    <row r="27" spans="1:22" ht="20.45" customHeight="1">
      <c r="A27" s="135"/>
      <c r="B27" s="132" t="s">
        <v>267</v>
      </c>
      <c r="C27" s="165" t="s">
        <v>1</v>
      </c>
      <c r="D27" s="132"/>
      <c r="E27" s="39"/>
      <c r="F27" s="39"/>
      <c r="G27" s="132"/>
      <c r="H27" s="39"/>
      <c r="I27" s="733">
        <v>1.75</v>
      </c>
      <c r="J27" s="225">
        <f>I27*$J$21</f>
        <v>12072.657692307692</v>
      </c>
      <c r="K27" s="734">
        <v>1.75</v>
      </c>
      <c r="L27" s="225">
        <f>K27*$L$21</f>
        <v>4526.0883814102563</v>
      </c>
      <c r="M27" s="734">
        <v>1.75</v>
      </c>
      <c r="N27" s="225">
        <f>M27*$N$21</f>
        <v>1697.4279246794877</v>
      </c>
      <c r="O27" s="145"/>
      <c r="P27" s="143"/>
      <c r="Q27" s="145"/>
      <c r="R27" s="143"/>
    </row>
    <row r="28" spans="1:22" s="15" customFormat="1" ht="20.100000000000001" customHeight="1">
      <c r="A28" s="139"/>
      <c r="B28" s="234"/>
      <c r="C28" s="235"/>
      <c r="D28" s="139"/>
      <c r="E28" s="149"/>
      <c r="F28" s="149"/>
      <c r="G28" s="139"/>
      <c r="H28" s="149"/>
      <c r="I28" s="150"/>
      <c r="J28" s="244"/>
      <c r="K28" s="244"/>
      <c r="L28" s="244"/>
      <c r="M28" s="244"/>
      <c r="N28" s="244"/>
      <c r="O28" s="150"/>
      <c r="P28" s="149"/>
      <c r="Q28" s="150"/>
      <c r="R28" s="149"/>
      <c r="S28" s="228"/>
      <c r="T28" s="228"/>
      <c r="U28" s="228"/>
      <c r="V28" s="228"/>
    </row>
    <row r="29" spans="1:22" s="15" customFormat="1">
      <c r="A29" s="159"/>
      <c r="B29" s="159"/>
      <c r="C29" s="157"/>
      <c r="D29" s="159"/>
      <c r="E29" s="158"/>
      <c r="F29" s="158"/>
      <c r="G29" s="159"/>
      <c r="H29" s="158"/>
      <c r="I29" s="159"/>
      <c r="J29" s="160"/>
      <c r="K29" s="159"/>
      <c r="L29" s="160"/>
      <c r="M29" s="159"/>
      <c r="N29" s="158"/>
      <c r="O29" s="159"/>
      <c r="P29" s="158"/>
      <c r="Q29" s="159"/>
      <c r="R29" s="158"/>
      <c r="S29" s="228"/>
      <c r="T29" s="228"/>
      <c r="U29" s="228"/>
      <c r="V29" s="228"/>
    </row>
    <row r="30" spans="1:22" s="15" customFormat="1" ht="12" customHeight="1">
      <c r="A30" s="159"/>
      <c r="B30" s="159"/>
      <c r="C30" s="157"/>
      <c r="D30" s="159"/>
      <c r="E30" s="158"/>
      <c r="F30" s="158"/>
      <c r="G30" s="159"/>
      <c r="H30" s="158"/>
      <c r="I30" s="159"/>
      <c r="J30" s="160"/>
      <c r="K30" s="159"/>
      <c r="L30" s="160"/>
      <c r="M30" s="159"/>
      <c r="N30" s="158"/>
      <c r="O30" s="159"/>
      <c r="P30" s="158"/>
      <c r="Q30" s="159"/>
      <c r="R30" s="158"/>
      <c r="S30" s="228"/>
      <c r="T30" s="228"/>
      <c r="U30" s="228"/>
      <c r="V30" s="228"/>
    </row>
    <row r="31" spans="1:22" s="15" customFormat="1" ht="19.5" customHeight="1">
      <c r="A31" s="227" t="s">
        <v>526</v>
      </c>
      <c r="B31" s="159"/>
      <c r="C31" s="157"/>
      <c r="D31" s="159"/>
      <c r="E31" s="158"/>
      <c r="F31" s="158"/>
      <c r="G31" s="159"/>
      <c r="H31" s="158"/>
      <c r="I31" s="159"/>
      <c r="J31" s="160"/>
      <c r="K31" s="159"/>
      <c r="L31" s="160"/>
      <c r="M31" s="159"/>
      <c r="N31" s="159" t="s">
        <v>269</v>
      </c>
      <c r="O31" s="159"/>
      <c r="P31" s="228"/>
      <c r="Q31" s="159"/>
      <c r="R31" s="228"/>
      <c r="S31" s="228"/>
      <c r="T31" s="228"/>
      <c r="U31" s="228"/>
      <c r="V31" s="228"/>
    </row>
    <row r="32" spans="1:22" ht="12.75" customHeight="1">
      <c r="A32" s="12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20.25" customHeight="1">
      <c r="A33" s="1032" t="s">
        <v>0</v>
      </c>
      <c r="B33" s="1018" t="s">
        <v>307</v>
      </c>
      <c r="C33" s="1032" t="s">
        <v>116</v>
      </c>
      <c r="D33" s="1032" t="s">
        <v>33</v>
      </c>
      <c r="E33" s="1018" t="s">
        <v>513</v>
      </c>
      <c r="F33" s="1018" t="s">
        <v>510</v>
      </c>
      <c r="G33" s="1016" t="s">
        <v>34</v>
      </c>
      <c r="H33" s="1017"/>
      <c r="I33" s="1016" t="s">
        <v>35</v>
      </c>
      <c r="J33" s="1017"/>
      <c r="K33" s="1016" t="s">
        <v>36</v>
      </c>
      <c r="L33" s="1017"/>
      <c r="M33" s="1030" t="s">
        <v>37</v>
      </c>
      <c r="N33" s="1031"/>
      <c r="O33" s="1030" t="s">
        <v>38</v>
      </c>
      <c r="P33" s="1031"/>
      <c r="Q33" s="1030" t="s">
        <v>480</v>
      </c>
      <c r="R33" s="1031"/>
    </row>
    <row r="34" spans="1:18" ht="33" customHeight="1">
      <c r="A34" s="1033"/>
      <c r="B34" s="1019"/>
      <c r="C34" s="1033"/>
      <c r="D34" s="1033"/>
      <c r="E34" s="1019"/>
      <c r="F34" s="1019"/>
      <c r="G34" s="247" t="s">
        <v>511</v>
      </c>
      <c r="H34" s="247" t="s">
        <v>512</v>
      </c>
      <c r="I34" s="247" t="s">
        <v>511</v>
      </c>
      <c r="J34" s="247" t="s">
        <v>512</v>
      </c>
      <c r="K34" s="247" t="s">
        <v>511</v>
      </c>
      <c r="L34" s="247" t="s">
        <v>512</v>
      </c>
      <c r="M34" s="247" t="s">
        <v>511</v>
      </c>
      <c r="N34" s="247" t="s">
        <v>512</v>
      </c>
      <c r="O34" s="247" t="s">
        <v>511</v>
      </c>
      <c r="P34" s="247" t="s">
        <v>512</v>
      </c>
      <c r="Q34" s="247" t="s">
        <v>511</v>
      </c>
      <c r="R34" s="247" t="s">
        <v>512</v>
      </c>
    </row>
    <row r="35" spans="1:18" ht="18.600000000000001" customHeight="1">
      <c r="A35" s="201">
        <v>1</v>
      </c>
      <c r="B35" s="142" t="s">
        <v>117</v>
      </c>
      <c r="C35" s="201" t="s">
        <v>118</v>
      </c>
      <c r="D35" s="201">
        <v>18</v>
      </c>
      <c r="E35" s="236">
        <f>'Gia-DC'!E4</f>
        <v>150000</v>
      </c>
      <c r="F35" s="236">
        <f t="shared" ref="F35:F58" si="7">E35/(D35*26)</f>
        <v>320.5128205128205</v>
      </c>
      <c r="G35" s="237">
        <v>3.86</v>
      </c>
      <c r="H35" s="202">
        <f t="shared" ref="H35:H58" si="8">(G35*F35)</f>
        <v>1237.1794871794871</v>
      </c>
      <c r="I35" s="237">
        <v>2.64</v>
      </c>
      <c r="J35" s="238">
        <f t="shared" ref="J35:J58" si="9">I35*F35</f>
        <v>846.15384615384619</v>
      </c>
      <c r="K35" s="237">
        <v>0.72</v>
      </c>
      <c r="L35" s="238">
        <f t="shared" ref="L35:L58" si="10">K35*F35</f>
        <v>230.76923076923075</v>
      </c>
      <c r="M35" s="237">
        <v>0.62</v>
      </c>
      <c r="N35" s="202">
        <f t="shared" ref="N35:N58" si="11">(M35*F35)</f>
        <v>198.7179487179487</v>
      </c>
      <c r="O35" s="237">
        <v>1.49</v>
      </c>
      <c r="P35" s="202">
        <f t="shared" ref="P35:P58" si="12">(O35*F35)</f>
        <v>477.56410256410254</v>
      </c>
      <c r="Q35" s="237">
        <v>2.98</v>
      </c>
      <c r="R35" s="202">
        <f>Q35*F35</f>
        <v>955.12820512820508</v>
      </c>
    </row>
    <row r="36" spans="1:18" ht="18.600000000000001" customHeight="1">
      <c r="A36" s="133">
        <v>2</v>
      </c>
      <c r="B36" s="135" t="s">
        <v>134</v>
      </c>
      <c r="C36" s="133" t="s">
        <v>118</v>
      </c>
      <c r="D36" s="133">
        <v>18</v>
      </c>
      <c r="E36" s="200">
        <f>'Gia-DC'!E5</f>
        <v>80000</v>
      </c>
      <c r="F36" s="200">
        <f t="shared" si="7"/>
        <v>170.94017094017093</v>
      </c>
      <c r="G36" s="144">
        <v>3.86</v>
      </c>
      <c r="H36" s="143">
        <f t="shared" si="8"/>
        <v>659.82905982905982</v>
      </c>
      <c r="I36" s="144">
        <v>2.64</v>
      </c>
      <c r="J36" s="145">
        <f t="shared" si="9"/>
        <v>451.28205128205127</v>
      </c>
      <c r="K36" s="144">
        <v>0.72</v>
      </c>
      <c r="L36" s="145">
        <f t="shared" si="10"/>
        <v>123.07692307692307</v>
      </c>
      <c r="M36" s="144">
        <v>0.62</v>
      </c>
      <c r="N36" s="143">
        <f t="shared" si="11"/>
        <v>105.98290598290598</v>
      </c>
      <c r="O36" s="144">
        <v>1.49</v>
      </c>
      <c r="P36" s="143">
        <f t="shared" si="12"/>
        <v>254.70085470085468</v>
      </c>
      <c r="Q36" s="144">
        <v>2.98</v>
      </c>
      <c r="R36" s="143">
        <f>Q36*F36</f>
        <v>509.40170940170935</v>
      </c>
    </row>
    <row r="37" spans="1:18" ht="18.600000000000001" customHeight="1">
      <c r="A37" s="133">
        <v>3</v>
      </c>
      <c r="B37" s="135" t="s">
        <v>119</v>
      </c>
      <c r="C37" s="133" t="s">
        <v>118</v>
      </c>
      <c r="D37" s="133">
        <v>18</v>
      </c>
      <c r="E37" s="200">
        <f>'Gia-DC'!E6</f>
        <v>180000</v>
      </c>
      <c r="F37" s="200">
        <f t="shared" si="7"/>
        <v>384.61538461538464</v>
      </c>
      <c r="G37" s="144">
        <v>10.3</v>
      </c>
      <c r="H37" s="143">
        <f t="shared" si="8"/>
        <v>3961.5384615384619</v>
      </c>
      <c r="I37" s="144">
        <v>7.04</v>
      </c>
      <c r="J37" s="145">
        <f t="shared" si="9"/>
        <v>2707.6923076923081</v>
      </c>
      <c r="K37" s="144">
        <v>1.92</v>
      </c>
      <c r="L37" s="145">
        <f t="shared" si="10"/>
        <v>738.46153846153845</v>
      </c>
      <c r="M37" s="144">
        <v>1.66</v>
      </c>
      <c r="N37" s="143">
        <f t="shared" si="11"/>
        <v>638.46153846153845</v>
      </c>
      <c r="O37" s="144">
        <v>3.97</v>
      </c>
      <c r="P37" s="143">
        <f t="shared" si="12"/>
        <v>1526.9230769230771</v>
      </c>
      <c r="Q37" s="144">
        <v>7.94</v>
      </c>
      <c r="R37" s="143">
        <f>Q37*F37</f>
        <v>3053.8461538461543</v>
      </c>
    </row>
    <row r="38" spans="1:18" ht="18.600000000000001" customHeight="1">
      <c r="A38" s="133">
        <v>4</v>
      </c>
      <c r="B38" s="135" t="s">
        <v>161</v>
      </c>
      <c r="C38" s="133" t="s">
        <v>121</v>
      </c>
      <c r="D38" s="133">
        <v>6</v>
      </c>
      <c r="E38" s="200">
        <f>'Gia-DC'!E20</f>
        <v>25000</v>
      </c>
      <c r="F38" s="200">
        <f t="shared" si="7"/>
        <v>160.25641025641025</v>
      </c>
      <c r="G38" s="144">
        <v>10.3</v>
      </c>
      <c r="H38" s="143">
        <f t="shared" si="8"/>
        <v>1650.6410256410256</v>
      </c>
      <c r="I38" s="144">
        <v>7.04</v>
      </c>
      <c r="J38" s="145">
        <f t="shared" si="9"/>
        <v>1128.2051282051282</v>
      </c>
      <c r="K38" s="144">
        <v>1.92</v>
      </c>
      <c r="L38" s="145">
        <f t="shared" si="10"/>
        <v>307.69230769230768</v>
      </c>
      <c r="M38" s="144">
        <v>1.66</v>
      </c>
      <c r="N38" s="143">
        <f t="shared" si="11"/>
        <v>266.02564102564099</v>
      </c>
      <c r="O38" s="144">
        <v>3.97</v>
      </c>
      <c r="P38" s="143">
        <f t="shared" si="12"/>
        <v>636.21794871794873</v>
      </c>
      <c r="Q38" s="144">
        <v>7.94</v>
      </c>
      <c r="R38" s="143">
        <f t="shared" ref="R38:R58" si="13">Q38*F38</f>
        <v>1272.4358974358975</v>
      </c>
    </row>
    <row r="39" spans="1:18" ht="18.600000000000001" customHeight="1">
      <c r="A39" s="133">
        <v>5</v>
      </c>
      <c r="B39" s="135" t="s">
        <v>120</v>
      </c>
      <c r="C39" s="133" t="s">
        <v>121</v>
      </c>
      <c r="D39" s="133">
        <v>12</v>
      </c>
      <c r="E39" s="200">
        <f>'Gia-DC'!E21</f>
        <v>85000</v>
      </c>
      <c r="F39" s="200">
        <f t="shared" si="7"/>
        <v>272.43589743589746</v>
      </c>
      <c r="G39" s="144">
        <v>10.3</v>
      </c>
      <c r="H39" s="143">
        <f t="shared" si="8"/>
        <v>2806.0897435897441</v>
      </c>
      <c r="I39" s="144">
        <v>7.04</v>
      </c>
      <c r="J39" s="145">
        <f t="shared" si="9"/>
        <v>1917.948717948718</v>
      </c>
      <c r="K39" s="144">
        <v>1.92</v>
      </c>
      <c r="L39" s="145">
        <f t="shared" si="10"/>
        <v>523.07692307692309</v>
      </c>
      <c r="M39" s="144">
        <v>1.66</v>
      </c>
      <c r="N39" s="143">
        <f t="shared" si="11"/>
        <v>452.24358974358978</v>
      </c>
      <c r="O39" s="144">
        <v>3.97</v>
      </c>
      <c r="P39" s="143">
        <f t="shared" si="12"/>
        <v>1081.5705128205129</v>
      </c>
      <c r="Q39" s="144">
        <v>7.94</v>
      </c>
      <c r="R39" s="143">
        <f t="shared" si="13"/>
        <v>2163.1410256410259</v>
      </c>
    </row>
    <row r="40" spans="1:18" ht="18.600000000000001" customHeight="1">
      <c r="A40" s="133">
        <v>6</v>
      </c>
      <c r="B40" s="135" t="s">
        <v>122</v>
      </c>
      <c r="C40" s="133" t="s">
        <v>118</v>
      </c>
      <c r="D40" s="133">
        <v>12</v>
      </c>
      <c r="E40" s="200">
        <f>'Gia-DC'!E26</f>
        <v>40000</v>
      </c>
      <c r="F40" s="200">
        <f t="shared" si="7"/>
        <v>128.2051282051282</v>
      </c>
      <c r="G40" s="144">
        <v>10.3</v>
      </c>
      <c r="H40" s="143">
        <f t="shared" si="8"/>
        <v>1320.5128205128206</v>
      </c>
      <c r="I40" s="144">
        <v>7.04</v>
      </c>
      <c r="J40" s="145">
        <f t="shared" si="9"/>
        <v>902.56410256410254</v>
      </c>
      <c r="K40" s="144">
        <v>1.92</v>
      </c>
      <c r="L40" s="145">
        <f t="shared" si="10"/>
        <v>246.15384615384613</v>
      </c>
      <c r="M40" s="144">
        <v>1.66</v>
      </c>
      <c r="N40" s="143">
        <f t="shared" si="11"/>
        <v>212.82051282051282</v>
      </c>
      <c r="O40" s="144">
        <v>3.97</v>
      </c>
      <c r="P40" s="143">
        <f t="shared" si="12"/>
        <v>508.97435897435901</v>
      </c>
      <c r="Q40" s="144">
        <v>7.94</v>
      </c>
      <c r="R40" s="143">
        <f t="shared" si="13"/>
        <v>1017.948717948718</v>
      </c>
    </row>
    <row r="41" spans="1:18" ht="18.600000000000001" customHeight="1">
      <c r="A41" s="133">
        <v>7</v>
      </c>
      <c r="B41" s="135" t="s">
        <v>123</v>
      </c>
      <c r="C41" s="133" t="s">
        <v>124</v>
      </c>
      <c r="D41" s="133">
        <v>9</v>
      </c>
      <c r="E41" s="200">
        <f>'Gia-DC'!E32</f>
        <v>150000</v>
      </c>
      <c r="F41" s="200">
        <f t="shared" si="7"/>
        <v>641.02564102564099</v>
      </c>
      <c r="G41" s="144">
        <v>10.3</v>
      </c>
      <c r="H41" s="143">
        <f t="shared" si="8"/>
        <v>6602.5641025641025</v>
      </c>
      <c r="I41" s="144">
        <v>7.04</v>
      </c>
      <c r="J41" s="145">
        <f t="shared" si="9"/>
        <v>4512.8205128205127</v>
      </c>
      <c r="K41" s="144">
        <v>1.92</v>
      </c>
      <c r="L41" s="145">
        <f t="shared" si="10"/>
        <v>1230.7692307692307</v>
      </c>
      <c r="M41" s="144">
        <v>1.66</v>
      </c>
      <c r="N41" s="143">
        <f t="shared" si="11"/>
        <v>1064.102564102564</v>
      </c>
      <c r="O41" s="144">
        <v>3.97</v>
      </c>
      <c r="P41" s="143">
        <f t="shared" si="12"/>
        <v>2544.8717948717949</v>
      </c>
      <c r="Q41" s="144">
        <v>7.94</v>
      </c>
      <c r="R41" s="143">
        <f t="shared" si="13"/>
        <v>5089.7435897435898</v>
      </c>
    </row>
    <row r="42" spans="1:18" ht="18.600000000000001" customHeight="1">
      <c r="A42" s="133">
        <v>8</v>
      </c>
      <c r="B42" s="135" t="s">
        <v>126</v>
      </c>
      <c r="C42" s="133" t="s">
        <v>118</v>
      </c>
      <c r="D42" s="133">
        <v>12</v>
      </c>
      <c r="E42" s="200">
        <f>'Gia-DC'!E7</f>
        <v>30000</v>
      </c>
      <c r="F42" s="200">
        <f t="shared" si="7"/>
        <v>96.15384615384616</v>
      </c>
      <c r="G42" s="144">
        <v>10.3</v>
      </c>
      <c r="H42" s="143">
        <f t="shared" si="8"/>
        <v>990.38461538461547</v>
      </c>
      <c r="I42" s="144">
        <v>7.04</v>
      </c>
      <c r="J42" s="145">
        <f t="shared" si="9"/>
        <v>676.92307692307702</v>
      </c>
      <c r="K42" s="144">
        <v>1.92</v>
      </c>
      <c r="L42" s="145">
        <f t="shared" si="10"/>
        <v>184.61538461538461</v>
      </c>
      <c r="M42" s="144">
        <v>1.66</v>
      </c>
      <c r="N42" s="143">
        <f t="shared" si="11"/>
        <v>159.61538461538461</v>
      </c>
      <c r="O42" s="144">
        <v>3.97</v>
      </c>
      <c r="P42" s="143">
        <f t="shared" si="12"/>
        <v>381.73076923076928</v>
      </c>
      <c r="Q42" s="144">
        <v>7.94</v>
      </c>
      <c r="R42" s="143">
        <f t="shared" si="13"/>
        <v>763.46153846153857</v>
      </c>
    </row>
    <row r="43" spans="1:18" ht="18.600000000000001" customHeight="1">
      <c r="A43" s="133">
        <v>9</v>
      </c>
      <c r="B43" s="135" t="s">
        <v>270</v>
      </c>
      <c r="C43" s="133" t="s">
        <v>118</v>
      </c>
      <c r="D43" s="133">
        <v>36</v>
      </c>
      <c r="E43" s="200">
        <f>'Gia-DC'!E66</f>
        <v>30000</v>
      </c>
      <c r="F43" s="200">
        <f t="shared" si="7"/>
        <v>32.051282051282051</v>
      </c>
      <c r="G43" s="144">
        <v>0.04</v>
      </c>
      <c r="H43" s="143">
        <f t="shared" si="8"/>
        <v>1.2820512820512822</v>
      </c>
      <c r="I43" s="144">
        <v>0.03</v>
      </c>
      <c r="J43" s="145">
        <f t="shared" si="9"/>
        <v>0.96153846153846145</v>
      </c>
      <c r="K43" s="144">
        <v>0.01</v>
      </c>
      <c r="L43" s="145">
        <f t="shared" si="10"/>
        <v>0.32051282051282054</v>
      </c>
      <c r="M43" s="144">
        <v>0.01</v>
      </c>
      <c r="N43" s="143">
        <f t="shared" si="11"/>
        <v>0.32051282051282054</v>
      </c>
      <c r="O43" s="144">
        <v>0.02</v>
      </c>
      <c r="P43" s="143">
        <f t="shared" si="12"/>
        <v>0.64102564102564108</v>
      </c>
      <c r="Q43" s="144">
        <v>0.04</v>
      </c>
      <c r="R43" s="143">
        <f t="shared" si="13"/>
        <v>1.2820512820512822</v>
      </c>
    </row>
    <row r="44" spans="1:18" ht="18.600000000000001" customHeight="1">
      <c r="A44" s="133">
        <v>10</v>
      </c>
      <c r="B44" s="135" t="s">
        <v>230</v>
      </c>
      <c r="C44" s="133" t="s">
        <v>118</v>
      </c>
      <c r="D44" s="133">
        <v>24</v>
      </c>
      <c r="E44" s="200">
        <f>'Gia-DC'!E67</f>
        <v>25000</v>
      </c>
      <c r="F44" s="200">
        <f t="shared" si="7"/>
        <v>40.064102564102562</v>
      </c>
      <c r="G44" s="144">
        <v>6.44</v>
      </c>
      <c r="H44" s="143">
        <f t="shared" si="8"/>
        <v>258.0128205128205</v>
      </c>
      <c r="I44" s="144">
        <v>4.4000000000000004</v>
      </c>
      <c r="J44" s="145">
        <f t="shared" si="9"/>
        <v>176.2820512820513</v>
      </c>
      <c r="K44" s="144">
        <v>1.2</v>
      </c>
      <c r="L44" s="145">
        <f t="shared" si="10"/>
        <v>48.076923076923073</v>
      </c>
      <c r="M44" s="144">
        <v>1.04</v>
      </c>
      <c r="N44" s="143">
        <f t="shared" si="11"/>
        <v>41.666666666666664</v>
      </c>
      <c r="O44" s="144">
        <v>2.48</v>
      </c>
      <c r="P44" s="143">
        <f t="shared" si="12"/>
        <v>99.358974358974351</v>
      </c>
      <c r="Q44" s="144">
        <v>4.96</v>
      </c>
      <c r="R44" s="143">
        <f t="shared" si="13"/>
        <v>198.7179487179487</v>
      </c>
    </row>
    <row r="45" spans="1:18" ht="18.600000000000001" customHeight="1">
      <c r="A45" s="133">
        <v>11</v>
      </c>
      <c r="B45" s="135" t="s">
        <v>271</v>
      </c>
      <c r="C45" s="133" t="s">
        <v>118</v>
      </c>
      <c r="D45" s="133">
        <v>48</v>
      </c>
      <c r="E45" s="200">
        <f>'Gia-DC'!E22</f>
        <v>150000</v>
      </c>
      <c r="F45" s="200">
        <f t="shared" si="7"/>
        <v>120.19230769230769</v>
      </c>
      <c r="G45" s="144">
        <v>16.100000000000001</v>
      </c>
      <c r="H45" s="143">
        <f t="shared" si="8"/>
        <v>1935.096153846154</v>
      </c>
      <c r="I45" s="144">
        <v>11</v>
      </c>
      <c r="J45" s="145">
        <f t="shared" si="9"/>
        <v>1322.1153846153845</v>
      </c>
      <c r="K45" s="144">
        <v>3</v>
      </c>
      <c r="L45" s="145">
        <f t="shared" si="10"/>
        <v>360.57692307692309</v>
      </c>
      <c r="M45" s="144">
        <v>2.6</v>
      </c>
      <c r="N45" s="143">
        <f t="shared" si="11"/>
        <v>312.5</v>
      </c>
      <c r="O45" s="144">
        <v>6.2</v>
      </c>
      <c r="P45" s="143">
        <f t="shared" si="12"/>
        <v>745.19230769230774</v>
      </c>
      <c r="Q45" s="144">
        <v>12.4</v>
      </c>
      <c r="R45" s="143">
        <f t="shared" si="13"/>
        <v>1490.3846153846155</v>
      </c>
    </row>
    <row r="46" spans="1:18" ht="18.600000000000001" customHeight="1">
      <c r="A46" s="133">
        <v>12</v>
      </c>
      <c r="B46" s="135" t="s">
        <v>127</v>
      </c>
      <c r="C46" s="133" t="s">
        <v>118</v>
      </c>
      <c r="D46" s="133">
        <v>24</v>
      </c>
      <c r="E46" s="200">
        <f>'Gia-DC'!E29</f>
        <v>50000</v>
      </c>
      <c r="F46" s="200">
        <f t="shared" si="7"/>
        <v>80.128205128205124</v>
      </c>
      <c r="G46" s="144">
        <v>3.22</v>
      </c>
      <c r="H46" s="143">
        <f t="shared" si="8"/>
        <v>258.0128205128205</v>
      </c>
      <c r="I46" s="144">
        <v>2.2000000000000002</v>
      </c>
      <c r="J46" s="145">
        <f t="shared" si="9"/>
        <v>176.2820512820513</v>
      </c>
      <c r="K46" s="144">
        <v>0.6</v>
      </c>
      <c r="L46" s="145">
        <f t="shared" si="10"/>
        <v>48.076923076923073</v>
      </c>
      <c r="M46" s="144">
        <v>0.52</v>
      </c>
      <c r="N46" s="143">
        <f t="shared" si="11"/>
        <v>41.666666666666664</v>
      </c>
      <c r="O46" s="144">
        <v>1.24</v>
      </c>
      <c r="P46" s="143">
        <f t="shared" si="12"/>
        <v>99.358974358974351</v>
      </c>
      <c r="Q46" s="144">
        <v>2.48</v>
      </c>
      <c r="R46" s="143">
        <f t="shared" si="13"/>
        <v>198.7179487179487</v>
      </c>
    </row>
    <row r="47" spans="1:18" ht="18.600000000000001" customHeight="1">
      <c r="A47" s="133">
        <v>13</v>
      </c>
      <c r="B47" s="135" t="s">
        <v>168</v>
      </c>
      <c r="C47" s="133" t="s">
        <v>167</v>
      </c>
      <c r="D47" s="133">
        <v>9</v>
      </c>
      <c r="E47" s="200">
        <f>'Gia-DC'!E28</f>
        <v>20000</v>
      </c>
      <c r="F47" s="200">
        <f t="shared" si="7"/>
        <v>85.470085470085465</v>
      </c>
      <c r="G47" s="144">
        <v>0.64</v>
      </c>
      <c r="H47" s="143">
        <f t="shared" si="8"/>
        <v>54.700854700854698</v>
      </c>
      <c r="I47" s="144">
        <v>0.44</v>
      </c>
      <c r="J47" s="145">
        <f t="shared" si="9"/>
        <v>37.606837606837608</v>
      </c>
      <c r="K47" s="144">
        <v>0.12</v>
      </c>
      <c r="L47" s="145">
        <f t="shared" si="10"/>
        <v>10.256410256410255</v>
      </c>
      <c r="M47" s="144">
        <v>0.1</v>
      </c>
      <c r="N47" s="143">
        <f t="shared" si="11"/>
        <v>8.5470085470085468</v>
      </c>
      <c r="O47" s="144">
        <v>0.25</v>
      </c>
      <c r="P47" s="143">
        <f t="shared" si="12"/>
        <v>21.367521367521366</v>
      </c>
      <c r="Q47" s="144">
        <v>0.5</v>
      </c>
      <c r="R47" s="143">
        <f t="shared" si="13"/>
        <v>42.735042735042732</v>
      </c>
    </row>
    <row r="48" spans="1:18" ht="18.600000000000001" customHeight="1">
      <c r="A48" s="133">
        <v>14</v>
      </c>
      <c r="B48" s="135" t="s">
        <v>178</v>
      </c>
      <c r="C48" s="133" t="s">
        <v>118</v>
      </c>
      <c r="D48" s="133">
        <v>12</v>
      </c>
      <c r="E48" s="200">
        <f>'Gia-DC'!E58</f>
        <v>30000</v>
      </c>
      <c r="F48" s="200">
        <f t="shared" si="7"/>
        <v>96.15384615384616</v>
      </c>
      <c r="G48" s="144">
        <v>16.100000000000001</v>
      </c>
      <c r="H48" s="143">
        <f t="shared" si="8"/>
        <v>1548.0769230769233</v>
      </c>
      <c r="I48" s="144">
        <v>11</v>
      </c>
      <c r="J48" s="145">
        <f t="shared" si="9"/>
        <v>1057.6923076923078</v>
      </c>
      <c r="K48" s="144">
        <v>3</v>
      </c>
      <c r="L48" s="145">
        <f t="shared" si="10"/>
        <v>288.46153846153845</v>
      </c>
      <c r="M48" s="144">
        <v>2.6</v>
      </c>
      <c r="N48" s="143">
        <f t="shared" si="11"/>
        <v>250.00000000000003</v>
      </c>
      <c r="O48" s="144">
        <v>6.2</v>
      </c>
      <c r="P48" s="143">
        <f t="shared" si="12"/>
        <v>596.15384615384619</v>
      </c>
      <c r="Q48" s="144">
        <v>12.4</v>
      </c>
      <c r="R48" s="143">
        <f t="shared" si="13"/>
        <v>1192.3076923076924</v>
      </c>
    </row>
    <row r="49" spans="1:22" ht="18.600000000000001" customHeight="1">
      <c r="A49" s="133">
        <v>15</v>
      </c>
      <c r="B49" s="135" t="s">
        <v>26</v>
      </c>
      <c r="C49" s="133" t="s">
        <v>124</v>
      </c>
      <c r="D49" s="133">
        <v>24</v>
      </c>
      <c r="E49" s="200">
        <f>'Gia-DC'!E19</f>
        <v>60000</v>
      </c>
      <c r="F49" s="200">
        <f t="shared" si="7"/>
        <v>96.15384615384616</v>
      </c>
      <c r="G49" s="144">
        <v>0.64</v>
      </c>
      <c r="H49" s="143">
        <f t="shared" si="8"/>
        <v>61.538461538461547</v>
      </c>
      <c r="I49" s="144">
        <v>0.44</v>
      </c>
      <c r="J49" s="145">
        <f t="shared" si="9"/>
        <v>42.307692307692314</v>
      </c>
      <c r="K49" s="144">
        <v>0.12</v>
      </c>
      <c r="L49" s="145">
        <f t="shared" si="10"/>
        <v>11.538461538461538</v>
      </c>
      <c r="M49" s="144">
        <v>0.1</v>
      </c>
      <c r="N49" s="143">
        <f t="shared" si="11"/>
        <v>9.6153846153846168</v>
      </c>
      <c r="O49" s="144">
        <v>0.25</v>
      </c>
      <c r="P49" s="143">
        <f t="shared" si="12"/>
        <v>24.03846153846154</v>
      </c>
      <c r="Q49" s="144">
        <v>0.5</v>
      </c>
      <c r="R49" s="143">
        <f t="shared" si="13"/>
        <v>48.07692307692308</v>
      </c>
    </row>
    <row r="50" spans="1:22" ht="18.600000000000001" customHeight="1">
      <c r="A50" s="133">
        <v>16</v>
      </c>
      <c r="B50" s="135" t="s">
        <v>177</v>
      </c>
      <c r="C50" s="133" t="s">
        <v>118</v>
      </c>
      <c r="D50" s="133">
        <v>6</v>
      </c>
      <c r="E50" s="200">
        <f>'Gia-DC'!E57</f>
        <v>15000</v>
      </c>
      <c r="F50" s="200">
        <f t="shared" si="7"/>
        <v>96.15384615384616</v>
      </c>
      <c r="G50" s="144">
        <v>1.61</v>
      </c>
      <c r="H50" s="143">
        <f t="shared" si="8"/>
        <v>154.80769230769232</v>
      </c>
      <c r="I50" s="144">
        <v>1.1000000000000001</v>
      </c>
      <c r="J50" s="145">
        <f t="shared" si="9"/>
        <v>105.76923076923079</v>
      </c>
      <c r="K50" s="144">
        <v>0.3</v>
      </c>
      <c r="L50" s="145">
        <f t="shared" si="10"/>
        <v>28.846153846153847</v>
      </c>
      <c r="M50" s="144">
        <v>0.26</v>
      </c>
      <c r="N50" s="143">
        <f t="shared" si="11"/>
        <v>25.000000000000004</v>
      </c>
      <c r="O50" s="144">
        <v>0.62</v>
      </c>
      <c r="P50" s="143">
        <f t="shared" si="12"/>
        <v>59.61538461538462</v>
      </c>
      <c r="Q50" s="144">
        <v>1.24</v>
      </c>
      <c r="R50" s="143">
        <f t="shared" si="13"/>
        <v>119.23076923076924</v>
      </c>
    </row>
    <row r="51" spans="1:22" ht="18.600000000000001" customHeight="1">
      <c r="A51" s="133">
        <v>17</v>
      </c>
      <c r="B51" s="135" t="s">
        <v>233</v>
      </c>
      <c r="C51" s="133" t="s">
        <v>272</v>
      </c>
      <c r="D51" s="133">
        <v>48</v>
      </c>
      <c r="E51" s="200">
        <f>'Gia-DC'!E71</f>
        <v>25000</v>
      </c>
      <c r="F51" s="200">
        <f t="shared" si="7"/>
        <v>20.032051282051281</v>
      </c>
      <c r="G51" s="144">
        <v>4.29</v>
      </c>
      <c r="H51" s="143">
        <f t="shared" si="8"/>
        <v>85.9375</v>
      </c>
      <c r="I51" s="144">
        <v>2.93</v>
      </c>
      <c r="J51" s="145">
        <f t="shared" si="9"/>
        <v>58.693910256410255</v>
      </c>
      <c r="K51" s="144">
        <v>0.8</v>
      </c>
      <c r="L51" s="145">
        <f t="shared" si="10"/>
        <v>16.025641025641026</v>
      </c>
      <c r="M51" s="144">
        <v>0.69</v>
      </c>
      <c r="N51" s="143">
        <f t="shared" si="11"/>
        <v>13.822115384615383</v>
      </c>
      <c r="O51" s="144">
        <v>1.65</v>
      </c>
      <c r="P51" s="143">
        <f t="shared" si="12"/>
        <v>33.052884615384613</v>
      </c>
      <c r="Q51" s="144">
        <v>3.3</v>
      </c>
      <c r="R51" s="143">
        <f t="shared" si="13"/>
        <v>66.105769230769226</v>
      </c>
    </row>
    <row r="52" spans="1:22" ht="18.600000000000001" customHeight="1">
      <c r="A52" s="133">
        <v>18</v>
      </c>
      <c r="B52" s="135" t="s">
        <v>273</v>
      </c>
      <c r="C52" s="133" t="s">
        <v>272</v>
      </c>
      <c r="D52" s="133">
        <v>48</v>
      </c>
      <c r="E52" s="200">
        <f>'Gia-DC'!E52</f>
        <v>25000</v>
      </c>
      <c r="F52" s="200">
        <f t="shared" si="7"/>
        <v>20.032051282051281</v>
      </c>
      <c r="G52" s="144">
        <v>4.83</v>
      </c>
      <c r="H52" s="143">
        <f t="shared" si="8"/>
        <v>96.754807692307693</v>
      </c>
      <c r="I52" s="144">
        <v>3.3</v>
      </c>
      <c r="J52" s="145">
        <f t="shared" si="9"/>
        <v>66.105769230769226</v>
      </c>
      <c r="K52" s="144">
        <v>0.9</v>
      </c>
      <c r="L52" s="145">
        <f t="shared" si="10"/>
        <v>18.028846153846153</v>
      </c>
      <c r="M52" s="144">
        <v>0.78</v>
      </c>
      <c r="N52" s="143">
        <f t="shared" si="11"/>
        <v>15.625</v>
      </c>
      <c r="O52" s="144">
        <v>1.86</v>
      </c>
      <c r="P52" s="143">
        <f t="shared" si="12"/>
        <v>37.259615384615387</v>
      </c>
      <c r="Q52" s="144">
        <v>3.72</v>
      </c>
      <c r="R52" s="143">
        <f t="shared" si="13"/>
        <v>74.519230769230774</v>
      </c>
    </row>
    <row r="53" spans="1:22" ht="18.600000000000001" customHeight="1">
      <c r="A53" s="133">
        <v>19</v>
      </c>
      <c r="B53" s="135" t="s">
        <v>234</v>
      </c>
      <c r="C53" s="133" t="s">
        <v>118</v>
      </c>
      <c r="D53" s="133">
        <v>6</v>
      </c>
      <c r="E53" s="200">
        <f>'Gia-DC'!E72</f>
        <v>1000</v>
      </c>
      <c r="F53" s="200">
        <f t="shared" si="7"/>
        <v>6.4102564102564106</v>
      </c>
      <c r="G53" s="144">
        <v>16.100000000000001</v>
      </c>
      <c r="H53" s="143">
        <f t="shared" si="8"/>
        <v>103.20512820512822</v>
      </c>
      <c r="I53" s="144">
        <v>11</v>
      </c>
      <c r="J53" s="145">
        <f t="shared" si="9"/>
        <v>70.512820512820511</v>
      </c>
      <c r="K53" s="144">
        <v>3</v>
      </c>
      <c r="L53" s="145">
        <f t="shared" si="10"/>
        <v>19.230769230769234</v>
      </c>
      <c r="M53" s="144">
        <v>2.6</v>
      </c>
      <c r="N53" s="143">
        <f t="shared" si="11"/>
        <v>16.666666666666668</v>
      </c>
      <c r="O53" s="144">
        <v>6.2</v>
      </c>
      <c r="P53" s="143">
        <f t="shared" si="12"/>
        <v>39.743589743589745</v>
      </c>
      <c r="Q53" s="144">
        <v>12.4</v>
      </c>
      <c r="R53" s="143">
        <f t="shared" si="13"/>
        <v>79.487179487179489</v>
      </c>
    </row>
    <row r="54" spans="1:22" ht="18.600000000000001" customHeight="1">
      <c r="A54" s="133">
        <v>20</v>
      </c>
      <c r="B54" s="135" t="s">
        <v>274</v>
      </c>
      <c r="C54" s="133" t="s">
        <v>118</v>
      </c>
      <c r="D54" s="133">
        <v>24</v>
      </c>
      <c r="E54" s="200">
        <f>'Gia-DC'!E25</f>
        <v>270000</v>
      </c>
      <c r="F54" s="200">
        <f t="shared" si="7"/>
        <v>432.69230769230768</v>
      </c>
      <c r="G54" s="144">
        <v>0.64</v>
      </c>
      <c r="H54" s="143">
        <f t="shared" si="8"/>
        <v>276.92307692307691</v>
      </c>
      <c r="I54" s="144">
        <v>0.44</v>
      </c>
      <c r="J54" s="145">
        <f t="shared" si="9"/>
        <v>190.38461538461539</v>
      </c>
      <c r="K54" s="144">
        <v>0.12</v>
      </c>
      <c r="L54" s="145">
        <f t="shared" si="10"/>
        <v>51.92307692307692</v>
      </c>
      <c r="M54" s="144">
        <v>0.1</v>
      </c>
      <c r="N54" s="143">
        <f t="shared" si="11"/>
        <v>43.269230769230774</v>
      </c>
      <c r="O54" s="144">
        <v>0.25</v>
      </c>
      <c r="P54" s="143">
        <f t="shared" si="12"/>
        <v>108.17307692307692</v>
      </c>
      <c r="Q54" s="144">
        <v>0.5</v>
      </c>
      <c r="R54" s="143">
        <f t="shared" si="13"/>
        <v>216.34615384615384</v>
      </c>
    </row>
    <row r="55" spans="1:22" ht="18.600000000000001" customHeight="1">
      <c r="A55" s="133">
        <v>21</v>
      </c>
      <c r="B55" s="135" t="s">
        <v>166</v>
      </c>
      <c r="C55" s="133" t="s">
        <v>167</v>
      </c>
      <c r="D55" s="133">
        <v>9</v>
      </c>
      <c r="E55" s="200">
        <f>'Gia-DC'!E27</f>
        <v>50000</v>
      </c>
      <c r="F55" s="200">
        <f t="shared" si="7"/>
        <v>213.67521367521368</v>
      </c>
      <c r="G55" s="144">
        <v>3.22</v>
      </c>
      <c r="H55" s="143">
        <f t="shared" si="8"/>
        <v>688.03418803418811</v>
      </c>
      <c r="I55" s="144">
        <v>2.2000000000000002</v>
      </c>
      <c r="J55" s="145">
        <f t="shared" si="9"/>
        <v>470.08547008547015</v>
      </c>
      <c r="K55" s="144">
        <v>0.6</v>
      </c>
      <c r="L55" s="145">
        <f t="shared" si="10"/>
        <v>128.2051282051282</v>
      </c>
      <c r="M55" s="144">
        <v>0.52</v>
      </c>
      <c r="N55" s="143">
        <f t="shared" si="11"/>
        <v>111.11111111111111</v>
      </c>
      <c r="O55" s="144">
        <v>1.24</v>
      </c>
      <c r="P55" s="143">
        <f t="shared" si="12"/>
        <v>264.95726495726495</v>
      </c>
      <c r="Q55" s="144">
        <v>2.48</v>
      </c>
      <c r="R55" s="143">
        <f t="shared" si="13"/>
        <v>529.91452991452991</v>
      </c>
    </row>
    <row r="56" spans="1:22" ht="18.600000000000001" customHeight="1">
      <c r="A56" s="133">
        <v>22</v>
      </c>
      <c r="B56" s="135" t="s">
        <v>172</v>
      </c>
      <c r="C56" s="133" t="s">
        <v>118</v>
      </c>
      <c r="D56" s="133">
        <v>24</v>
      </c>
      <c r="E56" s="200">
        <f>'Gia-DC'!E31</f>
        <v>60000</v>
      </c>
      <c r="F56" s="200">
        <f t="shared" si="7"/>
        <v>96.15384615384616</v>
      </c>
      <c r="G56" s="144">
        <v>16.100000000000001</v>
      </c>
      <c r="H56" s="143">
        <f t="shared" si="8"/>
        <v>1548.0769230769233</v>
      </c>
      <c r="I56" s="144">
        <v>11</v>
      </c>
      <c r="J56" s="145">
        <f t="shared" si="9"/>
        <v>1057.6923076923078</v>
      </c>
      <c r="K56" s="144">
        <v>3</v>
      </c>
      <c r="L56" s="145">
        <f t="shared" si="10"/>
        <v>288.46153846153845</v>
      </c>
      <c r="M56" s="144">
        <v>2.6</v>
      </c>
      <c r="N56" s="143">
        <f t="shared" si="11"/>
        <v>250.00000000000003</v>
      </c>
      <c r="O56" s="144">
        <v>6.2</v>
      </c>
      <c r="P56" s="143">
        <f t="shared" si="12"/>
        <v>596.15384615384619</v>
      </c>
      <c r="Q56" s="144">
        <v>12.4</v>
      </c>
      <c r="R56" s="143">
        <f t="shared" si="13"/>
        <v>1192.3076923076924</v>
      </c>
    </row>
    <row r="57" spans="1:22" ht="18.600000000000001" customHeight="1">
      <c r="A57" s="133">
        <v>23</v>
      </c>
      <c r="B57" s="135" t="s">
        <v>181</v>
      </c>
      <c r="C57" s="133" t="s">
        <v>118</v>
      </c>
      <c r="D57" s="133">
        <v>30</v>
      </c>
      <c r="E57" s="200">
        <f>'Gia-DC'!E74</f>
        <v>230000</v>
      </c>
      <c r="F57" s="200">
        <f t="shared" si="7"/>
        <v>294.87179487179486</v>
      </c>
      <c r="G57" s="144">
        <v>0.64</v>
      </c>
      <c r="H57" s="143">
        <f t="shared" si="8"/>
        <v>188.7179487179487</v>
      </c>
      <c r="I57" s="144">
        <v>0.44</v>
      </c>
      <c r="J57" s="145">
        <f t="shared" si="9"/>
        <v>129.74358974358975</v>
      </c>
      <c r="K57" s="144">
        <v>0.12</v>
      </c>
      <c r="L57" s="145">
        <f t="shared" si="10"/>
        <v>35.38461538461538</v>
      </c>
      <c r="M57" s="144">
        <v>0.1</v>
      </c>
      <c r="N57" s="143">
        <f t="shared" si="11"/>
        <v>29.487179487179489</v>
      </c>
      <c r="O57" s="144">
        <v>0.25</v>
      </c>
      <c r="P57" s="143">
        <f t="shared" si="12"/>
        <v>73.717948717948715</v>
      </c>
      <c r="Q57" s="144">
        <v>0.5</v>
      </c>
      <c r="R57" s="143">
        <f t="shared" si="13"/>
        <v>147.43589743589743</v>
      </c>
    </row>
    <row r="58" spans="1:22" ht="18.600000000000001" customHeight="1">
      <c r="A58" s="133">
        <v>24</v>
      </c>
      <c r="B58" s="135" t="s">
        <v>130</v>
      </c>
      <c r="C58" s="133" t="s">
        <v>118</v>
      </c>
      <c r="D58" s="133">
        <v>60</v>
      </c>
      <c r="E58" s="200">
        <f>'Gia-DC'!E76</f>
        <v>50000</v>
      </c>
      <c r="F58" s="200">
        <f t="shared" si="7"/>
        <v>32.051282051282051</v>
      </c>
      <c r="G58" s="144">
        <v>1.61</v>
      </c>
      <c r="H58" s="143">
        <f t="shared" si="8"/>
        <v>51.602564102564102</v>
      </c>
      <c r="I58" s="144">
        <v>1.1000000000000001</v>
      </c>
      <c r="J58" s="145">
        <f t="shared" si="9"/>
        <v>35.256410256410263</v>
      </c>
      <c r="K58" s="144">
        <v>0.3</v>
      </c>
      <c r="L58" s="145">
        <f t="shared" si="10"/>
        <v>9.615384615384615</v>
      </c>
      <c r="M58" s="144">
        <v>0.26</v>
      </c>
      <c r="N58" s="143">
        <f t="shared" si="11"/>
        <v>8.3333333333333339</v>
      </c>
      <c r="O58" s="144">
        <v>0.62</v>
      </c>
      <c r="P58" s="143">
        <f t="shared" si="12"/>
        <v>19.871794871794872</v>
      </c>
      <c r="Q58" s="144">
        <v>1.24</v>
      </c>
      <c r="R58" s="143">
        <f t="shared" si="13"/>
        <v>39.743589743589745</v>
      </c>
    </row>
    <row r="59" spans="1:22" s="44" customFormat="1" ht="24" customHeight="1">
      <c r="A59" s="130"/>
      <c r="B59" s="130" t="s">
        <v>276</v>
      </c>
      <c r="C59" s="130"/>
      <c r="D59" s="130"/>
      <c r="E59" s="239"/>
      <c r="F59" s="239"/>
      <c r="G59" s="220"/>
      <c r="H59" s="217">
        <f>SUM(H35:H58)</f>
        <v>26539.519230769227</v>
      </c>
      <c r="I59" s="220"/>
      <c r="J59" s="219">
        <f>SUM(J35:J58)</f>
        <v>18141.08173076923</v>
      </c>
      <c r="K59" s="218"/>
      <c r="L59" s="219">
        <f>SUM(L35:L58)</f>
        <v>4947.6442307692296</v>
      </c>
      <c r="M59" s="220"/>
      <c r="N59" s="217">
        <f>SUM(N35:N58)</f>
        <v>4275.6009615384619</v>
      </c>
      <c r="O59" s="220"/>
      <c r="P59" s="217">
        <f>SUM(P35:P58)</f>
        <v>10231.209935897437</v>
      </c>
      <c r="Q59" s="220"/>
      <c r="R59" s="217">
        <f>SUM(R35:R58)</f>
        <v>20462.419871794875</v>
      </c>
      <c r="S59" s="265"/>
      <c r="T59" s="265"/>
      <c r="U59" s="265"/>
      <c r="V59" s="265"/>
    </row>
    <row r="60" spans="1:22" ht="24" customHeight="1">
      <c r="A60" s="203"/>
      <c r="B60" s="192" t="s">
        <v>275</v>
      </c>
      <c r="C60" s="192"/>
      <c r="D60" s="193"/>
      <c r="E60" s="240"/>
      <c r="F60" s="204"/>
      <c r="G60" s="203"/>
      <c r="H60" s="241">
        <f>H59*0.05</f>
        <v>1326.9759615384614</v>
      </c>
      <c r="I60" s="241"/>
      <c r="J60" s="241">
        <f>J59*0.05</f>
        <v>907.05408653846155</v>
      </c>
      <c r="K60" s="241"/>
      <c r="L60" s="241">
        <f>L59*0.05</f>
        <v>247.38221153846149</v>
      </c>
      <c r="M60" s="241"/>
      <c r="N60" s="241">
        <f>N59*0.05</f>
        <v>213.78004807692309</v>
      </c>
      <c r="O60" s="241"/>
      <c r="P60" s="241">
        <f>P59*0.05</f>
        <v>511.56049679487188</v>
      </c>
      <c r="Q60" s="241"/>
      <c r="R60" s="241">
        <f>R59*0.05</f>
        <v>1023.1209935897438</v>
      </c>
    </row>
    <row r="61" spans="1:22" ht="24" customHeight="1">
      <c r="A61" s="197"/>
      <c r="B61" s="130" t="s">
        <v>132</v>
      </c>
      <c r="C61" s="130"/>
      <c r="D61" s="220"/>
      <c r="E61" s="217"/>
      <c r="F61" s="217"/>
      <c r="G61" s="220"/>
      <c r="H61" s="217">
        <f>H59+H60</f>
        <v>27866.495192307688</v>
      </c>
      <c r="I61" s="217"/>
      <c r="J61" s="217">
        <f t="shared" ref="J61:P61" si="14">J59+J60</f>
        <v>19048.135817307691</v>
      </c>
      <c r="K61" s="217"/>
      <c r="L61" s="217">
        <f t="shared" si="14"/>
        <v>5195.0264423076915</v>
      </c>
      <c r="M61" s="217"/>
      <c r="N61" s="217">
        <f t="shared" si="14"/>
        <v>4489.3810096153848</v>
      </c>
      <c r="O61" s="217"/>
      <c r="P61" s="217">
        <f t="shared" si="14"/>
        <v>10742.770432692309</v>
      </c>
      <c r="Q61" s="217"/>
      <c r="R61" s="217">
        <f>R59+R60</f>
        <v>21485.540865384617</v>
      </c>
    </row>
    <row r="62" spans="1:22" ht="24" customHeight="1">
      <c r="A62" s="197"/>
      <c r="B62" s="130" t="s">
        <v>277</v>
      </c>
      <c r="C62" s="130"/>
      <c r="D62" s="220"/>
      <c r="E62" s="217"/>
      <c r="F62" s="217"/>
      <c r="G62" s="220"/>
      <c r="H62" s="217">
        <f>H61/100</f>
        <v>278.6649519230769</v>
      </c>
      <c r="I62" s="217"/>
      <c r="J62" s="217">
        <f t="shared" ref="J62:P62" si="15">J61/100</f>
        <v>190.48135817307693</v>
      </c>
      <c r="K62" s="217"/>
      <c r="L62" s="217">
        <f t="shared" si="15"/>
        <v>51.950264423076916</v>
      </c>
      <c r="M62" s="217"/>
      <c r="N62" s="217">
        <f t="shared" si="15"/>
        <v>44.89381009615385</v>
      </c>
      <c r="O62" s="217"/>
      <c r="P62" s="217">
        <f t="shared" si="15"/>
        <v>107.42770432692309</v>
      </c>
      <c r="Q62" s="217"/>
      <c r="R62" s="217">
        <f>R61/100</f>
        <v>214.85540865384618</v>
      </c>
    </row>
    <row r="63" spans="1:22" ht="24" customHeight="1">
      <c r="A63" s="687"/>
      <c r="B63" s="267"/>
      <c r="C63" s="267"/>
      <c r="D63" s="266"/>
      <c r="E63" s="268"/>
      <c r="F63" s="268"/>
      <c r="G63" s="266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</row>
    <row r="64" spans="1:22" ht="19.899999999999999" customHeight="1">
      <c r="A64" s="688"/>
      <c r="B64" s="689"/>
      <c r="C64" s="690"/>
      <c r="D64" s="689"/>
      <c r="E64" s="691"/>
      <c r="F64" s="691"/>
      <c r="G64" s="689"/>
      <c r="H64" s="691"/>
      <c r="I64" s="689"/>
      <c r="J64" s="692"/>
      <c r="K64" s="689"/>
      <c r="L64" s="692"/>
      <c r="M64" s="689"/>
      <c r="N64" s="691"/>
      <c r="O64" s="689"/>
      <c r="P64" s="691"/>
      <c r="Q64" s="689"/>
      <c r="R64" s="691"/>
    </row>
    <row r="65" spans="1:18" ht="20.25" customHeight="1">
      <c r="A65" s="1032" t="s">
        <v>0</v>
      </c>
      <c r="B65" s="1018" t="s">
        <v>307</v>
      </c>
      <c r="C65" s="1032" t="s">
        <v>116</v>
      </c>
      <c r="D65" s="1032" t="s">
        <v>33</v>
      </c>
      <c r="E65" s="1018" t="s">
        <v>513</v>
      </c>
      <c r="F65" s="1018" t="s">
        <v>510</v>
      </c>
      <c r="G65" s="1016" t="s">
        <v>34</v>
      </c>
      <c r="H65" s="1017"/>
      <c r="I65" s="1016" t="s">
        <v>35</v>
      </c>
      <c r="J65" s="1017"/>
      <c r="K65" s="1016" t="s">
        <v>36</v>
      </c>
      <c r="L65" s="1017"/>
      <c r="M65" s="1030" t="s">
        <v>37</v>
      </c>
      <c r="N65" s="1031"/>
      <c r="O65" s="1030" t="s">
        <v>38</v>
      </c>
      <c r="P65" s="1031"/>
      <c r="Q65" s="1030" t="s">
        <v>480</v>
      </c>
      <c r="R65" s="1031"/>
    </row>
    <row r="66" spans="1:18" ht="33" customHeight="1">
      <c r="A66" s="1033"/>
      <c r="B66" s="1019"/>
      <c r="C66" s="1033"/>
      <c r="D66" s="1033"/>
      <c r="E66" s="1019"/>
      <c r="F66" s="1019"/>
      <c r="G66" s="247" t="s">
        <v>511</v>
      </c>
      <c r="H66" s="247" t="s">
        <v>512</v>
      </c>
      <c r="I66" s="247" t="s">
        <v>511</v>
      </c>
      <c r="J66" s="247" t="s">
        <v>512</v>
      </c>
      <c r="K66" s="247" t="s">
        <v>511</v>
      </c>
      <c r="L66" s="247" t="s">
        <v>512</v>
      </c>
      <c r="M66" s="247" t="s">
        <v>511</v>
      </c>
      <c r="N66" s="247" t="s">
        <v>512</v>
      </c>
      <c r="O66" s="247" t="s">
        <v>511</v>
      </c>
      <c r="P66" s="247" t="s">
        <v>512</v>
      </c>
      <c r="Q66" s="247" t="s">
        <v>511</v>
      </c>
      <c r="R66" s="247" t="s">
        <v>512</v>
      </c>
    </row>
    <row r="67" spans="1:18" ht="23.45" customHeight="1">
      <c r="A67" s="195"/>
      <c r="B67" s="232" t="s">
        <v>263</v>
      </c>
      <c r="C67" s="233" t="s">
        <v>278</v>
      </c>
      <c r="D67" s="232"/>
      <c r="E67" s="243"/>
      <c r="F67" s="243"/>
      <c r="G67" s="232">
        <v>0.6</v>
      </c>
      <c r="H67" s="243">
        <f>G67*$H$62</f>
        <v>167.19897115384614</v>
      </c>
      <c r="I67" s="735">
        <v>0.6</v>
      </c>
      <c r="J67" s="243">
        <f>I67*$J$62</f>
        <v>114.28881490384616</v>
      </c>
      <c r="K67" s="735">
        <v>0.6</v>
      </c>
      <c r="L67" s="243">
        <f>K67*$L$62</f>
        <v>31.170158653846148</v>
      </c>
      <c r="M67" s="735">
        <v>0.6</v>
      </c>
      <c r="N67" s="243">
        <f>M67*$N$62</f>
        <v>26.93628605769231</v>
      </c>
      <c r="O67" s="735">
        <v>0.6</v>
      </c>
      <c r="P67" s="243">
        <f>O67*$P$62</f>
        <v>64.456622596153849</v>
      </c>
      <c r="Q67" s="735">
        <v>0.6</v>
      </c>
      <c r="R67" s="243">
        <f>Q67*$R$62</f>
        <v>128.9132451923077</v>
      </c>
    </row>
    <row r="68" spans="1:18" ht="23.45" customHeight="1">
      <c r="A68" s="135"/>
      <c r="B68" s="132" t="s">
        <v>264</v>
      </c>
      <c r="C68" s="165" t="s">
        <v>278</v>
      </c>
      <c r="D68" s="132"/>
      <c r="E68" s="39"/>
      <c r="F68" s="39"/>
      <c r="G68" s="132">
        <v>0.75</v>
      </c>
      <c r="H68" s="243">
        <f>G68*$H$62</f>
        <v>208.99871394230769</v>
      </c>
      <c r="I68" s="733">
        <v>0.75</v>
      </c>
      <c r="J68" s="243">
        <f>I68*$J$62</f>
        <v>142.86101862980769</v>
      </c>
      <c r="K68" s="733">
        <v>0.75</v>
      </c>
      <c r="L68" s="243">
        <f>K68*$L$62</f>
        <v>38.962698317307684</v>
      </c>
      <c r="M68" s="733">
        <v>0.75</v>
      </c>
      <c r="N68" s="243">
        <f>M68*$N$62</f>
        <v>33.670357572115385</v>
      </c>
      <c r="O68" s="733">
        <v>0.75</v>
      </c>
      <c r="P68" s="243">
        <f>O68*$P$62</f>
        <v>80.570778245192315</v>
      </c>
      <c r="Q68" s="733">
        <v>0.75</v>
      </c>
      <c r="R68" s="243">
        <f>Q68*$R$62</f>
        <v>161.14155649038463</v>
      </c>
    </row>
    <row r="69" spans="1:18" ht="23.45" customHeight="1">
      <c r="A69" s="135"/>
      <c r="B69" s="132" t="s">
        <v>265</v>
      </c>
      <c r="C69" s="165" t="s">
        <v>278</v>
      </c>
      <c r="D69" s="132"/>
      <c r="E69" s="39"/>
      <c r="F69" s="39"/>
      <c r="G69" s="132">
        <v>1</v>
      </c>
      <c r="H69" s="243">
        <f>G69*$H$62</f>
        <v>278.6649519230769</v>
      </c>
      <c r="I69" s="733">
        <v>1</v>
      </c>
      <c r="J69" s="243">
        <f>I69*$J$62</f>
        <v>190.48135817307693</v>
      </c>
      <c r="K69" s="733">
        <v>1</v>
      </c>
      <c r="L69" s="243">
        <f>K69*$L$62</f>
        <v>51.950264423076916</v>
      </c>
      <c r="M69" s="733">
        <v>1</v>
      </c>
      <c r="N69" s="243">
        <f>M69*$N$62</f>
        <v>44.89381009615385</v>
      </c>
      <c r="O69" s="733">
        <v>1</v>
      </c>
      <c r="P69" s="243">
        <f>O69*$P$62</f>
        <v>107.42770432692309</v>
      </c>
      <c r="Q69" s="733">
        <v>1</v>
      </c>
      <c r="R69" s="243">
        <f>Q69*$R$62</f>
        <v>214.85540865384618</v>
      </c>
    </row>
    <row r="70" spans="1:18" ht="23.45" customHeight="1">
      <c r="A70" s="135"/>
      <c r="B70" s="132" t="s">
        <v>266</v>
      </c>
      <c r="C70" s="165" t="s">
        <v>278</v>
      </c>
      <c r="D70" s="135"/>
      <c r="E70" s="143"/>
      <c r="F70" s="143"/>
      <c r="G70" s="132">
        <v>1.2</v>
      </c>
      <c r="H70" s="243">
        <f>G70*$H$62</f>
        <v>334.39794230769229</v>
      </c>
      <c r="I70" s="733">
        <v>1.35</v>
      </c>
      <c r="J70" s="243">
        <f>I70*$J$62</f>
        <v>257.14983353365386</v>
      </c>
      <c r="K70" s="733">
        <v>1.35</v>
      </c>
      <c r="L70" s="243">
        <f>K70*$L$62</f>
        <v>70.132856971153842</v>
      </c>
      <c r="M70" s="733">
        <v>1.35</v>
      </c>
      <c r="N70" s="243">
        <f>M70*$N$62</f>
        <v>60.606643629807699</v>
      </c>
      <c r="O70" s="733">
        <v>1.1000000000000001</v>
      </c>
      <c r="P70" s="243">
        <f>O70*$P$62</f>
        <v>118.17047475961542</v>
      </c>
      <c r="Q70" s="733">
        <v>1.1000000000000001</v>
      </c>
      <c r="R70" s="243">
        <f>Q70*$R$62</f>
        <v>236.34094951923083</v>
      </c>
    </row>
    <row r="71" spans="1:18" ht="23.45" customHeight="1">
      <c r="A71" s="135"/>
      <c r="B71" s="132" t="s">
        <v>267</v>
      </c>
      <c r="C71" s="165" t="s">
        <v>278</v>
      </c>
      <c r="D71" s="132"/>
      <c r="E71" s="39"/>
      <c r="F71" s="39"/>
      <c r="G71" s="132"/>
      <c r="H71" s="39"/>
      <c r="I71" s="733">
        <v>1.75</v>
      </c>
      <c r="J71" s="243">
        <f>I71*$J$62</f>
        <v>333.34237680288464</v>
      </c>
      <c r="K71" s="733">
        <v>1.75</v>
      </c>
      <c r="L71" s="243">
        <f>K71*$L$62</f>
        <v>90.9129627403846</v>
      </c>
      <c r="M71" s="733">
        <v>1.75</v>
      </c>
      <c r="N71" s="243">
        <f>M71*$N$62</f>
        <v>78.564167668269235</v>
      </c>
      <c r="O71" s="145"/>
      <c r="P71" s="143"/>
      <c r="Q71" s="145"/>
      <c r="R71" s="143"/>
    </row>
    <row r="72" spans="1:18" ht="21.75" customHeight="1">
      <c r="A72" s="139"/>
      <c r="B72" s="234"/>
      <c r="C72" s="235"/>
      <c r="D72" s="139"/>
      <c r="E72" s="149"/>
      <c r="F72" s="149"/>
      <c r="G72" s="139"/>
      <c r="H72" s="149"/>
      <c r="I72" s="150"/>
      <c r="J72" s="244"/>
      <c r="K72" s="244"/>
      <c r="L72" s="244"/>
      <c r="M72" s="244"/>
      <c r="N72" s="244"/>
      <c r="O72" s="150"/>
      <c r="P72" s="149"/>
      <c r="Q72" s="150"/>
      <c r="R72" s="149"/>
    </row>
    <row r="73" spans="1:18" ht="7.5" customHeight="1">
      <c r="A73" s="154"/>
      <c r="B73" s="266"/>
      <c r="C73" s="267"/>
      <c r="D73" s="154"/>
      <c r="E73" s="153"/>
      <c r="F73" s="153"/>
      <c r="G73" s="154"/>
      <c r="H73" s="153"/>
      <c r="I73" s="155"/>
      <c r="J73" s="268"/>
      <c r="K73" s="268"/>
      <c r="L73" s="268"/>
      <c r="M73" s="155"/>
      <c r="N73" s="153"/>
      <c r="O73" s="155"/>
      <c r="P73" s="153"/>
      <c r="Q73" s="155"/>
      <c r="R73" s="153"/>
    </row>
    <row r="74" spans="1:18" ht="22.9" customHeight="1">
      <c r="A74" s="227" t="s">
        <v>323</v>
      </c>
      <c r="B74" s="227"/>
      <c r="C74" s="269"/>
      <c r="D74" s="159"/>
      <c r="E74" s="158"/>
      <c r="F74" s="158"/>
      <c r="G74" s="159"/>
      <c r="H74" s="158"/>
      <c r="I74" s="160"/>
      <c r="J74" s="270"/>
      <c r="K74" s="270"/>
      <c r="L74" s="270"/>
      <c r="M74" s="160"/>
      <c r="N74" s="158"/>
      <c r="O74" s="160"/>
      <c r="P74" s="158"/>
      <c r="Q74" s="160"/>
      <c r="R74" s="158"/>
    </row>
    <row r="75" spans="1:18" ht="22.9" customHeight="1">
      <c r="A75" s="159" t="s">
        <v>547</v>
      </c>
      <c r="B75" s="227"/>
      <c r="C75" s="269"/>
      <c r="D75" s="159"/>
      <c r="E75" s="158"/>
      <c r="F75" s="158"/>
      <c r="G75" s="159"/>
      <c r="H75" s="158"/>
      <c r="I75" s="160"/>
      <c r="J75" s="270"/>
      <c r="K75" s="270"/>
      <c r="L75" s="270"/>
      <c r="M75" s="160"/>
      <c r="N75" s="158"/>
      <c r="O75" s="160"/>
      <c r="P75" s="158"/>
      <c r="Q75" s="160"/>
      <c r="R75" s="158"/>
    </row>
    <row r="76" spans="1:18" s="736" customFormat="1" ht="35.450000000000003" customHeight="1">
      <c r="A76" s="1029" t="s">
        <v>548</v>
      </c>
      <c r="B76" s="1029"/>
      <c r="C76" s="1029"/>
      <c r="D76" s="1029"/>
      <c r="E76" s="1029"/>
      <c r="F76" s="1029"/>
      <c r="G76" s="1029"/>
      <c r="H76" s="1029"/>
      <c r="I76" s="1029"/>
      <c r="J76" s="1029"/>
      <c r="K76" s="1029"/>
      <c r="L76" s="1029"/>
      <c r="M76" s="1029"/>
      <c r="N76" s="1029"/>
      <c r="O76" s="1029"/>
      <c r="P76" s="1029"/>
      <c r="Q76" s="1029"/>
      <c r="R76" s="1029"/>
    </row>
    <row r="77" spans="1:18" s="736" customFormat="1" ht="22.9" customHeight="1"/>
    <row r="78" spans="1:18" ht="12" customHeight="1">
      <c r="A78" s="159"/>
      <c r="B78" s="159"/>
      <c r="C78" s="159"/>
      <c r="D78" s="159"/>
      <c r="E78" s="158"/>
      <c r="F78" s="158"/>
      <c r="G78" s="159"/>
      <c r="H78" s="158"/>
      <c r="I78" s="159"/>
      <c r="J78" s="160"/>
      <c r="K78" s="159"/>
      <c r="L78" s="160"/>
      <c r="M78" s="159"/>
      <c r="N78" s="158"/>
      <c r="O78" s="159"/>
      <c r="P78" s="158"/>
      <c r="Q78" s="159"/>
      <c r="R78" s="158"/>
    </row>
    <row r="79" spans="1:18" ht="20.25" customHeight="1">
      <c r="A79" s="227" t="s">
        <v>279</v>
      </c>
      <c r="B79" s="159"/>
      <c r="C79" s="157"/>
      <c r="D79" s="159"/>
      <c r="E79" s="158"/>
      <c r="F79" s="158"/>
      <c r="G79" s="159"/>
      <c r="H79" s="158"/>
      <c r="I79" s="159"/>
      <c r="J79" s="160"/>
      <c r="K79" s="159"/>
      <c r="L79" s="160"/>
      <c r="M79" s="159"/>
      <c r="N79" s="159" t="s">
        <v>269</v>
      </c>
      <c r="O79" s="159"/>
      <c r="Q79" s="159"/>
    </row>
    <row r="80" spans="1:18" ht="11.25" customHeight="1">
      <c r="A80" s="12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20.25" customHeight="1">
      <c r="A81" s="1032" t="s">
        <v>0</v>
      </c>
      <c r="B81" s="1018" t="s">
        <v>307</v>
      </c>
      <c r="C81" s="1032" t="s">
        <v>116</v>
      </c>
      <c r="D81" s="1032" t="s">
        <v>33</v>
      </c>
      <c r="E81" s="1018" t="s">
        <v>513</v>
      </c>
      <c r="F81" s="1018" t="s">
        <v>510</v>
      </c>
      <c r="G81" s="1016" t="s">
        <v>34</v>
      </c>
      <c r="H81" s="1017"/>
      <c r="I81" s="1016" t="s">
        <v>35</v>
      </c>
      <c r="J81" s="1017"/>
      <c r="K81" s="1016" t="s">
        <v>36</v>
      </c>
      <c r="L81" s="1017"/>
      <c r="M81" s="1030" t="s">
        <v>37</v>
      </c>
      <c r="N81" s="1031"/>
      <c r="O81" s="1030" t="s">
        <v>38</v>
      </c>
      <c r="P81" s="1031"/>
      <c r="Q81" s="1030" t="s">
        <v>480</v>
      </c>
      <c r="R81" s="1031"/>
    </row>
    <row r="82" spans="1:18" ht="31.5" customHeight="1">
      <c r="A82" s="1033"/>
      <c r="B82" s="1019"/>
      <c r="C82" s="1033"/>
      <c r="D82" s="1033"/>
      <c r="E82" s="1019"/>
      <c r="F82" s="1019"/>
      <c r="G82" s="247" t="s">
        <v>511</v>
      </c>
      <c r="H82" s="247" t="s">
        <v>512</v>
      </c>
      <c r="I82" s="247" t="s">
        <v>511</v>
      </c>
      <c r="J82" s="247" t="s">
        <v>512</v>
      </c>
      <c r="K82" s="247" t="s">
        <v>511</v>
      </c>
      <c r="L82" s="247" t="s">
        <v>512</v>
      </c>
      <c r="M82" s="247" t="s">
        <v>511</v>
      </c>
      <c r="N82" s="247" t="s">
        <v>512</v>
      </c>
      <c r="O82" s="247" t="s">
        <v>511</v>
      </c>
      <c r="P82" s="247" t="s">
        <v>512</v>
      </c>
      <c r="Q82" s="247" t="s">
        <v>511</v>
      </c>
      <c r="R82" s="247" t="s">
        <v>512</v>
      </c>
    </row>
    <row r="83" spans="1:18" ht="21" customHeight="1">
      <c r="A83" s="201">
        <v>1</v>
      </c>
      <c r="B83" s="142" t="s">
        <v>117</v>
      </c>
      <c r="C83" s="201" t="s">
        <v>118</v>
      </c>
      <c r="D83" s="201">
        <v>18</v>
      </c>
      <c r="E83" s="236">
        <f>'Gia-DC'!E4</f>
        <v>150000</v>
      </c>
      <c r="F83" s="236">
        <f>E83/(D83*26)</f>
        <v>320.5128205128205</v>
      </c>
      <c r="G83" s="237">
        <v>47.8</v>
      </c>
      <c r="H83" s="202">
        <f t="shared" ref="H83:H106" si="16">(G83*F83)</f>
        <v>15320.512820512819</v>
      </c>
      <c r="I83" s="237">
        <v>33.36</v>
      </c>
      <c r="J83" s="238">
        <f t="shared" ref="J83:J106" si="17">I83*F83</f>
        <v>10692.307692307691</v>
      </c>
      <c r="K83" s="237">
        <v>13.45</v>
      </c>
      <c r="L83" s="238">
        <f t="shared" ref="L83:L106" si="18">K83*F83</f>
        <v>4310.8974358974356</v>
      </c>
      <c r="M83" s="237">
        <v>13.96</v>
      </c>
      <c r="N83" s="202">
        <f t="shared" ref="N83:N106" si="19">(M83*F83)</f>
        <v>4474.3589743589746</v>
      </c>
      <c r="O83" s="237">
        <v>22.06</v>
      </c>
      <c r="P83" s="202">
        <f t="shared" ref="P83:P106" si="20">(O83*F83)</f>
        <v>7070.5128205128194</v>
      </c>
      <c r="Q83" s="237">
        <v>44.12</v>
      </c>
      <c r="R83" s="202">
        <f>F83*Q83</f>
        <v>14141.025641025639</v>
      </c>
    </row>
    <row r="84" spans="1:18" ht="21" customHeight="1">
      <c r="A84" s="133">
        <v>2</v>
      </c>
      <c r="B84" s="135" t="s">
        <v>134</v>
      </c>
      <c r="C84" s="133" t="s">
        <v>118</v>
      </c>
      <c r="D84" s="133">
        <v>18</v>
      </c>
      <c r="E84" s="200">
        <f>'Gia-DC'!E5</f>
        <v>80000</v>
      </c>
      <c r="F84" s="200">
        <f t="shared" ref="F84:F106" si="21">E84/(D84*26)</f>
        <v>170.94017094017093</v>
      </c>
      <c r="G84" s="144">
        <v>47.8</v>
      </c>
      <c r="H84" s="143">
        <f t="shared" si="16"/>
        <v>8170.94017094017</v>
      </c>
      <c r="I84" s="144">
        <v>33.36</v>
      </c>
      <c r="J84" s="145">
        <f t="shared" si="17"/>
        <v>5702.5641025641025</v>
      </c>
      <c r="K84" s="144">
        <v>13.45</v>
      </c>
      <c r="L84" s="145">
        <f t="shared" si="18"/>
        <v>2299.1452991452988</v>
      </c>
      <c r="M84" s="144">
        <v>13.96</v>
      </c>
      <c r="N84" s="143">
        <f t="shared" si="19"/>
        <v>2386.3247863247861</v>
      </c>
      <c r="O84" s="144">
        <v>22.06</v>
      </c>
      <c r="P84" s="143">
        <f t="shared" si="20"/>
        <v>3770.9401709401704</v>
      </c>
      <c r="Q84" s="144">
        <v>44.12</v>
      </c>
      <c r="R84" s="143">
        <f>Q84*F84</f>
        <v>7541.8803418803409</v>
      </c>
    </row>
    <row r="85" spans="1:18" ht="21" customHeight="1">
      <c r="A85" s="133">
        <v>3</v>
      </c>
      <c r="B85" s="135" t="s">
        <v>119</v>
      </c>
      <c r="C85" s="133" t="s">
        <v>118</v>
      </c>
      <c r="D85" s="133">
        <v>18</v>
      </c>
      <c r="E85" s="200">
        <f>'Gia-DC'!E6</f>
        <v>180000</v>
      </c>
      <c r="F85" s="200">
        <f t="shared" si="21"/>
        <v>384.61538461538464</v>
      </c>
      <c r="G85" s="144">
        <v>127.46</v>
      </c>
      <c r="H85" s="143">
        <f t="shared" si="16"/>
        <v>49023.076923076922</v>
      </c>
      <c r="I85" s="144">
        <v>88.96</v>
      </c>
      <c r="J85" s="145">
        <f t="shared" si="17"/>
        <v>34215.384615384617</v>
      </c>
      <c r="K85" s="144">
        <v>35.86</v>
      </c>
      <c r="L85" s="145">
        <f t="shared" si="18"/>
        <v>13792.307692307693</v>
      </c>
      <c r="M85" s="144">
        <v>37.229999999999997</v>
      </c>
      <c r="N85" s="143">
        <f t="shared" si="19"/>
        <v>14319.23076923077</v>
      </c>
      <c r="O85" s="144">
        <v>58.82</v>
      </c>
      <c r="P85" s="143">
        <f t="shared" si="20"/>
        <v>22623.076923076926</v>
      </c>
      <c r="Q85" s="144">
        <v>117.64</v>
      </c>
      <c r="R85" s="143">
        <f t="shared" ref="R85:R96" si="22">Q85*F85</f>
        <v>45246.153846153851</v>
      </c>
    </row>
    <row r="86" spans="1:18" ht="21" customHeight="1">
      <c r="A86" s="133">
        <v>4</v>
      </c>
      <c r="B86" s="135" t="s">
        <v>120</v>
      </c>
      <c r="C86" s="133" t="s">
        <v>121</v>
      </c>
      <c r="D86" s="133">
        <v>12</v>
      </c>
      <c r="E86" s="200">
        <f>'Gia-DC'!E21</f>
        <v>85000</v>
      </c>
      <c r="F86" s="200">
        <f t="shared" si="21"/>
        <v>272.43589743589746</v>
      </c>
      <c r="G86" s="144">
        <v>127.46</v>
      </c>
      <c r="H86" s="143">
        <f t="shared" si="16"/>
        <v>34724.679487179492</v>
      </c>
      <c r="I86" s="144">
        <v>88.96</v>
      </c>
      <c r="J86" s="145">
        <f t="shared" si="17"/>
        <v>24235.897435897437</v>
      </c>
      <c r="K86" s="144">
        <v>35.86</v>
      </c>
      <c r="L86" s="145">
        <f t="shared" si="18"/>
        <v>9769.5512820512831</v>
      </c>
      <c r="M86" s="144">
        <v>37.229999999999997</v>
      </c>
      <c r="N86" s="143">
        <f t="shared" si="19"/>
        <v>10142.788461538461</v>
      </c>
      <c r="O86" s="144">
        <v>58.82</v>
      </c>
      <c r="P86" s="143">
        <f t="shared" si="20"/>
        <v>16024.679487179488</v>
      </c>
      <c r="Q86" s="144">
        <v>117.64</v>
      </c>
      <c r="R86" s="143">
        <f t="shared" si="22"/>
        <v>32049.358974358976</v>
      </c>
    </row>
    <row r="87" spans="1:18" ht="21" customHeight="1">
      <c r="A87" s="133">
        <v>5</v>
      </c>
      <c r="B87" s="135" t="s">
        <v>122</v>
      </c>
      <c r="C87" s="133" t="s">
        <v>118</v>
      </c>
      <c r="D87" s="133">
        <v>12</v>
      </c>
      <c r="E87" s="200">
        <f>'Gia-DC'!E26</f>
        <v>40000</v>
      </c>
      <c r="F87" s="200">
        <f t="shared" si="21"/>
        <v>128.2051282051282</v>
      </c>
      <c r="G87" s="144">
        <v>127.46</v>
      </c>
      <c r="H87" s="143">
        <f t="shared" si="16"/>
        <v>16341.025641025641</v>
      </c>
      <c r="I87" s="144">
        <v>88.96</v>
      </c>
      <c r="J87" s="145">
        <f t="shared" si="17"/>
        <v>11405.128205128205</v>
      </c>
      <c r="K87" s="144">
        <v>35.86</v>
      </c>
      <c r="L87" s="145">
        <f t="shared" si="18"/>
        <v>4597.4358974358975</v>
      </c>
      <c r="M87" s="144">
        <v>37.229999999999997</v>
      </c>
      <c r="N87" s="143">
        <f t="shared" si="19"/>
        <v>4773.0769230769229</v>
      </c>
      <c r="O87" s="144">
        <v>58.82</v>
      </c>
      <c r="P87" s="143">
        <f t="shared" si="20"/>
        <v>7541.0256410256407</v>
      </c>
      <c r="Q87" s="144">
        <v>117.64</v>
      </c>
      <c r="R87" s="143">
        <f t="shared" si="22"/>
        <v>15082.051282051281</v>
      </c>
    </row>
    <row r="88" spans="1:18" ht="21" customHeight="1">
      <c r="A88" s="133">
        <v>6</v>
      </c>
      <c r="B88" s="135" t="s">
        <v>123</v>
      </c>
      <c r="C88" s="133" t="s">
        <v>124</v>
      </c>
      <c r="D88" s="133">
        <v>9</v>
      </c>
      <c r="E88" s="200">
        <f>'Gia-DC'!E32</f>
        <v>150000</v>
      </c>
      <c r="F88" s="200">
        <f t="shared" si="21"/>
        <v>641.02564102564099</v>
      </c>
      <c r="G88" s="144">
        <v>127.46</v>
      </c>
      <c r="H88" s="143">
        <f t="shared" si="16"/>
        <v>81705.128205128203</v>
      </c>
      <c r="I88" s="144">
        <v>88.96</v>
      </c>
      <c r="J88" s="145">
        <f t="shared" si="17"/>
        <v>57025.641025641016</v>
      </c>
      <c r="K88" s="144">
        <v>35.86</v>
      </c>
      <c r="L88" s="145">
        <f t="shared" si="18"/>
        <v>22987.179487179485</v>
      </c>
      <c r="M88" s="144">
        <v>37.229999999999997</v>
      </c>
      <c r="N88" s="143">
        <f t="shared" si="19"/>
        <v>23865.384615384613</v>
      </c>
      <c r="O88" s="144">
        <v>58.82</v>
      </c>
      <c r="P88" s="143">
        <f t="shared" si="20"/>
        <v>37705.128205128203</v>
      </c>
      <c r="Q88" s="144">
        <v>117.64</v>
      </c>
      <c r="R88" s="143">
        <f t="shared" si="22"/>
        <v>75410.256410256407</v>
      </c>
    </row>
    <row r="89" spans="1:18" ht="21" customHeight="1">
      <c r="A89" s="133">
        <v>7</v>
      </c>
      <c r="B89" s="135" t="s">
        <v>125</v>
      </c>
      <c r="C89" s="133" t="s">
        <v>121</v>
      </c>
      <c r="D89" s="133">
        <v>6</v>
      </c>
      <c r="E89" s="200">
        <f>'Gia-DC'!E53</f>
        <v>15000</v>
      </c>
      <c r="F89" s="200">
        <f t="shared" si="21"/>
        <v>96.15384615384616</v>
      </c>
      <c r="G89" s="144">
        <v>127.46</v>
      </c>
      <c r="H89" s="143">
        <f t="shared" si="16"/>
        <v>12255.76923076923</v>
      </c>
      <c r="I89" s="144">
        <v>88.96</v>
      </c>
      <c r="J89" s="145">
        <f t="shared" si="17"/>
        <v>8553.8461538461543</v>
      </c>
      <c r="K89" s="144">
        <v>35.86</v>
      </c>
      <c r="L89" s="145">
        <f t="shared" si="18"/>
        <v>3448.0769230769233</v>
      </c>
      <c r="M89" s="144">
        <v>37.229999999999997</v>
      </c>
      <c r="N89" s="143">
        <f t="shared" si="19"/>
        <v>3579.8076923076924</v>
      </c>
      <c r="O89" s="144">
        <v>58.82</v>
      </c>
      <c r="P89" s="143">
        <f t="shared" si="20"/>
        <v>5655.7692307692314</v>
      </c>
      <c r="Q89" s="144">
        <v>117.64</v>
      </c>
      <c r="R89" s="143">
        <f t="shared" si="22"/>
        <v>11311.538461538463</v>
      </c>
    </row>
    <row r="90" spans="1:18" ht="21" customHeight="1">
      <c r="A90" s="133">
        <v>8</v>
      </c>
      <c r="B90" s="135" t="s">
        <v>126</v>
      </c>
      <c r="C90" s="133" t="s">
        <v>118</v>
      </c>
      <c r="D90" s="133">
        <v>12</v>
      </c>
      <c r="E90" s="200">
        <f>'Gia-DC'!E7</f>
        <v>30000</v>
      </c>
      <c r="F90" s="200">
        <f t="shared" si="21"/>
        <v>96.15384615384616</v>
      </c>
      <c r="G90" s="144">
        <v>127.46</v>
      </c>
      <c r="H90" s="143">
        <f t="shared" si="16"/>
        <v>12255.76923076923</v>
      </c>
      <c r="I90" s="144">
        <v>88.96</v>
      </c>
      <c r="J90" s="145">
        <f t="shared" si="17"/>
        <v>8553.8461538461543</v>
      </c>
      <c r="K90" s="144">
        <v>35.86</v>
      </c>
      <c r="L90" s="145">
        <f t="shared" si="18"/>
        <v>3448.0769230769233</v>
      </c>
      <c r="M90" s="144">
        <v>37.229999999999997</v>
      </c>
      <c r="N90" s="143">
        <f t="shared" si="19"/>
        <v>3579.8076923076924</v>
      </c>
      <c r="O90" s="144">
        <v>58.82</v>
      </c>
      <c r="P90" s="143">
        <f t="shared" si="20"/>
        <v>5655.7692307692314</v>
      </c>
      <c r="Q90" s="144">
        <v>117.64</v>
      </c>
      <c r="R90" s="143">
        <f t="shared" si="22"/>
        <v>11311.538461538463</v>
      </c>
    </row>
    <row r="91" spans="1:18" ht="21" customHeight="1">
      <c r="A91" s="133">
        <v>9</v>
      </c>
      <c r="B91" s="135" t="s">
        <v>230</v>
      </c>
      <c r="C91" s="133" t="s">
        <v>118</v>
      </c>
      <c r="D91" s="133">
        <v>24</v>
      </c>
      <c r="E91" s="200">
        <f>'Gia-DC'!E67</f>
        <v>25000</v>
      </c>
      <c r="F91" s="200">
        <f t="shared" si="21"/>
        <v>40.064102564102562</v>
      </c>
      <c r="G91" s="144">
        <v>7.97</v>
      </c>
      <c r="H91" s="143">
        <f t="shared" si="16"/>
        <v>319.3108974358974</v>
      </c>
      <c r="I91" s="144">
        <v>5.56</v>
      </c>
      <c r="J91" s="145">
        <f t="shared" si="17"/>
        <v>222.75641025641022</v>
      </c>
      <c r="K91" s="144">
        <v>2.2400000000000002</v>
      </c>
      <c r="L91" s="145">
        <f t="shared" si="18"/>
        <v>89.743589743589752</v>
      </c>
      <c r="M91" s="144">
        <v>2.3199999999999998</v>
      </c>
      <c r="N91" s="143">
        <f t="shared" si="19"/>
        <v>92.948717948717942</v>
      </c>
      <c r="O91" s="144">
        <v>3.08</v>
      </c>
      <c r="P91" s="143">
        <f t="shared" si="20"/>
        <v>123.3974358974359</v>
      </c>
      <c r="Q91" s="144">
        <v>6.16</v>
      </c>
      <c r="R91" s="143">
        <f t="shared" si="22"/>
        <v>246.7948717948718</v>
      </c>
    </row>
    <row r="92" spans="1:18" ht="21" customHeight="1">
      <c r="A92" s="133">
        <v>10</v>
      </c>
      <c r="B92" s="135" t="s">
        <v>271</v>
      </c>
      <c r="C92" s="133" t="s">
        <v>118</v>
      </c>
      <c r="D92" s="133">
        <v>48</v>
      </c>
      <c r="E92" s="200">
        <f>'Gia-DC'!E22</f>
        <v>150000</v>
      </c>
      <c r="F92" s="200">
        <f t="shared" si="21"/>
        <v>120.19230769230769</v>
      </c>
      <c r="G92" s="144">
        <v>23.9</v>
      </c>
      <c r="H92" s="143">
        <f t="shared" si="16"/>
        <v>2872.5961538461538</v>
      </c>
      <c r="I92" s="144">
        <v>16.68</v>
      </c>
      <c r="J92" s="145">
        <f t="shared" si="17"/>
        <v>2004.8076923076924</v>
      </c>
      <c r="K92" s="144">
        <v>6.72</v>
      </c>
      <c r="L92" s="145">
        <f t="shared" si="18"/>
        <v>807.69230769230762</v>
      </c>
      <c r="M92" s="144">
        <v>6.98</v>
      </c>
      <c r="N92" s="143">
        <f t="shared" si="19"/>
        <v>838.94230769230774</v>
      </c>
      <c r="O92" s="144">
        <v>9.23</v>
      </c>
      <c r="P92" s="143">
        <f t="shared" si="20"/>
        <v>1109.375</v>
      </c>
      <c r="Q92" s="144">
        <v>18.46</v>
      </c>
      <c r="R92" s="143">
        <f t="shared" si="22"/>
        <v>2218.75</v>
      </c>
    </row>
    <row r="93" spans="1:18" ht="21" customHeight="1">
      <c r="A93" s="133">
        <v>11</v>
      </c>
      <c r="B93" s="142" t="s">
        <v>127</v>
      </c>
      <c r="C93" s="201" t="s">
        <v>118</v>
      </c>
      <c r="D93" s="201">
        <v>24</v>
      </c>
      <c r="E93" s="236">
        <f>'Gia-DC'!E29</f>
        <v>50000</v>
      </c>
      <c r="F93" s="236">
        <f t="shared" si="21"/>
        <v>80.128205128205124</v>
      </c>
      <c r="G93" s="237">
        <v>23.9</v>
      </c>
      <c r="H93" s="202">
        <f t="shared" si="16"/>
        <v>1915.0641025641023</v>
      </c>
      <c r="I93" s="237">
        <v>16.68</v>
      </c>
      <c r="J93" s="238">
        <f t="shared" si="17"/>
        <v>1336.5384615384614</v>
      </c>
      <c r="K93" s="237">
        <v>6.72</v>
      </c>
      <c r="L93" s="238">
        <f t="shared" si="18"/>
        <v>538.46153846153845</v>
      </c>
      <c r="M93" s="237">
        <v>6.98</v>
      </c>
      <c r="N93" s="202">
        <f t="shared" si="19"/>
        <v>559.29487179487182</v>
      </c>
      <c r="O93" s="237">
        <v>9.23</v>
      </c>
      <c r="P93" s="202">
        <f t="shared" si="20"/>
        <v>739.58333333333337</v>
      </c>
      <c r="Q93" s="237">
        <v>18.46</v>
      </c>
      <c r="R93" s="143">
        <f t="shared" si="22"/>
        <v>1479.1666666666667</v>
      </c>
    </row>
    <row r="94" spans="1:18" ht="21" customHeight="1">
      <c r="A94" s="133">
        <v>12</v>
      </c>
      <c r="B94" s="135" t="s">
        <v>168</v>
      </c>
      <c r="C94" s="133" t="s">
        <v>167</v>
      </c>
      <c r="D94" s="133">
        <v>9</v>
      </c>
      <c r="E94" s="200">
        <f>'Gia-DC'!E28</f>
        <v>20000</v>
      </c>
      <c r="F94" s="200">
        <f t="shared" si="21"/>
        <v>85.470085470085465</v>
      </c>
      <c r="G94" s="144">
        <v>3.98</v>
      </c>
      <c r="H94" s="143">
        <f t="shared" si="16"/>
        <v>340.17094017094013</v>
      </c>
      <c r="I94" s="144">
        <v>2.78</v>
      </c>
      <c r="J94" s="145">
        <f t="shared" si="17"/>
        <v>237.60683760683759</v>
      </c>
      <c r="K94" s="144">
        <v>1.1200000000000001</v>
      </c>
      <c r="L94" s="145">
        <f t="shared" si="18"/>
        <v>95.726495726495727</v>
      </c>
      <c r="M94" s="144">
        <v>1.1599999999999999</v>
      </c>
      <c r="N94" s="143">
        <f t="shared" si="19"/>
        <v>99.145299145299134</v>
      </c>
      <c r="O94" s="144">
        <v>1.54</v>
      </c>
      <c r="P94" s="143">
        <f t="shared" si="20"/>
        <v>131.62393162393161</v>
      </c>
      <c r="Q94" s="144">
        <v>3.08</v>
      </c>
      <c r="R94" s="143">
        <f t="shared" si="22"/>
        <v>263.24786324786322</v>
      </c>
    </row>
    <row r="95" spans="1:18" ht="21" customHeight="1">
      <c r="A95" s="133">
        <v>13</v>
      </c>
      <c r="B95" s="135" t="s">
        <v>178</v>
      </c>
      <c r="C95" s="133" t="s">
        <v>118</v>
      </c>
      <c r="D95" s="133">
        <v>12</v>
      </c>
      <c r="E95" s="200">
        <f>'Gia-DC'!E58</f>
        <v>30000</v>
      </c>
      <c r="F95" s="200">
        <f t="shared" si="21"/>
        <v>96.15384615384616</v>
      </c>
      <c r="G95" s="144">
        <v>23.9</v>
      </c>
      <c r="H95" s="143">
        <f t="shared" si="16"/>
        <v>2298.0769230769233</v>
      </c>
      <c r="I95" s="144">
        <v>16.68</v>
      </c>
      <c r="J95" s="145">
        <f t="shared" si="17"/>
        <v>1603.846153846154</v>
      </c>
      <c r="K95" s="144">
        <v>6.72</v>
      </c>
      <c r="L95" s="145">
        <f t="shared" si="18"/>
        <v>646.15384615384619</v>
      </c>
      <c r="M95" s="144">
        <v>6.98</v>
      </c>
      <c r="N95" s="143">
        <f t="shared" si="19"/>
        <v>671.15384615384619</v>
      </c>
      <c r="O95" s="144">
        <v>9.23</v>
      </c>
      <c r="P95" s="143">
        <f t="shared" si="20"/>
        <v>887.50000000000011</v>
      </c>
      <c r="Q95" s="144">
        <v>18.46</v>
      </c>
      <c r="R95" s="143">
        <f t="shared" si="22"/>
        <v>1775.0000000000002</v>
      </c>
    </row>
    <row r="96" spans="1:18" ht="21" customHeight="1">
      <c r="A96" s="140">
        <v>14</v>
      </c>
      <c r="B96" s="139" t="s">
        <v>26</v>
      </c>
      <c r="C96" s="140" t="s">
        <v>124</v>
      </c>
      <c r="D96" s="140">
        <v>24</v>
      </c>
      <c r="E96" s="258">
        <f>'Gia-DC'!E19</f>
        <v>60000</v>
      </c>
      <c r="F96" s="258">
        <f t="shared" si="21"/>
        <v>96.15384615384616</v>
      </c>
      <c r="G96" s="151">
        <v>3.98</v>
      </c>
      <c r="H96" s="149">
        <f t="shared" si="16"/>
        <v>382.69230769230774</v>
      </c>
      <c r="I96" s="151">
        <v>2.78</v>
      </c>
      <c r="J96" s="150">
        <f t="shared" si="17"/>
        <v>267.30769230769232</v>
      </c>
      <c r="K96" s="151">
        <v>1.1200000000000001</v>
      </c>
      <c r="L96" s="150">
        <f t="shared" si="18"/>
        <v>107.69230769230771</v>
      </c>
      <c r="M96" s="151">
        <v>1.1599999999999999</v>
      </c>
      <c r="N96" s="149">
        <f t="shared" si="19"/>
        <v>111.53846153846153</v>
      </c>
      <c r="O96" s="151">
        <v>1.54</v>
      </c>
      <c r="P96" s="149">
        <f t="shared" si="20"/>
        <v>148.07692307692309</v>
      </c>
      <c r="Q96" s="151">
        <v>3.08</v>
      </c>
      <c r="R96" s="149">
        <f t="shared" si="22"/>
        <v>296.15384615384619</v>
      </c>
    </row>
    <row r="97" spans="1:18" ht="22.9" customHeight="1">
      <c r="A97" s="133">
        <v>15</v>
      </c>
      <c r="B97" s="135" t="s">
        <v>174</v>
      </c>
      <c r="C97" s="133" t="s">
        <v>118</v>
      </c>
      <c r="D97" s="133">
        <v>24</v>
      </c>
      <c r="E97" s="200">
        <f>'Gia-DC'!E54</f>
        <v>60000</v>
      </c>
      <c r="F97" s="200">
        <f>E97/(D97*26)</f>
        <v>96.15384615384616</v>
      </c>
      <c r="G97" s="144">
        <v>15.93</v>
      </c>
      <c r="H97" s="143">
        <f t="shared" si="16"/>
        <v>1531.7307692307693</v>
      </c>
      <c r="I97" s="144">
        <v>11.12</v>
      </c>
      <c r="J97" s="145">
        <f t="shared" si="17"/>
        <v>1069.2307692307693</v>
      </c>
      <c r="K97" s="144">
        <v>4.4800000000000004</v>
      </c>
      <c r="L97" s="145">
        <f t="shared" si="18"/>
        <v>430.76923076923083</v>
      </c>
      <c r="M97" s="144">
        <v>4.66</v>
      </c>
      <c r="N97" s="143">
        <f t="shared" si="19"/>
        <v>448.07692307692309</v>
      </c>
      <c r="O97" s="144">
        <v>6.16</v>
      </c>
      <c r="P97" s="143">
        <f t="shared" si="20"/>
        <v>592.30769230769238</v>
      </c>
      <c r="Q97" s="144">
        <v>12.32</v>
      </c>
      <c r="R97" s="143">
        <f>F97*Q97</f>
        <v>1184.6153846153848</v>
      </c>
    </row>
    <row r="98" spans="1:18" ht="22.9" customHeight="1">
      <c r="A98" s="133">
        <v>16</v>
      </c>
      <c r="B98" s="135" t="s">
        <v>238</v>
      </c>
      <c r="C98" s="133" t="s">
        <v>118</v>
      </c>
      <c r="D98" s="133">
        <v>24</v>
      </c>
      <c r="E98" s="200">
        <f>'Gia-DC'!E82</f>
        <v>30000</v>
      </c>
      <c r="F98" s="200">
        <f t="shared" si="21"/>
        <v>48.07692307692308</v>
      </c>
      <c r="G98" s="144">
        <v>3.98</v>
      </c>
      <c r="H98" s="143">
        <f t="shared" si="16"/>
        <v>191.34615384615387</v>
      </c>
      <c r="I98" s="144">
        <v>2.78</v>
      </c>
      <c r="J98" s="145">
        <f t="shared" si="17"/>
        <v>133.65384615384616</v>
      </c>
      <c r="K98" s="144">
        <v>1.1200000000000001</v>
      </c>
      <c r="L98" s="145">
        <f t="shared" si="18"/>
        <v>53.846153846153854</v>
      </c>
      <c r="M98" s="144">
        <v>1.1599999999999999</v>
      </c>
      <c r="N98" s="143">
        <f t="shared" si="19"/>
        <v>55.769230769230766</v>
      </c>
      <c r="O98" s="144">
        <v>1.54</v>
      </c>
      <c r="P98" s="143">
        <f t="shared" si="20"/>
        <v>74.038461538461547</v>
      </c>
      <c r="Q98" s="144">
        <v>3.08</v>
      </c>
      <c r="R98" s="143">
        <f>F98*Q98</f>
        <v>148.07692307692309</v>
      </c>
    </row>
    <row r="99" spans="1:18" ht="22.9" customHeight="1">
      <c r="A99" s="133">
        <v>17</v>
      </c>
      <c r="B99" s="135" t="s">
        <v>176</v>
      </c>
      <c r="C99" s="133" t="s">
        <v>118</v>
      </c>
      <c r="D99" s="133">
        <v>4</v>
      </c>
      <c r="E99" s="200">
        <f>'Gia-DC'!E56</f>
        <v>95000</v>
      </c>
      <c r="F99" s="200">
        <f t="shared" si="21"/>
        <v>913.46153846153845</v>
      </c>
      <c r="G99" s="144">
        <v>7.97</v>
      </c>
      <c r="H99" s="143">
        <f t="shared" si="16"/>
        <v>7280.288461538461</v>
      </c>
      <c r="I99" s="144">
        <v>5.56</v>
      </c>
      <c r="J99" s="145">
        <f t="shared" si="17"/>
        <v>5078.8461538461534</v>
      </c>
      <c r="K99" s="144">
        <v>2.2400000000000002</v>
      </c>
      <c r="L99" s="145">
        <f t="shared" si="18"/>
        <v>2046.1538461538464</v>
      </c>
      <c r="M99" s="144">
        <v>2.3199999999999998</v>
      </c>
      <c r="N99" s="143">
        <f t="shared" si="19"/>
        <v>2119.2307692307691</v>
      </c>
      <c r="O99" s="144">
        <v>3.08</v>
      </c>
      <c r="P99" s="143">
        <f t="shared" si="20"/>
        <v>2813.4615384615386</v>
      </c>
      <c r="Q99" s="144">
        <v>6.16</v>
      </c>
      <c r="R99" s="143">
        <f t="shared" ref="R99:R105" si="23">F99*Q99</f>
        <v>5626.9230769230771</v>
      </c>
    </row>
    <row r="100" spans="1:18" ht="22.9" customHeight="1">
      <c r="A100" s="133">
        <v>18</v>
      </c>
      <c r="B100" s="135" t="s">
        <v>232</v>
      </c>
      <c r="C100" s="133" t="s">
        <v>118</v>
      </c>
      <c r="D100" s="133">
        <v>2</v>
      </c>
      <c r="E100" s="200">
        <f>'Gia-DC'!E70</f>
        <v>850000</v>
      </c>
      <c r="F100" s="200">
        <f t="shared" si="21"/>
        <v>16346.153846153846</v>
      </c>
      <c r="G100" s="144">
        <v>3.98</v>
      </c>
      <c r="H100" s="143">
        <f t="shared" si="16"/>
        <v>65057.692307692305</v>
      </c>
      <c r="I100" s="144">
        <v>2.78</v>
      </c>
      <c r="J100" s="145">
        <f t="shared" si="17"/>
        <v>45442.307692307688</v>
      </c>
      <c r="K100" s="144">
        <v>1.1200000000000001</v>
      </c>
      <c r="L100" s="145">
        <f t="shared" si="18"/>
        <v>18307.692307692309</v>
      </c>
      <c r="M100" s="144">
        <v>1.1599999999999999</v>
      </c>
      <c r="N100" s="143">
        <f t="shared" si="19"/>
        <v>18961.538461538461</v>
      </c>
      <c r="O100" s="144">
        <v>1.54</v>
      </c>
      <c r="P100" s="143">
        <f t="shared" si="20"/>
        <v>25173.076923076922</v>
      </c>
      <c r="Q100" s="144">
        <v>3.08</v>
      </c>
      <c r="R100" s="143">
        <f t="shared" si="23"/>
        <v>50346.153846153844</v>
      </c>
    </row>
    <row r="101" spans="1:18" ht="22.9" customHeight="1">
      <c r="A101" s="133">
        <v>19</v>
      </c>
      <c r="B101" s="135" t="s">
        <v>177</v>
      </c>
      <c r="C101" s="133" t="s">
        <v>118</v>
      </c>
      <c r="D101" s="133">
        <v>6</v>
      </c>
      <c r="E101" s="200">
        <f>'Gia-DC'!E57</f>
        <v>15000</v>
      </c>
      <c r="F101" s="200">
        <f t="shared" si="21"/>
        <v>96.15384615384616</v>
      </c>
      <c r="G101" s="144">
        <v>1.99</v>
      </c>
      <c r="H101" s="143">
        <f t="shared" si="16"/>
        <v>191.34615384615387</v>
      </c>
      <c r="I101" s="144">
        <v>1.39</v>
      </c>
      <c r="J101" s="145">
        <f t="shared" si="17"/>
        <v>133.65384615384616</v>
      </c>
      <c r="K101" s="144">
        <v>0.56999999999999995</v>
      </c>
      <c r="L101" s="145">
        <f t="shared" si="18"/>
        <v>54.807692307692307</v>
      </c>
      <c r="M101" s="144">
        <v>0.57999999999999996</v>
      </c>
      <c r="N101" s="143">
        <f t="shared" si="19"/>
        <v>55.769230769230766</v>
      </c>
      <c r="O101" s="144">
        <v>0.77</v>
      </c>
      <c r="P101" s="143">
        <f t="shared" si="20"/>
        <v>74.038461538461547</v>
      </c>
      <c r="Q101" s="144">
        <v>1.54</v>
      </c>
      <c r="R101" s="143">
        <f t="shared" si="23"/>
        <v>148.07692307692309</v>
      </c>
    </row>
    <row r="102" spans="1:18" ht="22.9" customHeight="1">
      <c r="A102" s="133">
        <v>20</v>
      </c>
      <c r="B102" s="135" t="s">
        <v>233</v>
      </c>
      <c r="C102" s="133" t="s">
        <v>272</v>
      </c>
      <c r="D102" s="133">
        <v>48</v>
      </c>
      <c r="E102" s="200">
        <f>'Gia-DC'!E71</f>
        <v>25000</v>
      </c>
      <c r="F102" s="200">
        <f t="shared" si="21"/>
        <v>20.032051282051281</v>
      </c>
      <c r="G102" s="144">
        <v>3.98</v>
      </c>
      <c r="H102" s="143">
        <f t="shared" si="16"/>
        <v>79.727564102564102</v>
      </c>
      <c r="I102" s="144">
        <v>2.78</v>
      </c>
      <c r="J102" s="145">
        <f t="shared" si="17"/>
        <v>55.689102564102555</v>
      </c>
      <c r="K102" s="144">
        <v>1.1200000000000001</v>
      </c>
      <c r="L102" s="145">
        <f t="shared" si="18"/>
        <v>22.435897435897438</v>
      </c>
      <c r="M102" s="144">
        <v>1.1599999999999999</v>
      </c>
      <c r="N102" s="143">
        <f t="shared" si="19"/>
        <v>23.237179487179485</v>
      </c>
      <c r="O102" s="144">
        <v>1.54</v>
      </c>
      <c r="P102" s="143">
        <f t="shared" si="20"/>
        <v>30.849358974358974</v>
      </c>
      <c r="Q102" s="144">
        <v>3.08</v>
      </c>
      <c r="R102" s="143">
        <f t="shared" si="23"/>
        <v>61.698717948717949</v>
      </c>
    </row>
    <row r="103" spans="1:18" ht="22.9" customHeight="1">
      <c r="A103" s="133">
        <v>21</v>
      </c>
      <c r="B103" s="135" t="s">
        <v>273</v>
      </c>
      <c r="C103" s="133" t="s">
        <v>272</v>
      </c>
      <c r="D103" s="133">
        <v>48</v>
      </c>
      <c r="E103" s="200">
        <f>'Gia-DC'!E52</f>
        <v>25000</v>
      </c>
      <c r="F103" s="200">
        <f t="shared" si="21"/>
        <v>20.032051282051281</v>
      </c>
      <c r="G103" s="144">
        <v>3.98</v>
      </c>
      <c r="H103" s="143">
        <f t="shared" si="16"/>
        <v>79.727564102564102</v>
      </c>
      <c r="I103" s="144">
        <v>2.78</v>
      </c>
      <c r="J103" s="145">
        <f t="shared" si="17"/>
        <v>55.689102564102555</v>
      </c>
      <c r="K103" s="144">
        <v>1.1200000000000001</v>
      </c>
      <c r="L103" s="145">
        <f t="shared" si="18"/>
        <v>22.435897435897438</v>
      </c>
      <c r="M103" s="144">
        <v>1.1599999999999999</v>
      </c>
      <c r="N103" s="143">
        <f t="shared" si="19"/>
        <v>23.237179487179485</v>
      </c>
      <c r="O103" s="144">
        <v>1.54</v>
      </c>
      <c r="P103" s="143">
        <f t="shared" si="20"/>
        <v>30.849358974358974</v>
      </c>
      <c r="Q103" s="144">
        <v>3.08</v>
      </c>
      <c r="R103" s="143">
        <f t="shared" si="23"/>
        <v>61.698717948717949</v>
      </c>
    </row>
    <row r="104" spans="1:18" ht="22.9" customHeight="1">
      <c r="A104" s="133">
        <v>22</v>
      </c>
      <c r="B104" s="135" t="s">
        <v>234</v>
      </c>
      <c r="C104" s="133" t="s">
        <v>118</v>
      </c>
      <c r="D104" s="133">
        <v>6</v>
      </c>
      <c r="E104" s="200">
        <f>'Gia-DC'!E72</f>
        <v>1000</v>
      </c>
      <c r="F104" s="200">
        <f t="shared" si="21"/>
        <v>6.4102564102564106</v>
      </c>
      <c r="G104" s="144">
        <v>23.9</v>
      </c>
      <c r="H104" s="143">
        <f t="shared" si="16"/>
        <v>153.2051282051282</v>
      </c>
      <c r="I104" s="144">
        <v>16.68</v>
      </c>
      <c r="J104" s="145">
        <f t="shared" si="17"/>
        <v>106.92307692307692</v>
      </c>
      <c r="K104" s="144">
        <v>6.72</v>
      </c>
      <c r="L104" s="145">
        <f t="shared" si="18"/>
        <v>43.07692307692308</v>
      </c>
      <c r="M104" s="144">
        <v>6.98</v>
      </c>
      <c r="N104" s="143">
        <f t="shared" si="19"/>
        <v>44.743589743589752</v>
      </c>
      <c r="O104" s="144">
        <v>9.23</v>
      </c>
      <c r="P104" s="143">
        <f t="shared" si="20"/>
        <v>59.166666666666671</v>
      </c>
      <c r="Q104" s="144">
        <v>18.46</v>
      </c>
      <c r="R104" s="143">
        <f t="shared" si="23"/>
        <v>118.33333333333334</v>
      </c>
    </row>
    <row r="105" spans="1:18" ht="22.9" customHeight="1">
      <c r="A105" s="133">
        <v>23</v>
      </c>
      <c r="B105" s="135" t="s">
        <v>274</v>
      </c>
      <c r="C105" s="133" t="s">
        <v>118</v>
      </c>
      <c r="D105" s="133">
        <v>24</v>
      </c>
      <c r="E105" s="200">
        <f>'Gia-DC'!E25</f>
        <v>270000</v>
      </c>
      <c r="F105" s="200">
        <f t="shared" si="21"/>
        <v>432.69230769230768</v>
      </c>
      <c r="G105" s="144">
        <v>0.4</v>
      </c>
      <c r="H105" s="143">
        <f t="shared" si="16"/>
        <v>173.07692307692309</v>
      </c>
      <c r="I105" s="144">
        <v>0.28000000000000003</v>
      </c>
      <c r="J105" s="145">
        <f t="shared" si="17"/>
        <v>121.15384615384616</v>
      </c>
      <c r="K105" s="144">
        <v>0.11</v>
      </c>
      <c r="L105" s="145">
        <f t="shared" si="18"/>
        <v>47.596153846153847</v>
      </c>
      <c r="M105" s="144">
        <v>0.12</v>
      </c>
      <c r="N105" s="143">
        <f t="shared" si="19"/>
        <v>51.92307692307692</v>
      </c>
      <c r="O105" s="144">
        <v>0.15</v>
      </c>
      <c r="P105" s="143">
        <f t="shared" si="20"/>
        <v>64.903846153846146</v>
      </c>
      <c r="Q105" s="144">
        <v>0.3</v>
      </c>
      <c r="R105" s="143">
        <f t="shared" si="23"/>
        <v>129.80769230769229</v>
      </c>
    </row>
    <row r="106" spans="1:18" ht="22.9" customHeight="1">
      <c r="A106" s="133">
        <v>24</v>
      </c>
      <c r="B106" s="135" t="s">
        <v>130</v>
      </c>
      <c r="C106" s="133" t="s">
        <v>118</v>
      </c>
      <c r="D106" s="133">
        <v>36</v>
      </c>
      <c r="E106" s="200">
        <f>'Gia-DC'!E76</f>
        <v>50000</v>
      </c>
      <c r="F106" s="200">
        <f t="shared" si="21"/>
        <v>53.418803418803421</v>
      </c>
      <c r="G106" s="144">
        <v>1.99</v>
      </c>
      <c r="H106" s="143">
        <f t="shared" si="16"/>
        <v>106.30341880341881</v>
      </c>
      <c r="I106" s="144">
        <v>1.39</v>
      </c>
      <c r="J106" s="145">
        <f t="shared" si="17"/>
        <v>74.252136752136749</v>
      </c>
      <c r="K106" s="144">
        <v>0.56999999999999995</v>
      </c>
      <c r="L106" s="145">
        <f t="shared" si="18"/>
        <v>30.448717948717949</v>
      </c>
      <c r="M106" s="144">
        <v>0.57999999999999996</v>
      </c>
      <c r="N106" s="143">
        <f t="shared" si="19"/>
        <v>30.982905982905983</v>
      </c>
      <c r="O106" s="144">
        <v>0.77</v>
      </c>
      <c r="P106" s="143">
        <f t="shared" si="20"/>
        <v>41.132478632478637</v>
      </c>
      <c r="Q106" s="144">
        <v>1.54</v>
      </c>
      <c r="R106" s="143">
        <f>F106*Q106</f>
        <v>82.264957264957275</v>
      </c>
    </row>
    <row r="107" spans="1:18" ht="23.45" customHeight="1">
      <c r="A107" s="130"/>
      <c r="B107" s="130" t="s">
        <v>276</v>
      </c>
      <c r="C107" s="130"/>
      <c r="D107" s="130"/>
      <c r="E107" s="239"/>
      <c r="F107" s="239"/>
      <c r="G107" s="220"/>
      <c r="H107" s="248">
        <f>SUM(H83:H106)</f>
        <v>312769.2574786325</v>
      </c>
      <c r="I107" s="271"/>
      <c r="J107" s="272">
        <f>SUM(J83:J106)</f>
        <v>218328.87820512816</v>
      </c>
      <c r="K107" s="273"/>
      <c r="L107" s="272">
        <f>SUM(L83:L106)</f>
        <v>87997.403846153829</v>
      </c>
      <c r="M107" s="271"/>
      <c r="N107" s="248">
        <f>SUM(N83:N106)</f>
        <v>91308.311965811969</v>
      </c>
      <c r="O107" s="271"/>
      <c r="P107" s="248">
        <f>SUM(P83:P106)</f>
        <v>138140.28311965807</v>
      </c>
      <c r="Q107" s="271"/>
      <c r="R107" s="248">
        <f>SUM(R83:R106)</f>
        <v>276280.56623931613</v>
      </c>
    </row>
    <row r="108" spans="1:18" ht="23.45" customHeight="1">
      <c r="A108" s="203"/>
      <c r="B108" s="192" t="s">
        <v>275</v>
      </c>
      <c r="C108" s="192"/>
      <c r="D108" s="193"/>
      <c r="E108" s="240"/>
      <c r="F108" s="204"/>
      <c r="G108" s="203"/>
      <c r="H108" s="249">
        <f>H107*0.05</f>
        <v>15638.462873931625</v>
      </c>
      <c r="I108" s="249"/>
      <c r="J108" s="249">
        <f>J107*0.05</f>
        <v>10916.443910256408</v>
      </c>
      <c r="K108" s="249"/>
      <c r="L108" s="249">
        <f>L107*0.05</f>
        <v>4399.8701923076915</v>
      </c>
      <c r="M108" s="249"/>
      <c r="N108" s="249">
        <f>N107*0.05</f>
        <v>4565.4155982905986</v>
      </c>
      <c r="O108" s="249"/>
      <c r="P108" s="249">
        <f>P107*0.05</f>
        <v>6907.0141559829035</v>
      </c>
      <c r="Q108" s="249"/>
      <c r="R108" s="249">
        <f>R107*0.05</f>
        <v>13814.028311965807</v>
      </c>
    </row>
    <row r="109" spans="1:18" ht="23.45" customHeight="1">
      <c r="A109" s="197"/>
      <c r="B109" s="130" t="s">
        <v>132</v>
      </c>
      <c r="C109" s="130"/>
      <c r="D109" s="220"/>
      <c r="E109" s="217"/>
      <c r="F109" s="217"/>
      <c r="G109" s="220"/>
      <c r="H109" s="248">
        <f>H107+H108</f>
        <v>328407.72035256412</v>
      </c>
      <c r="I109" s="248"/>
      <c r="J109" s="248">
        <f>J107+J108</f>
        <v>229245.32211538457</v>
      </c>
      <c r="K109" s="248"/>
      <c r="L109" s="248">
        <f>L107+L108</f>
        <v>92397.274038461517</v>
      </c>
      <c r="M109" s="248"/>
      <c r="N109" s="248">
        <f>N107+N108</f>
        <v>95873.727564102563</v>
      </c>
      <c r="O109" s="248"/>
      <c r="P109" s="248">
        <f>P107+P108</f>
        <v>145047.29727564097</v>
      </c>
      <c r="Q109" s="248"/>
      <c r="R109" s="248">
        <f>R107+R108</f>
        <v>290094.59455128195</v>
      </c>
    </row>
    <row r="110" spans="1:18" ht="23.45" customHeight="1">
      <c r="A110" s="197"/>
      <c r="B110" s="130" t="s">
        <v>277</v>
      </c>
      <c r="C110" s="130"/>
      <c r="D110" s="220"/>
      <c r="E110" s="217"/>
      <c r="F110" s="217"/>
      <c r="G110" s="220"/>
      <c r="H110" s="248">
        <f>H109/100</f>
        <v>3284.0772035256414</v>
      </c>
      <c r="I110" s="248"/>
      <c r="J110" s="248">
        <f>J109/100</f>
        <v>2292.4532211538458</v>
      </c>
      <c r="K110" s="248"/>
      <c r="L110" s="248">
        <f>L109/100</f>
        <v>923.97274038461512</v>
      </c>
      <c r="M110" s="248"/>
      <c r="N110" s="248">
        <f>N109/100</f>
        <v>958.73727564102558</v>
      </c>
      <c r="O110" s="248"/>
      <c r="P110" s="248">
        <f>P109/100</f>
        <v>1450.4729727564097</v>
      </c>
      <c r="Q110" s="248"/>
      <c r="R110" s="248">
        <f>R109/100</f>
        <v>2900.9459455128194</v>
      </c>
    </row>
    <row r="111" spans="1:18" ht="23.45" customHeight="1">
      <c r="A111" s="229"/>
      <c r="B111" s="230"/>
      <c r="C111" s="231"/>
      <c r="D111" s="230"/>
      <c r="E111" s="242"/>
      <c r="F111" s="242"/>
      <c r="G111" s="230"/>
      <c r="H111" s="250"/>
      <c r="I111" s="251"/>
      <c r="J111" s="252"/>
      <c r="K111" s="251"/>
      <c r="L111" s="252"/>
      <c r="M111" s="251"/>
      <c r="N111" s="250"/>
      <c r="O111" s="251"/>
      <c r="P111" s="253"/>
      <c r="Q111" s="251"/>
      <c r="R111" s="253"/>
    </row>
    <row r="112" spans="1:18" ht="23.45" customHeight="1">
      <c r="A112" s="195"/>
      <c r="B112" s="232" t="s">
        <v>263</v>
      </c>
      <c r="C112" s="233" t="s">
        <v>278</v>
      </c>
      <c r="D112" s="232"/>
      <c r="E112" s="243"/>
      <c r="F112" s="243"/>
      <c r="G112" s="232">
        <v>0.6</v>
      </c>
      <c r="H112" s="254">
        <f>G112*$H$110</f>
        <v>1970.4463221153846</v>
      </c>
      <c r="I112" s="737">
        <v>0.6</v>
      </c>
      <c r="J112" s="254">
        <f>I112*$J$110</f>
        <v>1375.4719326923075</v>
      </c>
      <c r="K112" s="739">
        <v>0.6</v>
      </c>
      <c r="L112" s="254">
        <f>K112*$L$110</f>
        <v>554.38364423076905</v>
      </c>
      <c r="M112" s="739">
        <v>0.6</v>
      </c>
      <c r="N112" s="254">
        <f>M112*$N$110</f>
        <v>575.24236538461537</v>
      </c>
      <c r="O112" s="737">
        <v>0.6</v>
      </c>
      <c r="P112" s="254">
        <f>O112*$P$110</f>
        <v>870.28378365384583</v>
      </c>
      <c r="Q112" s="737">
        <v>0.6</v>
      </c>
      <c r="R112" s="254">
        <f>Q112*$R$110</f>
        <v>1740.5675673076917</v>
      </c>
    </row>
    <row r="113" spans="1:18" ht="23.45" customHeight="1">
      <c r="A113" s="135"/>
      <c r="B113" s="132" t="s">
        <v>264</v>
      </c>
      <c r="C113" s="165" t="s">
        <v>278</v>
      </c>
      <c r="D113" s="132"/>
      <c r="E113" s="39"/>
      <c r="F113" s="39"/>
      <c r="G113" s="132">
        <v>0.75</v>
      </c>
      <c r="H113" s="254">
        <f>G113*$H$110</f>
        <v>2463.057902644231</v>
      </c>
      <c r="I113" s="738">
        <v>0.75</v>
      </c>
      <c r="J113" s="254">
        <f>I113*$J$110</f>
        <v>1719.3399158653842</v>
      </c>
      <c r="K113" s="740">
        <v>0.75</v>
      </c>
      <c r="L113" s="254">
        <f>K113*$L$110</f>
        <v>692.97955528846137</v>
      </c>
      <c r="M113" s="740">
        <v>0.75</v>
      </c>
      <c r="N113" s="254">
        <f>M113*$N$110</f>
        <v>719.05295673076921</v>
      </c>
      <c r="O113" s="738">
        <v>0.75</v>
      </c>
      <c r="P113" s="254">
        <f>O113*$P$110</f>
        <v>1087.8547295673072</v>
      </c>
      <c r="Q113" s="738">
        <v>0.75</v>
      </c>
      <c r="R113" s="254">
        <f>Q113*$R$110</f>
        <v>2175.7094591346145</v>
      </c>
    </row>
    <row r="114" spans="1:18" ht="23.45" customHeight="1">
      <c r="A114" s="135"/>
      <c r="B114" s="132" t="s">
        <v>265</v>
      </c>
      <c r="C114" s="165" t="s">
        <v>278</v>
      </c>
      <c r="D114" s="132"/>
      <c r="E114" s="39"/>
      <c r="F114" s="39"/>
      <c r="G114" s="132">
        <v>1</v>
      </c>
      <c r="H114" s="254">
        <f>G114*$H$110</f>
        <v>3284.0772035256414</v>
      </c>
      <c r="I114" s="738">
        <v>1</v>
      </c>
      <c r="J114" s="254">
        <f>I114*$J$110</f>
        <v>2292.4532211538458</v>
      </c>
      <c r="K114" s="738">
        <v>1</v>
      </c>
      <c r="L114" s="254">
        <f>K114*$L$110</f>
        <v>923.97274038461512</v>
      </c>
      <c r="M114" s="738">
        <v>1</v>
      </c>
      <c r="N114" s="254">
        <f>M114*$N$110</f>
        <v>958.73727564102558</v>
      </c>
      <c r="O114" s="738">
        <v>1</v>
      </c>
      <c r="P114" s="254">
        <f>O114*$P$110</f>
        <v>1450.4729727564097</v>
      </c>
      <c r="Q114" s="738">
        <v>1</v>
      </c>
      <c r="R114" s="254">
        <f>Q114*$R$110</f>
        <v>2900.9459455128194</v>
      </c>
    </row>
    <row r="115" spans="1:18" ht="23.45" customHeight="1">
      <c r="A115" s="135"/>
      <c r="B115" s="132" t="s">
        <v>266</v>
      </c>
      <c r="C115" s="165" t="s">
        <v>278</v>
      </c>
      <c r="D115" s="135"/>
      <c r="E115" s="143"/>
      <c r="F115" s="143"/>
      <c r="G115" s="132">
        <v>1.2</v>
      </c>
      <c r="H115" s="254">
        <f>G115*$H$110</f>
        <v>3940.8926442307693</v>
      </c>
      <c r="I115" s="738">
        <v>1.35</v>
      </c>
      <c r="J115" s="254">
        <f>I115*$J$110</f>
        <v>3094.811848557692</v>
      </c>
      <c r="K115" s="740">
        <v>1.35</v>
      </c>
      <c r="L115" s="254">
        <f>K115*$L$110</f>
        <v>1247.3631995192304</v>
      </c>
      <c r="M115" s="740">
        <v>1.35</v>
      </c>
      <c r="N115" s="254">
        <f>M115*$N$110</f>
        <v>1294.2953221153846</v>
      </c>
      <c r="O115" s="738">
        <v>1.1000000000000001</v>
      </c>
      <c r="P115" s="254">
        <f>O115*$P$110</f>
        <v>1595.5202700320508</v>
      </c>
      <c r="Q115" s="738">
        <v>1.1000000000000001</v>
      </c>
      <c r="R115" s="254">
        <f>Q115*$R$110</f>
        <v>3191.0405400641016</v>
      </c>
    </row>
    <row r="116" spans="1:18" ht="23.45" customHeight="1">
      <c r="A116" s="135"/>
      <c r="B116" s="132" t="s">
        <v>267</v>
      </c>
      <c r="C116" s="165" t="s">
        <v>278</v>
      </c>
      <c r="D116" s="132"/>
      <c r="E116" s="39"/>
      <c r="F116" s="39"/>
      <c r="G116" s="132"/>
      <c r="H116" s="255"/>
      <c r="I116" s="738">
        <v>1.75</v>
      </c>
      <c r="J116" s="254">
        <f>I116*$J$110</f>
        <v>4011.79313701923</v>
      </c>
      <c r="K116" s="740">
        <v>1.75</v>
      </c>
      <c r="L116" s="254">
        <f>K116*$L$110</f>
        <v>1616.9522956730764</v>
      </c>
      <c r="M116" s="740">
        <v>1.75</v>
      </c>
      <c r="N116" s="254">
        <f>M116*$N$110</f>
        <v>1677.7902323717947</v>
      </c>
      <c r="O116" s="175"/>
      <c r="P116" s="173"/>
      <c r="Q116" s="175"/>
      <c r="R116" s="173"/>
    </row>
    <row r="117" spans="1:18" ht="21" customHeight="1">
      <c r="A117" s="139"/>
      <c r="B117" s="234"/>
      <c r="C117" s="235"/>
      <c r="D117" s="139"/>
      <c r="E117" s="149"/>
      <c r="F117" s="149"/>
      <c r="G117" s="139"/>
      <c r="H117" s="181"/>
      <c r="I117" s="183"/>
      <c r="J117" s="256"/>
      <c r="K117" s="256"/>
      <c r="L117" s="256"/>
      <c r="M117" s="741"/>
      <c r="N117" s="256"/>
      <c r="O117" s="183"/>
      <c r="P117" s="181"/>
      <c r="Q117" s="183"/>
      <c r="R117" s="181"/>
    </row>
    <row r="119" spans="1:18">
      <c r="A119" s="783" t="s">
        <v>100</v>
      </c>
    </row>
    <row r="120" spans="1:18" ht="19.899999999999999" customHeight="1">
      <c r="B120" s="227"/>
    </row>
    <row r="121" spans="1:18" ht="45.75" customHeight="1">
      <c r="A121" s="1028" t="s">
        <v>546</v>
      </c>
      <c r="B121" s="1028"/>
      <c r="C121" s="1028"/>
      <c r="D121" s="1028"/>
      <c r="E121" s="1028"/>
      <c r="F121" s="1028"/>
      <c r="G121" s="1028"/>
      <c r="H121" s="1028"/>
      <c r="I121" s="1028"/>
      <c r="J121" s="1028"/>
      <c r="K121" s="1028"/>
      <c r="L121" s="1028"/>
      <c r="M121" s="1028"/>
      <c r="N121" s="1028"/>
      <c r="O121" s="1028"/>
      <c r="P121" s="1028"/>
      <c r="Q121" s="1028"/>
      <c r="R121" s="1028"/>
    </row>
    <row r="122" spans="1:18" ht="19.899999999999999" customHeight="1">
      <c r="B122" s="227"/>
    </row>
    <row r="123" spans="1:18" ht="19.149999999999999" customHeight="1">
      <c r="A123" s="129" t="s">
        <v>302</v>
      </c>
    </row>
    <row r="124" spans="1:18" ht="18" customHeight="1">
      <c r="A124" s="129" t="s">
        <v>303</v>
      </c>
      <c r="C124" s="246" t="s">
        <v>304</v>
      </c>
    </row>
    <row r="125" spans="1:18" ht="11.45" customHeight="1"/>
    <row r="126" spans="1:18" ht="18.75" customHeight="1">
      <c r="A126" s="227" t="s">
        <v>483</v>
      </c>
      <c r="B126" s="159"/>
      <c r="C126" s="157"/>
      <c r="D126" s="159"/>
      <c r="E126" s="158"/>
      <c r="F126" s="158"/>
      <c r="G126" s="159"/>
      <c r="H126" s="158"/>
      <c r="I126" s="159"/>
      <c r="J126" s="160"/>
      <c r="K126" s="159"/>
      <c r="L126" s="160"/>
      <c r="M126" s="159"/>
      <c r="N126" s="159" t="s">
        <v>269</v>
      </c>
      <c r="O126" s="159"/>
      <c r="Q126" s="159"/>
    </row>
    <row r="127" spans="1:18" ht="5.25" customHeight="1">
      <c r="A127" s="227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7"/>
      <c r="Q127" s="17"/>
    </row>
    <row r="128" spans="1:18" ht="15.75" customHeight="1">
      <c r="A128" s="1032" t="s">
        <v>0</v>
      </c>
      <c r="B128" s="1018" t="s">
        <v>307</v>
      </c>
      <c r="C128" s="1032" t="s">
        <v>116</v>
      </c>
      <c r="D128" s="1032" t="s">
        <v>33</v>
      </c>
      <c r="E128" s="1018" t="s">
        <v>513</v>
      </c>
      <c r="F128" s="1018" t="s">
        <v>510</v>
      </c>
      <c r="G128" s="1016" t="s">
        <v>34</v>
      </c>
      <c r="H128" s="1017"/>
      <c r="I128" s="1016" t="s">
        <v>35</v>
      </c>
      <c r="J128" s="1017"/>
      <c r="K128" s="1016" t="s">
        <v>36</v>
      </c>
      <c r="L128" s="1017"/>
      <c r="M128" s="1030" t="s">
        <v>37</v>
      </c>
      <c r="N128" s="1031"/>
      <c r="O128" s="1030" t="s">
        <v>38</v>
      </c>
      <c r="P128" s="1031"/>
      <c r="Q128" s="1030" t="s">
        <v>480</v>
      </c>
      <c r="R128" s="1031"/>
    </row>
    <row r="129" spans="1:22" ht="30" customHeight="1">
      <c r="A129" s="1033"/>
      <c r="B129" s="1019"/>
      <c r="C129" s="1033"/>
      <c r="D129" s="1033"/>
      <c r="E129" s="1019"/>
      <c r="F129" s="1019"/>
      <c r="G129" s="247" t="s">
        <v>511</v>
      </c>
      <c r="H129" s="247" t="s">
        <v>512</v>
      </c>
      <c r="I129" s="247" t="s">
        <v>511</v>
      </c>
      <c r="J129" s="247" t="s">
        <v>512</v>
      </c>
      <c r="K129" s="247" t="s">
        <v>511</v>
      </c>
      <c r="L129" s="247" t="s">
        <v>512</v>
      </c>
      <c r="M129" s="247" t="s">
        <v>511</v>
      </c>
      <c r="N129" s="247" t="s">
        <v>512</v>
      </c>
      <c r="O129" s="247" t="s">
        <v>511</v>
      </c>
      <c r="P129" s="247" t="s">
        <v>512</v>
      </c>
      <c r="Q129" s="247" t="s">
        <v>511</v>
      </c>
      <c r="R129" s="247" t="s">
        <v>512</v>
      </c>
    </row>
    <row r="130" spans="1:22" ht="15.6" customHeight="1">
      <c r="A130" s="201">
        <v>1</v>
      </c>
      <c r="B130" s="142" t="s">
        <v>119</v>
      </c>
      <c r="C130" s="201" t="s">
        <v>118</v>
      </c>
      <c r="D130" s="201">
        <v>18</v>
      </c>
      <c r="E130" s="236">
        <f>'Gia-DC'!E6</f>
        <v>180000</v>
      </c>
      <c r="F130" s="236">
        <f>E130/(D130*26)</f>
        <v>384.61538461538464</v>
      </c>
      <c r="G130" s="237">
        <v>10.59</v>
      </c>
      <c r="H130" s="202">
        <f t="shared" ref="H130:H150" si="24">(G130*F130)</f>
        <v>4073.0769230769233</v>
      </c>
      <c r="I130" s="237">
        <v>6.74</v>
      </c>
      <c r="J130" s="238">
        <f t="shared" ref="J130:J150" si="25">I130*F130</f>
        <v>2592.3076923076924</v>
      </c>
      <c r="K130" s="237">
        <v>3.87</v>
      </c>
      <c r="L130" s="238">
        <f t="shared" ref="L130:L150" si="26">K130*F130</f>
        <v>1488.4615384615386</v>
      </c>
      <c r="M130" s="237">
        <v>4.18</v>
      </c>
      <c r="N130" s="202">
        <f t="shared" ref="N130:N150" si="27">(M130*F130)</f>
        <v>1607.6923076923076</v>
      </c>
      <c r="O130" s="237">
        <v>5.86</v>
      </c>
      <c r="P130" s="202">
        <f t="shared" ref="P130:P150" si="28">(O130*F130)</f>
        <v>2253.8461538461543</v>
      </c>
      <c r="Q130" s="237">
        <v>11.72</v>
      </c>
      <c r="R130" s="202">
        <f>Q130*F130</f>
        <v>4507.6923076923085</v>
      </c>
      <c r="T130" s="822" t="e">
        <f>M130-#REF!</f>
        <v>#REF!</v>
      </c>
      <c r="U130" s="822" t="e">
        <f>O130-#REF!</f>
        <v>#REF!</v>
      </c>
      <c r="V130" s="822" t="e">
        <f>Q130-#REF!</f>
        <v>#REF!</v>
      </c>
    </row>
    <row r="131" spans="1:22" ht="15.6" customHeight="1">
      <c r="A131" s="133">
        <v>2</v>
      </c>
      <c r="B131" s="135" t="s">
        <v>315</v>
      </c>
      <c r="C131" s="133" t="s">
        <v>121</v>
      </c>
      <c r="D131" s="133">
        <v>12</v>
      </c>
      <c r="E131" s="200">
        <f>'Gia-DC'!E21</f>
        <v>85000</v>
      </c>
      <c r="F131" s="200">
        <f t="shared" ref="F131:F147" si="29">E131/(D131*26)</f>
        <v>272.43589743589746</v>
      </c>
      <c r="G131" s="144">
        <v>10.59</v>
      </c>
      <c r="H131" s="143">
        <f t="shared" si="24"/>
        <v>2885.0961538461543</v>
      </c>
      <c r="I131" s="144">
        <v>6.74</v>
      </c>
      <c r="J131" s="145">
        <f t="shared" si="25"/>
        <v>1836.217948717949</v>
      </c>
      <c r="K131" s="144">
        <v>3.87</v>
      </c>
      <c r="L131" s="145">
        <f t="shared" si="26"/>
        <v>1054.3269230769231</v>
      </c>
      <c r="M131" s="144">
        <v>4.18</v>
      </c>
      <c r="N131" s="143">
        <f t="shared" si="27"/>
        <v>1138.7820512820513</v>
      </c>
      <c r="O131" s="144">
        <v>5.86</v>
      </c>
      <c r="P131" s="143">
        <f t="shared" si="28"/>
        <v>1596.4743589743591</v>
      </c>
      <c r="Q131" s="144">
        <v>11.72</v>
      </c>
      <c r="R131" s="143">
        <f>Q131*F131</f>
        <v>3192.9487179487182</v>
      </c>
      <c r="T131" s="822" t="e">
        <f>M131-#REF!</f>
        <v>#REF!</v>
      </c>
      <c r="U131" s="822" t="e">
        <f>O131-#REF!</f>
        <v>#REF!</v>
      </c>
      <c r="V131" s="822" t="e">
        <f>Q131-#REF!</f>
        <v>#REF!</v>
      </c>
    </row>
    <row r="132" spans="1:22" ht="15.6" customHeight="1">
      <c r="A132" s="133">
        <v>3</v>
      </c>
      <c r="B132" s="135" t="s">
        <v>122</v>
      </c>
      <c r="C132" s="133" t="s">
        <v>118</v>
      </c>
      <c r="D132" s="133">
        <v>12</v>
      </c>
      <c r="E132" s="200">
        <f>'Gia-DC'!E26</f>
        <v>40000</v>
      </c>
      <c r="F132" s="200">
        <f t="shared" si="29"/>
        <v>128.2051282051282</v>
      </c>
      <c r="G132" s="144">
        <v>10.59</v>
      </c>
      <c r="H132" s="143">
        <f t="shared" si="24"/>
        <v>1357.6923076923076</v>
      </c>
      <c r="I132" s="144">
        <v>6.74</v>
      </c>
      <c r="J132" s="145">
        <f t="shared" si="25"/>
        <v>864.10256410256409</v>
      </c>
      <c r="K132" s="144">
        <v>3.87</v>
      </c>
      <c r="L132" s="145">
        <f t="shared" si="26"/>
        <v>496.15384615384619</v>
      </c>
      <c r="M132" s="144">
        <v>4.18</v>
      </c>
      <c r="N132" s="143">
        <f t="shared" si="27"/>
        <v>535.89743589743591</v>
      </c>
      <c r="O132" s="144">
        <v>5.86</v>
      </c>
      <c r="P132" s="143">
        <f t="shared" si="28"/>
        <v>751.28205128205127</v>
      </c>
      <c r="Q132" s="144">
        <v>11.72</v>
      </c>
      <c r="R132" s="143">
        <f t="shared" ref="R132:R146" si="30">Q132*F132</f>
        <v>1502.5641025641025</v>
      </c>
      <c r="T132" s="822" t="e">
        <f>M132-#REF!</f>
        <v>#REF!</v>
      </c>
      <c r="U132" s="822" t="e">
        <f>O132-#REF!</f>
        <v>#REF!</v>
      </c>
      <c r="V132" s="822" t="e">
        <f>Q132-#REF!</f>
        <v>#REF!</v>
      </c>
    </row>
    <row r="133" spans="1:22" ht="15.6" customHeight="1">
      <c r="A133" s="133">
        <v>4</v>
      </c>
      <c r="B133" s="135" t="s">
        <v>123</v>
      </c>
      <c r="C133" s="133" t="s">
        <v>124</v>
      </c>
      <c r="D133" s="133">
        <v>9</v>
      </c>
      <c r="E133" s="200">
        <f>'Gia-DC'!E32</f>
        <v>150000</v>
      </c>
      <c r="F133" s="200">
        <f t="shared" si="29"/>
        <v>641.02564102564099</v>
      </c>
      <c r="G133" s="144">
        <v>10.59</v>
      </c>
      <c r="H133" s="143">
        <f t="shared" si="24"/>
        <v>6788.4615384615381</v>
      </c>
      <c r="I133" s="144">
        <v>6.74</v>
      </c>
      <c r="J133" s="145">
        <f t="shared" si="25"/>
        <v>4320.5128205128203</v>
      </c>
      <c r="K133" s="144">
        <v>3.87</v>
      </c>
      <c r="L133" s="145">
        <f t="shared" si="26"/>
        <v>2480.7692307692305</v>
      </c>
      <c r="M133" s="144">
        <v>4.18</v>
      </c>
      <c r="N133" s="143">
        <f t="shared" si="27"/>
        <v>2679.4871794871792</v>
      </c>
      <c r="O133" s="144">
        <v>5.86</v>
      </c>
      <c r="P133" s="143">
        <f t="shared" si="28"/>
        <v>3756.4102564102564</v>
      </c>
      <c r="Q133" s="144">
        <v>11.72</v>
      </c>
      <c r="R133" s="143">
        <f t="shared" si="30"/>
        <v>7512.8205128205127</v>
      </c>
      <c r="T133" s="822" t="e">
        <f>M133-#REF!</f>
        <v>#REF!</v>
      </c>
      <c r="U133" s="822" t="e">
        <f>O133-#REF!</f>
        <v>#REF!</v>
      </c>
      <c r="V133" s="822" t="e">
        <f>Q133-#REF!</f>
        <v>#REF!</v>
      </c>
    </row>
    <row r="134" spans="1:22" ht="15.6" customHeight="1">
      <c r="A134" s="133">
        <v>5</v>
      </c>
      <c r="B134" s="135" t="s">
        <v>125</v>
      </c>
      <c r="C134" s="133" t="s">
        <v>121</v>
      </c>
      <c r="D134" s="133">
        <v>6</v>
      </c>
      <c r="E134" s="200">
        <f>'Gia-DC'!E53</f>
        <v>15000</v>
      </c>
      <c r="F134" s="200">
        <f t="shared" si="29"/>
        <v>96.15384615384616</v>
      </c>
      <c r="G134" s="144">
        <v>10.59</v>
      </c>
      <c r="H134" s="143">
        <f t="shared" si="24"/>
        <v>1018.2692307692308</v>
      </c>
      <c r="I134" s="144">
        <v>6.74</v>
      </c>
      <c r="J134" s="145">
        <f t="shared" si="25"/>
        <v>648.07692307692309</v>
      </c>
      <c r="K134" s="144">
        <v>3.87</v>
      </c>
      <c r="L134" s="145">
        <f t="shared" si="26"/>
        <v>372.11538461538464</v>
      </c>
      <c r="M134" s="144">
        <v>4.18</v>
      </c>
      <c r="N134" s="143">
        <f t="shared" si="27"/>
        <v>401.92307692307691</v>
      </c>
      <c r="O134" s="144">
        <v>5.86</v>
      </c>
      <c r="P134" s="143">
        <f t="shared" si="28"/>
        <v>563.46153846153857</v>
      </c>
      <c r="Q134" s="144">
        <v>11.72</v>
      </c>
      <c r="R134" s="143">
        <f t="shared" si="30"/>
        <v>1126.9230769230771</v>
      </c>
      <c r="T134" s="822" t="e">
        <f>M134-#REF!</f>
        <v>#REF!</v>
      </c>
      <c r="U134" s="822" t="e">
        <f>O134-#REF!</f>
        <v>#REF!</v>
      </c>
      <c r="V134" s="822" t="e">
        <f>Q134-#REF!</f>
        <v>#REF!</v>
      </c>
    </row>
    <row r="135" spans="1:22" ht="15.6" customHeight="1">
      <c r="A135" s="133">
        <v>6</v>
      </c>
      <c r="B135" s="135" t="s">
        <v>126</v>
      </c>
      <c r="C135" s="133" t="s">
        <v>118</v>
      </c>
      <c r="D135" s="133">
        <v>12</v>
      </c>
      <c r="E135" s="200">
        <f>'Gia-DC'!E7</f>
        <v>30000</v>
      </c>
      <c r="F135" s="200">
        <f t="shared" si="29"/>
        <v>96.15384615384616</v>
      </c>
      <c r="G135" s="144">
        <v>10.59</v>
      </c>
      <c r="H135" s="143">
        <f t="shared" si="24"/>
        <v>1018.2692307692308</v>
      </c>
      <c r="I135" s="144">
        <v>6.74</v>
      </c>
      <c r="J135" s="145">
        <f t="shared" si="25"/>
        <v>648.07692307692309</v>
      </c>
      <c r="K135" s="144">
        <v>3.87</v>
      </c>
      <c r="L135" s="145">
        <f t="shared" si="26"/>
        <v>372.11538461538464</v>
      </c>
      <c r="M135" s="144">
        <v>4.18</v>
      </c>
      <c r="N135" s="143">
        <f t="shared" si="27"/>
        <v>401.92307692307691</v>
      </c>
      <c r="O135" s="144">
        <v>5.86</v>
      </c>
      <c r="P135" s="143">
        <f t="shared" si="28"/>
        <v>563.46153846153857</v>
      </c>
      <c r="Q135" s="144">
        <v>11.72</v>
      </c>
      <c r="R135" s="143">
        <f t="shared" si="30"/>
        <v>1126.9230769230771</v>
      </c>
      <c r="T135" s="822" t="e">
        <f>M135-#REF!</f>
        <v>#REF!</v>
      </c>
      <c r="U135" s="822" t="e">
        <f>O135-#REF!</f>
        <v>#REF!</v>
      </c>
      <c r="V135" s="822" t="e">
        <f>Q135-#REF!</f>
        <v>#REF!</v>
      </c>
    </row>
    <row r="136" spans="1:22" ht="15.6" customHeight="1">
      <c r="A136" s="133">
        <v>7</v>
      </c>
      <c r="B136" s="135" t="s">
        <v>316</v>
      </c>
      <c r="C136" s="133" t="s">
        <v>118</v>
      </c>
      <c r="D136" s="133">
        <v>48</v>
      </c>
      <c r="E136" s="200">
        <f>'Gia-DC'!E22</f>
        <v>150000</v>
      </c>
      <c r="F136" s="200">
        <f t="shared" si="29"/>
        <v>120.19230769230769</v>
      </c>
      <c r="G136" s="144">
        <v>4.87</v>
      </c>
      <c r="H136" s="143">
        <f t="shared" si="24"/>
        <v>585.33653846153845</v>
      </c>
      <c r="I136" s="144">
        <v>3.43</v>
      </c>
      <c r="J136" s="145">
        <f t="shared" si="25"/>
        <v>412.25961538461542</v>
      </c>
      <c r="K136" s="144">
        <v>2.35</v>
      </c>
      <c r="L136" s="145">
        <f t="shared" si="26"/>
        <v>282.45192307692309</v>
      </c>
      <c r="M136" s="144">
        <v>2.4700000000000002</v>
      </c>
      <c r="N136" s="143">
        <f t="shared" si="27"/>
        <v>296.875</v>
      </c>
      <c r="O136" s="144">
        <v>3.1</v>
      </c>
      <c r="P136" s="143">
        <f t="shared" si="28"/>
        <v>372.59615384615387</v>
      </c>
      <c r="Q136" s="144">
        <v>6.2</v>
      </c>
      <c r="R136" s="143">
        <f t="shared" si="30"/>
        <v>745.19230769230774</v>
      </c>
      <c r="T136" s="822" t="e">
        <f>M136-#REF!</f>
        <v>#REF!</v>
      </c>
      <c r="U136" s="822" t="e">
        <f>O136-#REF!</f>
        <v>#REF!</v>
      </c>
      <c r="V136" s="822" t="e">
        <f>Q136-#REF!</f>
        <v>#REF!</v>
      </c>
    </row>
    <row r="137" spans="1:22" ht="15.6" customHeight="1">
      <c r="A137" s="133">
        <v>8</v>
      </c>
      <c r="B137" s="135" t="s">
        <v>127</v>
      </c>
      <c r="C137" s="133" t="s">
        <v>118</v>
      </c>
      <c r="D137" s="133">
        <v>24</v>
      </c>
      <c r="E137" s="200">
        <f>'Gia-DC'!E29</f>
        <v>50000</v>
      </c>
      <c r="F137" s="200">
        <f t="shared" si="29"/>
        <v>80.128205128205124</v>
      </c>
      <c r="G137" s="144">
        <v>4.87</v>
      </c>
      <c r="H137" s="143">
        <f t="shared" si="24"/>
        <v>390.22435897435895</v>
      </c>
      <c r="I137" s="144">
        <v>3.43</v>
      </c>
      <c r="J137" s="145">
        <f t="shared" si="25"/>
        <v>274.83974358974359</v>
      </c>
      <c r="K137" s="144">
        <v>2.35</v>
      </c>
      <c r="L137" s="145">
        <f t="shared" si="26"/>
        <v>188.30128205128204</v>
      </c>
      <c r="M137" s="144">
        <v>2.4700000000000002</v>
      </c>
      <c r="N137" s="143">
        <f t="shared" si="27"/>
        <v>197.91666666666669</v>
      </c>
      <c r="O137" s="144">
        <v>3.1</v>
      </c>
      <c r="P137" s="143">
        <f t="shared" si="28"/>
        <v>248.39743589743588</v>
      </c>
      <c r="Q137" s="144">
        <v>6.2</v>
      </c>
      <c r="R137" s="143">
        <f t="shared" si="30"/>
        <v>496.79487179487177</v>
      </c>
      <c r="T137" s="822" t="e">
        <f>M137-#REF!</f>
        <v>#REF!</v>
      </c>
      <c r="U137" s="822" t="e">
        <f>O137-#REF!</f>
        <v>#REF!</v>
      </c>
      <c r="V137" s="822" t="e">
        <f>Q137-#REF!</f>
        <v>#REF!</v>
      </c>
    </row>
    <row r="138" spans="1:22" ht="15.6" customHeight="1">
      <c r="A138" s="133">
        <v>9</v>
      </c>
      <c r="B138" s="135" t="s">
        <v>178</v>
      </c>
      <c r="C138" s="133" t="s">
        <v>124</v>
      </c>
      <c r="D138" s="133">
        <v>12</v>
      </c>
      <c r="E138" s="200">
        <f>'Gia-DC'!E58</f>
        <v>30000</v>
      </c>
      <c r="F138" s="200">
        <f t="shared" si="29"/>
        <v>96.15384615384616</v>
      </c>
      <c r="G138" s="144">
        <v>4.87</v>
      </c>
      <c r="H138" s="143">
        <f t="shared" si="24"/>
        <v>468.26923076923083</v>
      </c>
      <c r="I138" s="144">
        <v>3.43</v>
      </c>
      <c r="J138" s="145">
        <f t="shared" si="25"/>
        <v>329.80769230769232</v>
      </c>
      <c r="K138" s="144">
        <v>2.35</v>
      </c>
      <c r="L138" s="145">
        <f t="shared" si="26"/>
        <v>225.96153846153848</v>
      </c>
      <c r="M138" s="144">
        <v>2.4700000000000002</v>
      </c>
      <c r="N138" s="143">
        <f t="shared" si="27"/>
        <v>237.50000000000003</v>
      </c>
      <c r="O138" s="144">
        <v>3.1</v>
      </c>
      <c r="P138" s="143">
        <f t="shared" si="28"/>
        <v>298.07692307692309</v>
      </c>
      <c r="Q138" s="144">
        <v>6.2</v>
      </c>
      <c r="R138" s="143">
        <f t="shared" si="30"/>
        <v>596.15384615384619</v>
      </c>
      <c r="T138" s="822" t="e">
        <f>M138-#REF!</f>
        <v>#REF!</v>
      </c>
      <c r="U138" s="822" t="e">
        <f>O138-#REF!</f>
        <v>#REF!</v>
      </c>
      <c r="V138" s="822" t="e">
        <f>Q138-#REF!</f>
        <v>#REF!</v>
      </c>
    </row>
    <row r="139" spans="1:22" ht="15.6" customHeight="1">
      <c r="A139" s="133">
        <v>10</v>
      </c>
      <c r="B139" s="135" t="s">
        <v>317</v>
      </c>
      <c r="C139" s="133" t="s">
        <v>118</v>
      </c>
      <c r="D139" s="133">
        <v>24</v>
      </c>
      <c r="E139" s="200">
        <f>'Gia-DC'!E82</f>
        <v>30000</v>
      </c>
      <c r="F139" s="200">
        <f t="shared" si="29"/>
        <v>48.07692307692308</v>
      </c>
      <c r="G139" s="144">
        <v>0.81</v>
      </c>
      <c r="H139" s="143">
        <f t="shared" si="24"/>
        <v>38.942307692307701</v>
      </c>
      <c r="I139" s="144">
        <v>0.56999999999999995</v>
      </c>
      <c r="J139" s="145">
        <f t="shared" si="25"/>
        <v>27.403846153846153</v>
      </c>
      <c r="K139" s="144">
        <v>0.39</v>
      </c>
      <c r="L139" s="145">
        <f t="shared" si="26"/>
        <v>18.750000000000004</v>
      </c>
      <c r="M139" s="144">
        <v>0.41</v>
      </c>
      <c r="N139" s="143">
        <f t="shared" si="27"/>
        <v>19.711538461538463</v>
      </c>
      <c r="O139" s="144">
        <v>0.52</v>
      </c>
      <c r="P139" s="143">
        <f t="shared" si="28"/>
        <v>25.000000000000004</v>
      </c>
      <c r="Q139" s="144">
        <v>1.04</v>
      </c>
      <c r="R139" s="143">
        <f t="shared" si="30"/>
        <v>50.000000000000007</v>
      </c>
      <c r="T139" s="822" t="e">
        <f>M139-#REF!</f>
        <v>#REF!</v>
      </c>
      <c r="U139" s="822" t="e">
        <f>O139-#REF!</f>
        <v>#REF!</v>
      </c>
      <c r="V139" s="822" t="e">
        <f>Q139-#REF!</f>
        <v>#REF!</v>
      </c>
    </row>
    <row r="140" spans="1:22" ht="15.6" customHeight="1">
      <c r="A140" s="133">
        <v>11</v>
      </c>
      <c r="B140" s="135" t="s">
        <v>233</v>
      </c>
      <c r="C140" s="133" t="s">
        <v>272</v>
      </c>
      <c r="D140" s="133">
        <v>48</v>
      </c>
      <c r="E140" s="200">
        <f>'Gia-DC'!E71</f>
        <v>25000</v>
      </c>
      <c r="F140" s="200">
        <f t="shared" si="29"/>
        <v>20.032051282051281</v>
      </c>
      <c r="G140" s="144">
        <v>0.81</v>
      </c>
      <c r="H140" s="143">
        <f t="shared" si="24"/>
        <v>16.22596153846154</v>
      </c>
      <c r="I140" s="144">
        <v>0.56999999999999995</v>
      </c>
      <c r="J140" s="145">
        <f t="shared" si="25"/>
        <v>11.41826923076923</v>
      </c>
      <c r="K140" s="144">
        <v>0.39</v>
      </c>
      <c r="L140" s="145">
        <f t="shared" si="26"/>
        <v>7.8125</v>
      </c>
      <c r="M140" s="144">
        <v>0.41</v>
      </c>
      <c r="N140" s="143">
        <f t="shared" si="27"/>
        <v>8.2131410256410255</v>
      </c>
      <c r="O140" s="144">
        <v>0.52</v>
      </c>
      <c r="P140" s="143">
        <f t="shared" si="28"/>
        <v>10.416666666666666</v>
      </c>
      <c r="Q140" s="144">
        <v>1.04</v>
      </c>
      <c r="R140" s="143">
        <f t="shared" si="30"/>
        <v>20.833333333333332</v>
      </c>
      <c r="T140" s="822" t="e">
        <f>M140-#REF!</f>
        <v>#REF!</v>
      </c>
      <c r="U140" s="822" t="e">
        <f>O140-#REF!</f>
        <v>#REF!</v>
      </c>
      <c r="V140" s="822" t="e">
        <f>Q140-#REF!</f>
        <v>#REF!</v>
      </c>
    </row>
    <row r="141" spans="1:22" ht="15.6" customHeight="1">
      <c r="A141" s="133">
        <v>12</v>
      </c>
      <c r="B141" s="135" t="s">
        <v>273</v>
      </c>
      <c r="C141" s="133" t="s">
        <v>272</v>
      </c>
      <c r="D141" s="133">
        <v>48</v>
      </c>
      <c r="E141" s="200">
        <f>'Gia-DC'!E52</f>
        <v>25000</v>
      </c>
      <c r="F141" s="200">
        <f t="shared" si="29"/>
        <v>20.032051282051281</v>
      </c>
      <c r="G141" s="144">
        <v>0.81</v>
      </c>
      <c r="H141" s="143">
        <f t="shared" si="24"/>
        <v>16.22596153846154</v>
      </c>
      <c r="I141" s="144">
        <v>0.56999999999999995</v>
      </c>
      <c r="J141" s="145">
        <f t="shared" si="25"/>
        <v>11.41826923076923</v>
      </c>
      <c r="K141" s="144">
        <v>0.39</v>
      </c>
      <c r="L141" s="145">
        <f t="shared" si="26"/>
        <v>7.8125</v>
      </c>
      <c r="M141" s="144">
        <v>0.41</v>
      </c>
      <c r="N141" s="143">
        <f t="shared" si="27"/>
        <v>8.2131410256410255</v>
      </c>
      <c r="O141" s="144">
        <v>0.52</v>
      </c>
      <c r="P141" s="143">
        <f t="shared" si="28"/>
        <v>10.416666666666666</v>
      </c>
      <c r="Q141" s="144">
        <v>1.04</v>
      </c>
      <c r="R141" s="143">
        <f t="shared" si="30"/>
        <v>20.833333333333332</v>
      </c>
      <c r="T141" s="822" t="e">
        <f>M141-#REF!</f>
        <v>#REF!</v>
      </c>
      <c r="U141" s="822" t="e">
        <f>O141-#REF!</f>
        <v>#REF!</v>
      </c>
      <c r="V141" s="822" t="e">
        <f>Q141-#REF!</f>
        <v>#REF!</v>
      </c>
    </row>
    <row r="142" spans="1:22" ht="15.6" customHeight="1">
      <c r="A142" s="133">
        <v>13</v>
      </c>
      <c r="B142" s="135" t="s">
        <v>274</v>
      </c>
      <c r="C142" s="133" t="s">
        <v>118</v>
      </c>
      <c r="D142" s="133">
        <v>24</v>
      </c>
      <c r="E142" s="200">
        <f>'Gia-DC'!E25</f>
        <v>270000</v>
      </c>
      <c r="F142" s="200">
        <f t="shared" si="29"/>
        <v>432.69230769230768</v>
      </c>
      <c r="G142" s="144">
        <v>0.08</v>
      </c>
      <c r="H142" s="143">
        <f t="shared" si="24"/>
        <v>34.615384615384613</v>
      </c>
      <c r="I142" s="144">
        <v>0.06</v>
      </c>
      <c r="J142" s="145">
        <f t="shared" si="25"/>
        <v>25.96153846153846</v>
      </c>
      <c r="K142" s="144">
        <v>0.04</v>
      </c>
      <c r="L142" s="145">
        <f t="shared" si="26"/>
        <v>17.307692307692307</v>
      </c>
      <c r="M142" s="144">
        <v>0.04</v>
      </c>
      <c r="N142" s="143">
        <f t="shared" si="27"/>
        <v>17.307692307692307</v>
      </c>
      <c r="O142" s="144">
        <v>0.05</v>
      </c>
      <c r="P142" s="143">
        <f t="shared" si="28"/>
        <v>21.634615384615387</v>
      </c>
      <c r="Q142" s="144">
        <v>0.1</v>
      </c>
      <c r="R142" s="143">
        <f t="shared" si="30"/>
        <v>43.269230769230774</v>
      </c>
      <c r="T142" s="822" t="e">
        <f>M142-#REF!</f>
        <v>#REF!</v>
      </c>
      <c r="U142" s="822" t="e">
        <f>O142-#REF!</f>
        <v>#REF!</v>
      </c>
      <c r="V142" s="822" t="e">
        <f>Q142-#REF!</f>
        <v>#REF!</v>
      </c>
    </row>
    <row r="143" spans="1:22" ht="15.6" customHeight="1">
      <c r="A143" s="133">
        <v>14</v>
      </c>
      <c r="B143" s="135" t="s">
        <v>130</v>
      </c>
      <c r="C143" s="133" t="s">
        <v>118</v>
      </c>
      <c r="D143" s="133">
        <v>36</v>
      </c>
      <c r="E143" s="200">
        <f>'Gia-DC'!E76</f>
        <v>50000</v>
      </c>
      <c r="F143" s="200">
        <f t="shared" si="29"/>
        <v>53.418803418803421</v>
      </c>
      <c r="G143" s="144">
        <v>0.41</v>
      </c>
      <c r="H143" s="143">
        <f t="shared" si="24"/>
        <v>21.9017094017094</v>
      </c>
      <c r="I143" s="144">
        <v>0.28999999999999998</v>
      </c>
      <c r="J143" s="145">
        <f t="shared" si="25"/>
        <v>15.491452991452991</v>
      </c>
      <c r="K143" s="144">
        <v>0.2</v>
      </c>
      <c r="L143" s="145">
        <f t="shared" si="26"/>
        <v>10.683760683760685</v>
      </c>
      <c r="M143" s="144">
        <v>0.21</v>
      </c>
      <c r="N143" s="143">
        <f t="shared" si="27"/>
        <v>11.217948717948717</v>
      </c>
      <c r="O143" s="144">
        <v>0.26</v>
      </c>
      <c r="P143" s="143">
        <f t="shared" si="28"/>
        <v>13.888888888888889</v>
      </c>
      <c r="Q143" s="144">
        <v>0.52</v>
      </c>
      <c r="R143" s="143">
        <f t="shared" si="30"/>
        <v>27.777777777777779</v>
      </c>
      <c r="T143" s="822" t="e">
        <f>M143-#REF!</f>
        <v>#REF!</v>
      </c>
      <c r="U143" s="822" t="e">
        <f>O143-#REF!</f>
        <v>#REF!</v>
      </c>
      <c r="V143" s="822" t="e">
        <f>Q143-#REF!</f>
        <v>#REF!</v>
      </c>
    </row>
    <row r="144" spans="1:22" ht="15.6" customHeight="1">
      <c r="A144" s="133">
        <v>15</v>
      </c>
      <c r="B144" s="135" t="s">
        <v>318</v>
      </c>
      <c r="C144" s="133" t="s">
        <v>118</v>
      </c>
      <c r="D144" s="133">
        <v>60</v>
      </c>
      <c r="E144" s="200">
        <f>'Gia-DC'!E83</f>
        <v>6519000</v>
      </c>
      <c r="F144" s="200">
        <f t="shared" si="29"/>
        <v>4178.8461538461543</v>
      </c>
      <c r="G144" s="144">
        <v>1.62</v>
      </c>
      <c r="H144" s="143">
        <f t="shared" si="24"/>
        <v>6769.7307692307704</v>
      </c>
      <c r="I144" s="144">
        <v>1.1399999999999999</v>
      </c>
      <c r="J144" s="145">
        <f t="shared" si="25"/>
        <v>4763.8846153846152</v>
      </c>
      <c r="K144" s="144">
        <v>0.78</v>
      </c>
      <c r="L144" s="145">
        <f t="shared" si="26"/>
        <v>3259.5000000000005</v>
      </c>
      <c r="M144" s="144">
        <v>0.82</v>
      </c>
      <c r="N144" s="143">
        <f t="shared" si="27"/>
        <v>3426.6538461538462</v>
      </c>
      <c r="O144" s="144">
        <v>1.03</v>
      </c>
      <c r="P144" s="143">
        <f t="shared" si="28"/>
        <v>4304.211538461539</v>
      </c>
      <c r="Q144" s="144">
        <v>2.06</v>
      </c>
      <c r="R144" s="143">
        <f t="shared" si="30"/>
        <v>8608.423076923078</v>
      </c>
      <c r="T144" s="822" t="e">
        <f>M144-#REF!</f>
        <v>#REF!</v>
      </c>
      <c r="U144" s="822" t="e">
        <f>O144-#REF!</f>
        <v>#REF!</v>
      </c>
      <c r="V144" s="822" t="e">
        <f>Q144-#REF!</f>
        <v>#REF!</v>
      </c>
    </row>
    <row r="145" spans="1:22" ht="15.6" customHeight="1">
      <c r="A145" s="133">
        <v>16</v>
      </c>
      <c r="B145" s="135" t="s">
        <v>247</v>
      </c>
      <c r="C145" s="133" t="s">
        <v>118</v>
      </c>
      <c r="D145" s="133">
        <v>60</v>
      </c>
      <c r="E145" s="200">
        <f>'Gia-DC'!E84</f>
        <v>2360000</v>
      </c>
      <c r="F145" s="200">
        <f t="shared" si="29"/>
        <v>1512.8205128205129</v>
      </c>
      <c r="G145" s="144">
        <v>6.5</v>
      </c>
      <c r="H145" s="143">
        <f t="shared" si="24"/>
        <v>9833.3333333333339</v>
      </c>
      <c r="I145" s="144">
        <v>4.57</v>
      </c>
      <c r="J145" s="145">
        <f t="shared" si="25"/>
        <v>6913.5897435897441</v>
      </c>
      <c r="K145" s="144">
        <v>3.14</v>
      </c>
      <c r="L145" s="145">
        <f t="shared" si="26"/>
        <v>4750.2564102564111</v>
      </c>
      <c r="M145" s="144">
        <v>3.29</v>
      </c>
      <c r="N145" s="143">
        <f t="shared" si="27"/>
        <v>4977.1794871794873</v>
      </c>
      <c r="O145" s="144">
        <v>4.13</v>
      </c>
      <c r="P145" s="143">
        <f t="shared" si="28"/>
        <v>6247.9487179487187</v>
      </c>
      <c r="Q145" s="144">
        <v>8.26</v>
      </c>
      <c r="R145" s="143">
        <f t="shared" si="30"/>
        <v>12495.897435897437</v>
      </c>
      <c r="T145" s="822" t="e">
        <f>M145-#REF!</f>
        <v>#REF!</v>
      </c>
      <c r="U145" s="822" t="e">
        <f>O145-#REF!</f>
        <v>#REF!</v>
      </c>
      <c r="V145" s="822" t="e">
        <f>Q145-#REF!</f>
        <v>#REF!</v>
      </c>
    </row>
    <row r="146" spans="1:22" ht="15.6" customHeight="1">
      <c r="A146" s="133">
        <v>17</v>
      </c>
      <c r="B146" s="135" t="s">
        <v>248</v>
      </c>
      <c r="C146" s="133" t="s">
        <v>118</v>
      </c>
      <c r="D146" s="133">
        <v>4</v>
      </c>
      <c r="E146" s="200">
        <f>'Gia-DC'!E85</f>
        <v>100000</v>
      </c>
      <c r="F146" s="200">
        <f t="shared" si="29"/>
        <v>961.53846153846155</v>
      </c>
      <c r="G146" s="144">
        <v>4.87</v>
      </c>
      <c r="H146" s="143">
        <f t="shared" si="24"/>
        <v>4682.6923076923076</v>
      </c>
      <c r="I146" s="144">
        <v>3.43</v>
      </c>
      <c r="J146" s="145">
        <f t="shared" si="25"/>
        <v>3298.0769230769233</v>
      </c>
      <c r="K146" s="144">
        <v>2.35</v>
      </c>
      <c r="L146" s="145">
        <f t="shared" si="26"/>
        <v>2259.6153846153848</v>
      </c>
      <c r="M146" s="144">
        <v>2.4700000000000002</v>
      </c>
      <c r="N146" s="143">
        <f t="shared" si="27"/>
        <v>2375</v>
      </c>
      <c r="O146" s="144">
        <v>3.1</v>
      </c>
      <c r="P146" s="143">
        <f t="shared" si="28"/>
        <v>2980.7692307692309</v>
      </c>
      <c r="Q146" s="144">
        <v>6.2</v>
      </c>
      <c r="R146" s="143">
        <f t="shared" si="30"/>
        <v>5961.5384615384619</v>
      </c>
      <c r="T146" s="822" t="e">
        <f>M146-#REF!</f>
        <v>#REF!</v>
      </c>
      <c r="U146" s="822" t="e">
        <f>O146-#REF!</f>
        <v>#REF!</v>
      </c>
      <c r="V146" s="822" t="e">
        <f>Q146-#REF!</f>
        <v>#REF!</v>
      </c>
    </row>
    <row r="147" spans="1:22" ht="15.6" customHeight="1">
      <c r="A147" s="133">
        <v>18</v>
      </c>
      <c r="B147" s="135" t="s">
        <v>314</v>
      </c>
      <c r="C147" s="133" t="s">
        <v>118</v>
      </c>
      <c r="D147" s="133">
        <v>24</v>
      </c>
      <c r="E147" s="200">
        <f>'Gia-DC'!E87</f>
        <v>150000</v>
      </c>
      <c r="F147" s="200">
        <f t="shared" si="29"/>
        <v>240.38461538461539</v>
      </c>
      <c r="G147" s="144">
        <v>0.01</v>
      </c>
      <c r="H147" s="143">
        <f t="shared" si="24"/>
        <v>2.4038461538461537</v>
      </c>
      <c r="I147" s="144">
        <v>0.01</v>
      </c>
      <c r="J147" s="145">
        <f t="shared" si="25"/>
        <v>2.4038461538461537</v>
      </c>
      <c r="K147" s="144">
        <v>0.01</v>
      </c>
      <c r="L147" s="145">
        <f t="shared" si="26"/>
        <v>2.4038461538461537</v>
      </c>
      <c r="M147" s="144">
        <v>0.01</v>
      </c>
      <c r="N147" s="143">
        <f t="shared" si="27"/>
        <v>2.4038461538461537</v>
      </c>
      <c r="O147" s="144">
        <v>0.01</v>
      </c>
      <c r="P147" s="143">
        <f t="shared" si="28"/>
        <v>2.4038461538461537</v>
      </c>
      <c r="Q147" s="144">
        <v>0.02</v>
      </c>
      <c r="R147" s="143">
        <f>Q147*F147</f>
        <v>4.8076923076923075</v>
      </c>
      <c r="T147" s="822" t="e">
        <f>M147-#REF!</f>
        <v>#REF!</v>
      </c>
      <c r="U147" s="822" t="e">
        <f>O147-#REF!</f>
        <v>#REF!</v>
      </c>
      <c r="V147" s="822" t="e">
        <f>Q147-#REF!</f>
        <v>#REF!</v>
      </c>
    </row>
    <row r="148" spans="1:22" ht="15.6" customHeight="1">
      <c r="A148" s="133">
        <v>19</v>
      </c>
      <c r="B148" s="135" t="s">
        <v>319</v>
      </c>
      <c r="C148" s="133" t="s">
        <v>118</v>
      </c>
      <c r="D148" s="133">
        <v>72</v>
      </c>
      <c r="E148" s="200">
        <f>'Gia-DC'!E86</f>
        <v>900000</v>
      </c>
      <c r="F148" s="200">
        <f>E148/(D148*26)</f>
        <v>480.76923076923077</v>
      </c>
      <c r="G148" s="257">
        <v>8.0000000000000002E-3</v>
      </c>
      <c r="H148" s="143">
        <f t="shared" si="24"/>
        <v>3.8461538461538463</v>
      </c>
      <c r="I148" s="257">
        <v>6.0000000000000001E-3</v>
      </c>
      <c r="J148" s="145">
        <f t="shared" si="25"/>
        <v>2.8846153846153846</v>
      </c>
      <c r="K148" s="257">
        <v>4.0000000000000001E-3</v>
      </c>
      <c r="L148" s="145">
        <f t="shared" si="26"/>
        <v>1.9230769230769231</v>
      </c>
      <c r="M148" s="257">
        <v>4.0000000000000001E-3</v>
      </c>
      <c r="N148" s="143">
        <f t="shared" si="27"/>
        <v>1.9230769230769231</v>
      </c>
      <c r="O148" s="257">
        <v>5.0000000000000001E-3</v>
      </c>
      <c r="P148" s="143">
        <f t="shared" si="28"/>
        <v>2.4038461538461537</v>
      </c>
      <c r="Q148" s="257">
        <v>0.01</v>
      </c>
      <c r="R148" s="143">
        <f>Q148*F148</f>
        <v>4.8076923076923075</v>
      </c>
      <c r="T148" s="822" t="e">
        <f>M148-#REF!</f>
        <v>#REF!</v>
      </c>
      <c r="U148" s="822" t="e">
        <f>O148-#REF!</f>
        <v>#REF!</v>
      </c>
      <c r="V148" s="822" t="e">
        <f>Q148-#REF!</f>
        <v>#REF!</v>
      </c>
    </row>
    <row r="149" spans="1:22" ht="17.25" customHeight="1">
      <c r="A149" s="133">
        <v>20</v>
      </c>
      <c r="B149" s="137" t="s">
        <v>320</v>
      </c>
      <c r="C149" s="146" t="s">
        <v>124</v>
      </c>
      <c r="D149" s="146">
        <v>30</v>
      </c>
      <c r="E149" s="213">
        <f>'Gia-DC'!E45</f>
        <v>65000</v>
      </c>
      <c r="F149" s="213">
        <f>E149/(D149*26)</f>
        <v>83.333333333333329</v>
      </c>
      <c r="G149" s="163">
        <v>1.62</v>
      </c>
      <c r="H149" s="147">
        <f t="shared" si="24"/>
        <v>135</v>
      </c>
      <c r="I149" s="163">
        <v>1.1399999999999999</v>
      </c>
      <c r="J149" s="148">
        <f t="shared" si="25"/>
        <v>94.999999999999986</v>
      </c>
      <c r="K149" s="163">
        <v>0.78</v>
      </c>
      <c r="L149" s="148">
        <f t="shared" si="26"/>
        <v>65</v>
      </c>
      <c r="M149" s="163">
        <v>0.82</v>
      </c>
      <c r="N149" s="147">
        <f t="shared" si="27"/>
        <v>68.333333333333329</v>
      </c>
      <c r="O149" s="163">
        <v>1.03</v>
      </c>
      <c r="P149" s="147">
        <f t="shared" si="28"/>
        <v>85.833333333333329</v>
      </c>
      <c r="Q149" s="163">
        <v>2.06</v>
      </c>
      <c r="R149" s="143">
        <f>Q149*F149</f>
        <v>171.66666666666666</v>
      </c>
      <c r="T149" s="822" t="e">
        <f>M149-#REF!</f>
        <v>#REF!</v>
      </c>
      <c r="U149" s="822" t="e">
        <f>O149-#REF!</f>
        <v>#REF!</v>
      </c>
      <c r="V149" s="822" t="e">
        <f>Q149-#REF!</f>
        <v>#REF!</v>
      </c>
    </row>
    <row r="150" spans="1:22">
      <c r="A150" s="133">
        <v>21</v>
      </c>
      <c r="B150" s="139" t="s">
        <v>186</v>
      </c>
      <c r="C150" s="140" t="s">
        <v>39</v>
      </c>
      <c r="D150" s="140"/>
      <c r="E150" s="258">
        <f>'Gia-DC'!E89</f>
        <v>1554</v>
      </c>
      <c r="F150" s="258">
        <f>E150</f>
        <v>1554</v>
      </c>
      <c r="G150" s="259">
        <v>3.6999999999999998E-2</v>
      </c>
      <c r="H150" s="149">
        <f t="shared" si="24"/>
        <v>57.497999999999998</v>
      </c>
      <c r="I150" s="151">
        <v>0.03</v>
      </c>
      <c r="J150" s="150">
        <f t="shared" si="25"/>
        <v>46.62</v>
      </c>
      <c r="K150" s="151">
        <v>0.02</v>
      </c>
      <c r="L150" s="150">
        <f t="shared" si="26"/>
        <v>31.080000000000002</v>
      </c>
      <c r="M150" s="151">
        <v>0.02</v>
      </c>
      <c r="N150" s="149">
        <f t="shared" si="27"/>
        <v>31.080000000000002</v>
      </c>
      <c r="O150" s="151">
        <v>0.02</v>
      </c>
      <c r="P150" s="149">
        <f t="shared" si="28"/>
        <v>31.080000000000002</v>
      </c>
      <c r="Q150" s="151">
        <v>0.04</v>
      </c>
      <c r="R150" s="143">
        <f>Q150*F150</f>
        <v>62.160000000000004</v>
      </c>
      <c r="T150" s="822" t="e">
        <f>M150-#REF!</f>
        <v>#REF!</v>
      </c>
      <c r="U150" s="822" t="e">
        <f>O150-#REF!</f>
        <v>#REF!</v>
      </c>
      <c r="V150" s="822" t="e">
        <f>Q150-#REF!</f>
        <v>#REF!</v>
      </c>
    </row>
    <row r="151" spans="1:22" ht="13.5" customHeight="1">
      <c r="A151" s="130"/>
      <c r="B151" s="130" t="s">
        <v>276</v>
      </c>
      <c r="C151" s="130"/>
      <c r="D151" s="130"/>
      <c r="E151" s="239"/>
      <c r="F151" s="239"/>
      <c r="G151" s="220"/>
      <c r="H151" s="248">
        <f>SUM(H130:H150)</f>
        <v>40197.111247863249</v>
      </c>
      <c r="I151" s="248"/>
      <c r="J151" s="248">
        <f>SUM(J130:J150)</f>
        <v>27140.355042735049</v>
      </c>
      <c r="K151" s="248"/>
      <c r="L151" s="248">
        <f>SUM(L130:L150)</f>
        <v>17392.802222222232</v>
      </c>
      <c r="M151" s="248"/>
      <c r="N151" s="248">
        <f>SUM(N130:N150)</f>
        <v>18445.233846153849</v>
      </c>
      <c r="O151" s="248"/>
      <c r="P151" s="248">
        <f>SUM(P130:P150)</f>
        <v>24140.013760683767</v>
      </c>
      <c r="Q151" s="248"/>
      <c r="R151" s="248">
        <f>SUM(R130:R150)</f>
        <v>48280.027521367534</v>
      </c>
    </row>
    <row r="152" spans="1:22">
      <c r="A152" s="203"/>
      <c r="B152" s="192" t="s">
        <v>275</v>
      </c>
      <c r="C152" s="192"/>
      <c r="D152" s="193"/>
      <c r="E152" s="240"/>
      <c r="F152" s="204"/>
      <c r="G152" s="203"/>
      <c r="H152" s="249">
        <f>H151*0.05</f>
        <v>2009.8555623931625</v>
      </c>
      <c r="I152" s="249"/>
      <c r="J152" s="249">
        <f>J151*0.05</f>
        <v>1357.0177521367525</v>
      </c>
      <c r="K152" s="249"/>
      <c r="L152" s="249">
        <f>L151*0.05</f>
        <v>869.64011111111165</v>
      </c>
      <c r="M152" s="249"/>
      <c r="N152" s="249">
        <f>N151*0.05</f>
        <v>922.26169230769256</v>
      </c>
      <c r="O152" s="249"/>
      <c r="P152" s="249">
        <f>P151*0.05</f>
        <v>1207.0006880341884</v>
      </c>
      <c r="Q152" s="249"/>
      <c r="R152" s="249">
        <f>R151*0.05</f>
        <v>2414.0013760683769</v>
      </c>
    </row>
    <row r="153" spans="1:22">
      <c r="A153" s="197"/>
      <c r="B153" s="130" t="s">
        <v>132</v>
      </c>
      <c r="C153" s="130"/>
      <c r="D153" s="220"/>
      <c r="E153" s="217"/>
      <c r="F153" s="217"/>
      <c r="G153" s="220"/>
      <c r="H153" s="248">
        <f>H151+H152</f>
        <v>42206.96681025641</v>
      </c>
      <c r="I153" s="248"/>
      <c r="J153" s="248">
        <f>J151+J152</f>
        <v>28497.372794871801</v>
      </c>
      <c r="K153" s="248"/>
      <c r="L153" s="248">
        <f>L151+L152</f>
        <v>18262.442333333343</v>
      </c>
      <c r="M153" s="248"/>
      <c r="N153" s="248">
        <f>N151+N152</f>
        <v>19367.495538461542</v>
      </c>
      <c r="O153" s="248"/>
      <c r="P153" s="248">
        <f>P151+P152</f>
        <v>25347.014448717957</v>
      </c>
      <c r="Q153" s="248"/>
      <c r="R153" s="248">
        <f>R151+R152</f>
        <v>50694.028897435914</v>
      </c>
    </row>
    <row r="154" spans="1:22">
      <c r="A154" s="197"/>
      <c r="B154" s="130" t="s">
        <v>277</v>
      </c>
      <c r="C154" s="130"/>
      <c r="D154" s="220"/>
      <c r="E154" s="217"/>
      <c r="F154" s="217"/>
      <c r="G154" s="220"/>
      <c r="H154" s="248">
        <f>H153/100</f>
        <v>422.06966810256409</v>
      </c>
      <c r="I154" s="248"/>
      <c r="J154" s="248">
        <f>J153/100</f>
        <v>284.97372794871802</v>
      </c>
      <c r="K154" s="248"/>
      <c r="L154" s="248">
        <f>L153/100</f>
        <v>182.62442333333343</v>
      </c>
      <c r="M154" s="248"/>
      <c r="N154" s="248">
        <f>N153/100</f>
        <v>193.67495538461543</v>
      </c>
      <c r="O154" s="248"/>
      <c r="P154" s="248">
        <f>P153/100</f>
        <v>253.47014448717957</v>
      </c>
      <c r="Q154" s="248"/>
      <c r="R154" s="248">
        <f>R153/100</f>
        <v>506.94028897435913</v>
      </c>
    </row>
    <row r="155" spans="1:22" ht="3.75" customHeight="1">
      <c r="A155" s="229"/>
      <c r="B155" s="230"/>
      <c r="C155" s="231"/>
      <c r="D155" s="230"/>
      <c r="E155" s="242"/>
      <c r="F155" s="242"/>
      <c r="G155" s="230"/>
      <c r="H155" s="250"/>
      <c r="I155" s="251"/>
      <c r="J155" s="252"/>
      <c r="K155" s="251"/>
      <c r="L155" s="252"/>
      <c r="M155" s="251"/>
      <c r="N155" s="250"/>
      <c r="O155" s="251"/>
      <c r="P155" s="253"/>
      <c r="Q155" s="251"/>
      <c r="R155" s="253"/>
    </row>
    <row r="156" spans="1:22">
      <c r="A156" s="195"/>
      <c r="B156" s="232" t="s">
        <v>263</v>
      </c>
      <c r="C156" s="233" t="s">
        <v>278</v>
      </c>
      <c r="D156" s="232"/>
      <c r="E156" s="243"/>
      <c r="F156" s="243"/>
      <c r="G156" s="232">
        <v>0.6</v>
      </c>
      <c r="H156" s="254">
        <f>G156*$H$154</f>
        <v>253.24180086153845</v>
      </c>
      <c r="I156" s="737">
        <v>0.6</v>
      </c>
      <c r="J156" s="254">
        <f>I156*$J$154</f>
        <v>170.98423676923082</v>
      </c>
      <c r="K156" s="739">
        <v>0.6</v>
      </c>
      <c r="L156" s="254">
        <f>K156*$L$154</f>
        <v>109.57465400000005</v>
      </c>
      <c r="M156" s="739">
        <v>0.6</v>
      </c>
      <c r="N156" s="254">
        <f>M156*$N$154</f>
        <v>116.20497323076926</v>
      </c>
      <c r="O156" s="737">
        <v>0.6</v>
      </c>
      <c r="P156" s="254">
        <f>O156*$P$154</f>
        <v>152.08208669230774</v>
      </c>
      <c r="Q156" s="737">
        <v>0.6</v>
      </c>
      <c r="R156" s="254">
        <f>Q156*$R$154</f>
        <v>304.16417338461548</v>
      </c>
    </row>
    <row r="157" spans="1:22">
      <c r="A157" s="135"/>
      <c r="B157" s="132" t="s">
        <v>264</v>
      </c>
      <c r="C157" s="165" t="s">
        <v>278</v>
      </c>
      <c r="D157" s="132"/>
      <c r="E157" s="39"/>
      <c r="F157" s="39"/>
      <c r="G157" s="132">
        <v>0.75</v>
      </c>
      <c r="H157" s="254">
        <f>G157*$H$154</f>
        <v>316.55225107692308</v>
      </c>
      <c r="I157" s="738">
        <v>0.75</v>
      </c>
      <c r="J157" s="254">
        <f>I157*$J$154</f>
        <v>213.7302959615385</v>
      </c>
      <c r="K157" s="740">
        <v>0.75</v>
      </c>
      <c r="L157" s="254">
        <f>K157*$L$154</f>
        <v>136.96831750000007</v>
      </c>
      <c r="M157" s="740">
        <v>0.75</v>
      </c>
      <c r="N157" s="254">
        <f>M157*$N$154</f>
        <v>145.25621653846156</v>
      </c>
      <c r="O157" s="738">
        <v>0.75</v>
      </c>
      <c r="P157" s="254">
        <f>O157*$P$154</f>
        <v>190.10260836538467</v>
      </c>
      <c r="Q157" s="738">
        <v>0.75</v>
      </c>
      <c r="R157" s="254">
        <f>Q157*$R$154</f>
        <v>380.20521673076934</v>
      </c>
    </row>
    <row r="158" spans="1:22" ht="14.25" customHeight="1">
      <c r="A158" s="135"/>
      <c r="B158" s="132" t="s">
        <v>265</v>
      </c>
      <c r="C158" s="165" t="s">
        <v>278</v>
      </c>
      <c r="D158" s="132"/>
      <c r="E158" s="39"/>
      <c r="F158" s="39"/>
      <c r="G158" s="132">
        <v>1</v>
      </c>
      <c r="H158" s="254">
        <f>G158*$H$154</f>
        <v>422.06966810256409</v>
      </c>
      <c r="I158" s="738">
        <v>1</v>
      </c>
      <c r="J158" s="254">
        <f>I158*$J$154</f>
        <v>284.97372794871802</v>
      </c>
      <c r="K158" s="740">
        <v>1</v>
      </c>
      <c r="L158" s="254">
        <f>K158*$L$154</f>
        <v>182.62442333333343</v>
      </c>
      <c r="M158" s="740">
        <v>1</v>
      </c>
      <c r="N158" s="254">
        <f>M158*$N$154</f>
        <v>193.67495538461543</v>
      </c>
      <c r="O158" s="738">
        <v>1</v>
      </c>
      <c r="P158" s="254">
        <f>O158*$P$154</f>
        <v>253.47014448717957</v>
      </c>
      <c r="Q158" s="738">
        <v>1</v>
      </c>
      <c r="R158" s="254">
        <f>Q158*$R$154</f>
        <v>506.94028897435913</v>
      </c>
    </row>
    <row r="159" spans="1:22">
      <c r="A159" s="135"/>
      <c r="B159" s="132" t="s">
        <v>266</v>
      </c>
      <c r="C159" s="165" t="s">
        <v>278</v>
      </c>
      <c r="D159" s="135"/>
      <c r="E159" s="143"/>
      <c r="F159" s="143"/>
      <c r="G159" s="132">
        <v>1.2</v>
      </c>
      <c r="H159" s="254">
        <f>G159*$H$154</f>
        <v>506.4836017230769</v>
      </c>
      <c r="I159" s="738">
        <v>1.35</v>
      </c>
      <c r="J159" s="254">
        <f>I159*$J$154</f>
        <v>384.71453273076935</v>
      </c>
      <c r="K159" s="740">
        <v>1.35</v>
      </c>
      <c r="L159" s="254">
        <f>K159*$L$154</f>
        <v>246.54297150000014</v>
      </c>
      <c r="M159" s="740">
        <v>1.35</v>
      </c>
      <c r="N159" s="254">
        <f>M159*$N$154</f>
        <v>261.46118976923083</v>
      </c>
      <c r="O159" s="738">
        <v>1.1000000000000001</v>
      </c>
      <c r="P159" s="254">
        <f>O159*$P$154</f>
        <v>278.81715893589757</v>
      </c>
      <c r="Q159" s="738">
        <v>1.1000000000000001</v>
      </c>
      <c r="R159" s="254">
        <f>Q159*$R$154</f>
        <v>557.63431787179513</v>
      </c>
    </row>
    <row r="160" spans="1:22">
      <c r="A160" s="135"/>
      <c r="B160" s="132" t="s">
        <v>267</v>
      </c>
      <c r="C160" s="165" t="s">
        <v>278</v>
      </c>
      <c r="D160" s="132"/>
      <c r="E160" s="39"/>
      <c r="F160" s="39"/>
      <c r="G160" s="132"/>
      <c r="H160" s="255"/>
      <c r="I160" s="738">
        <v>1.75</v>
      </c>
      <c r="J160" s="254">
        <f>I160*$J$154</f>
        <v>498.70402391025652</v>
      </c>
      <c r="K160" s="740">
        <v>1.75</v>
      </c>
      <c r="L160" s="254">
        <f>K160*$L$154</f>
        <v>319.59274083333349</v>
      </c>
      <c r="M160" s="740">
        <v>1.75</v>
      </c>
      <c r="N160" s="254">
        <f>M160*$N$154</f>
        <v>338.93117192307699</v>
      </c>
      <c r="O160" s="175"/>
      <c r="P160" s="173"/>
      <c r="Q160" s="175"/>
      <c r="R160" s="173"/>
    </row>
    <row r="161" spans="1:22" ht="13.15" customHeight="1">
      <c r="A161" s="139"/>
      <c r="B161" s="234"/>
      <c r="C161" s="235"/>
      <c r="D161" s="139"/>
      <c r="E161" s="149"/>
      <c r="F161" s="149"/>
      <c r="G161" s="139"/>
      <c r="H161" s="181"/>
      <c r="I161" s="183"/>
      <c r="J161" s="256"/>
      <c r="K161" s="256"/>
      <c r="L161" s="256"/>
      <c r="M161" s="256"/>
      <c r="N161" s="256"/>
      <c r="O161" s="183"/>
      <c r="P161" s="181"/>
      <c r="Q161" s="183"/>
      <c r="R161" s="181"/>
    </row>
    <row r="162" spans="1:22" ht="18" customHeight="1">
      <c r="A162" s="274" t="s">
        <v>486</v>
      </c>
      <c r="B162" s="275"/>
    </row>
    <row r="163" spans="1:22" ht="45" customHeight="1">
      <c r="A163" s="1034" t="s">
        <v>528</v>
      </c>
      <c r="B163" s="1034"/>
      <c r="C163" s="1034"/>
      <c r="D163" s="1034"/>
      <c r="E163" s="1034"/>
      <c r="F163" s="1034"/>
      <c r="G163" s="1034"/>
      <c r="H163" s="1034"/>
      <c r="I163" s="1034"/>
      <c r="J163" s="1034"/>
      <c r="K163" s="1034"/>
      <c r="L163" s="1034"/>
      <c r="M163" s="1034"/>
      <c r="N163" s="1034"/>
      <c r="O163" s="1034"/>
      <c r="P163" s="1034"/>
      <c r="Q163" s="1034"/>
      <c r="R163" s="1034"/>
    </row>
    <row r="164" spans="1:22">
      <c r="A164" s="456" t="s">
        <v>529</v>
      </c>
    </row>
    <row r="165" spans="1:22" ht="10.15" customHeight="1">
      <c r="A165" s="456"/>
    </row>
    <row r="166" spans="1:22" ht="19.149999999999999" customHeight="1">
      <c r="A166" s="227" t="s">
        <v>484</v>
      </c>
      <c r="B166" s="159"/>
      <c r="C166" s="157"/>
      <c r="D166" s="159"/>
      <c r="E166" s="158"/>
      <c r="F166" s="158"/>
      <c r="G166" s="159"/>
      <c r="H166" s="158"/>
      <c r="I166" s="159"/>
      <c r="J166" s="160"/>
      <c r="K166" s="159"/>
      <c r="L166" s="160"/>
      <c r="M166" s="159"/>
      <c r="N166" s="159" t="s">
        <v>269</v>
      </c>
      <c r="O166" s="159"/>
      <c r="Q166" s="159"/>
    </row>
    <row r="167" spans="1:22">
      <c r="A167" s="227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7"/>
      <c r="Q167" s="17"/>
    </row>
    <row r="168" spans="1:22" ht="26.25" customHeight="1">
      <c r="A168" s="1032" t="s">
        <v>0</v>
      </c>
      <c r="B168" s="1018" t="s">
        <v>307</v>
      </c>
      <c r="C168" s="1032" t="s">
        <v>116</v>
      </c>
      <c r="D168" s="1032" t="s">
        <v>33</v>
      </c>
      <c r="E168" s="1018" t="s">
        <v>513</v>
      </c>
      <c r="F168" s="1018" t="s">
        <v>510</v>
      </c>
      <c r="G168" s="1016" t="s">
        <v>34</v>
      </c>
      <c r="H168" s="1017"/>
      <c r="I168" s="1016" t="s">
        <v>35</v>
      </c>
      <c r="J168" s="1017"/>
      <c r="K168" s="1016" t="s">
        <v>36</v>
      </c>
      <c r="L168" s="1017"/>
      <c r="M168" s="1030" t="s">
        <v>37</v>
      </c>
      <c r="N168" s="1031"/>
      <c r="O168" s="1030" t="s">
        <v>38</v>
      </c>
      <c r="P168" s="1031"/>
      <c r="Q168" s="1030" t="s">
        <v>480</v>
      </c>
      <c r="R168" s="1031"/>
    </row>
    <row r="169" spans="1:22" ht="44.25" customHeight="1">
      <c r="A169" s="1033"/>
      <c r="B169" s="1019"/>
      <c r="C169" s="1033"/>
      <c r="D169" s="1033"/>
      <c r="E169" s="1019"/>
      <c r="F169" s="1019"/>
      <c r="G169" s="247" t="s">
        <v>511</v>
      </c>
      <c r="H169" s="247" t="s">
        <v>512</v>
      </c>
      <c r="I169" s="247" t="s">
        <v>511</v>
      </c>
      <c r="J169" s="247" t="s">
        <v>512</v>
      </c>
      <c r="K169" s="247" t="s">
        <v>511</v>
      </c>
      <c r="L169" s="247" t="s">
        <v>512</v>
      </c>
      <c r="M169" s="247" t="s">
        <v>511</v>
      </c>
      <c r="N169" s="247" t="s">
        <v>512</v>
      </c>
      <c r="O169" s="247" t="s">
        <v>511</v>
      </c>
      <c r="P169" s="247" t="s">
        <v>512</v>
      </c>
      <c r="Q169" s="247" t="s">
        <v>511</v>
      </c>
      <c r="R169" s="247" t="s">
        <v>512</v>
      </c>
    </row>
    <row r="170" spans="1:22" ht="26.45" customHeight="1">
      <c r="A170" s="201">
        <v>1</v>
      </c>
      <c r="B170" s="142" t="s">
        <v>309</v>
      </c>
      <c r="C170" s="201" t="s">
        <v>118</v>
      </c>
      <c r="D170" s="201">
        <v>9</v>
      </c>
      <c r="E170" s="236">
        <f>'Gia-DC'!E33</f>
        <v>100000</v>
      </c>
      <c r="F170" s="236">
        <f>E170/(D170*26)</f>
        <v>427.35042735042737</v>
      </c>
      <c r="G170" s="237">
        <v>2.08</v>
      </c>
      <c r="H170" s="202">
        <f t="shared" ref="H170:H182" si="31">(G170*F170)</f>
        <v>888.88888888888891</v>
      </c>
      <c r="I170" s="237">
        <v>2.08</v>
      </c>
      <c r="J170" s="238">
        <f t="shared" ref="J170:J182" si="32">I170*F170</f>
        <v>888.88888888888891</v>
      </c>
      <c r="K170" s="237">
        <v>2.08</v>
      </c>
      <c r="L170" s="238">
        <f t="shared" ref="L170:L182" si="33">K170*F170</f>
        <v>888.88888888888891</v>
      </c>
      <c r="M170" s="237">
        <v>2.08</v>
      </c>
      <c r="N170" s="202">
        <f t="shared" ref="N170:N182" si="34">(M170*F170)</f>
        <v>888.88888888888891</v>
      </c>
      <c r="O170" s="237">
        <v>2.08</v>
      </c>
      <c r="P170" s="202">
        <f t="shared" ref="P170:P182" si="35">(O170*F170)</f>
        <v>888.88888888888891</v>
      </c>
      <c r="Q170" s="237">
        <v>2.08</v>
      </c>
      <c r="R170" s="202">
        <f>F170*Q170</f>
        <v>888.88888888888891</v>
      </c>
      <c r="T170" s="822" t="e">
        <f>M170-#REF!</f>
        <v>#REF!</v>
      </c>
      <c r="U170" s="822" t="e">
        <f>O170-#REF!</f>
        <v>#REF!</v>
      </c>
      <c r="V170" s="822" t="e">
        <f>Q170-#REF!</f>
        <v>#REF!</v>
      </c>
    </row>
    <row r="171" spans="1:22" ht="26.45" customHeight="1">
      <c r="A171" s="133">
        <v>2</v>
      </c>
      <c r="B171" s="135" t="s">
        <v>290</v>
      </c>
      <c r="C171" s="133" t="s">
        <v>121</v>
      </c>
      <c r="D171" s="133">
        <v>6</v>
      </c>
      <c r="E171" s="200">
        <f>'Gia-DC'!E34</f>
        <v>18000</v>
      </c>
      <c r="F171" s="200">
        <f t="shared" ref="F171:F181" si="36">E171/(D171*26)</f>
        <v>115.38461538461539</v>
      </c>
      <c r="G171" s="144">
        <v>2.08</v>
      </c>
      <c r="H171" s="143">
        <f t="shared" si="31"/>
        <v>240</v>
      </c>
      <c r="I171" s="144">
        <v>2.08</v>
      </c>
      <c r="J171" s="145">
        <f t="shared" si="32"/>
        <v>240</v>
      </c>
      <c r="K171" s="144">
        <v>2.08</v>
      </c>
      <c r="L171" s="145">
        <f t="shared" si="33"/>
        <v>240</v>
      </c>
      <c r="M171" s="144">
        <v>2.08</v>
      </c>
      <c r="N171" s="143">
        <f t="shared" si="34"/>
        <v>240</v>
      </c>
      <c r="O171" s="144">
        <v>2.08</v>
      </c>
      <c r="P171" s="143">
        <f t="shared" si="35"/>
        <v>240</v>
      </c>
      <c r="Q171" s="144">
        <v>2.08</v>
      </c>
      <c r="R171" s="143">
        <f>F171*Q171</f>
        <v>240</v>
      </c>
      <c r="T171" s="822" t="e">
        <f>M171-#REF!</f>
        <v>#REF!</v>
      </c>
      <c r="U171" s="822" t="e">
        <f>O171-#REF!</f>
        <v>#REF!</v>
      </c>
      <c r="V171" s="822" t="e">
        <f>Q171-#REF!</f>
        <v>#REF!</v>
      </c>
    </row>
    <row r="172" spans="1:22" ht="26.45" customHeight="1">
      <c r="A172" s="133">
        <v>3</v>
      </c>
      <c r="B172" s="135" t="s">
        <v>283</v>
      </c>
      <c r="C172" s="133" t="s">
        <v>118</v>
      </c>
      <c r="D172" s="133">
        <v>60</v>
      </c>
      <c r="E172" s="200">
        <f>'Gia-DC'!E35</f>
        <v>754000</v>
      </c>
      <c r="F172" s="200">
        <f t="shared" si="36"/>
        <v>483.33333333333331</v>
      </c>
      <c r="G172" s="144">
        <v>1.04</v>
      </c>
      <c r="H172" s="143">
        <f t="shared" si="31"/>
        <v>502.66666666666669</v>
      </c>
      <c r="I172" s="144">
        <v>1.04</v>
      </c>
      <c r="J172" s="145">
        <f t="shared" si="32"/>
        <v>502.66666666666669</v>
      </c>
      <c r="K172" s="144">
        <v>1.04</v>
      </c>
      <c r="L172" s="145">
        <f t="shared" si="33"/>
        <v>502.66666666666669</v>
      </c>
      <c r="M172" s="144">
        <v>1.04</v>
      </c>
      <c r="N172" s="143">
        <f t="shared" si="34"/>
        <v>502.66666666666669</v>
      </c>
      <c r="O172" s="144">
        <v>1.04</v>
      </c>
      <c r="P172" s="143">
        <f t="shared" si="35"/>
        <v>502.66666666666669</v>
      </c>
      <c r="Q172" s="144">
        <v>1.04</v>
      </c>
      <c r="R172" s="143">
        <f t="shared" ref="R172:R182" si="37">F172*Q172</f>
        <v>502.66666666666669</v>
      </c>
      <c r="T172" s="822" t="e">
        <f>M172-#REF!</f>
        <v>#REF!</v>
      </c>
      <c r="U172" s="822" t="e">
        <f>O172-#REF!</f>
        <v>#REF!</v>
      </c>
      <c r="V172" s="822" t="e">
        <f>Q172-#REF!</f>
        <v>#REF!</v>
      </c>
    </row>
    <row r="173" spans="1:22" ht="26.45" customHeight="1">
      <c r="A173" s="133">
        <v>4</v>
      </c>
      <c r="B173" s="135" t="s">
        <v>282</v>
      </c>
      <c r="C173" s="133" t="s">
        <v>118</v>
      </c>
      <c r="D173" s="133">
        <v>60</v>
      </c>
      <c r="E173" s="200">
        <f>'Gia-DC'!E36</f>
        <v>360000</v>
      </c>
      <c r="F173" s="200">
        <f t="shared" si="36"/>
        <v>230.76923076923077</v>
      </c>
      <c r="G173" s="144">
        <v>1.04</v>
      </c>
      <c r="H173" s="143">
        <f t="shared" si="31"/>
        <v>240</v>
      </c>
      <c r="I173" s="144">
        <v>1.04</v>
      </c>
      <c r="J173" s="145">
        <f t="shared" si="32"/>
        <v>240</v>
      </c>
      <c r="K173" s="144">
        <v>1.04</v>
      </c>
      <c r="L173" s="145">
        <f t="shared" si="33"/>
        <v>240</v>
      </c>
      <c r="M173" s="144">
        <v>1.04</v>
      </c>
      <c r="N173" s="143">
        <f t="shared" si="34"/>
        <v>240</v>
      </c>
      <c r="O173" s="144">
        <v>1.04</v>
      </c>
      <c r="P173" s="143">
        <f t="shared" si="35"/>
        <v>240</v>
      </c>
      <c r="Q173" s="144">
        <v>1.04</v>
      </c>
      <c r="R173" s="143">
        <f t="shared" si="37"/>
        <v>240</v>
      </c>
      <c r="T173" s="822" t="e">
        <f>M173-#REF!</f>
        <v>#REF!</v>
      </c>
      <c r="U173" s="822" t="e">
        <f>O173-#REF!</f>
        <v>#REF!</v>
      </c>
      <c r="V173" s="822" t="e">
        <f>Q173-#REF!</f>
        <v>#REF!</v>
      </c>
    </row>
    <row r="174" spans="1:22" ht="26.45" customHeight="1">
      <c r="A174" s="133">
        <v>5</v>
      </c>
      <c r="B174" s="135" t="s">
        <v>296</v>
      </c>
      <c r="C174" s="133" t="s">
        <v>118</v>
      </c>
      <c r="D174" s="133">
        <v>60</v>
      </c>
      <c r="E174" s="200">
        <f>'Gia-DC'!E47</f>
        <v>3695000</v>
      </c>
      <c r="F174" s="200">
        <f t="shared" si="36"/>
        <v>2368.5897435897436</v>
      </c>
      <c r="G174" s="144">
        <v>0.78</v>
      </c>
      <c r="H174" s="143">
        <f t="shared" si="31"/>
        <v>1847.5</v>
      </c>
      <c r="I174" s="144">
        <v>0.78</v>
      </c>
      <c r="J174" s="145">
        <f t="shared" si="32"/>
        <v>1847.5</v>
      </c>
      <c r="K174" s="144">
        <v>0.78</v>
      </c>
      <c r="L174" s="145">
        <f t="shared" si="33"/>
        <v>1847.5</v>
      </c>
      <c r="M174" s="144">
        <v>0.78</v>
      </c>
      <c r="N174" s="143">
        <f t="shared" si="34"/>
        <v>1847.5</v>
      </c>
      <c r="O174" s="144">
        <v>0.78</v>
      </c>
      <c r="P174" s="143">
        <f t="shared" si="35"/>
        <v>1847.5</v>
      </c>
      <c r="Q174" s="144">
        <v>0.78</v>
      </c>
      <c r="R174" s="143">
        <f t="shared" si="37"/>
        <v>1847.5</v>
      </c>
      <c r="T174" s="822" t="e">
        <f>M174-#REF!</f>
        <v>#REF!</v>
      </c>
      <c r="U174" s="822" t="e">
        <f>O174-#REF!</f>
        <v>#REF!</v>
      </c>
      <c r="V174" s="822" t="e">
        <f>Q174-#REF!</f>
        <v>#REF!</v>
      </c>
    </row>
    <row r="175" spans="1:22" ht="26.45" customHeight="1">
      <c r="A175" s="133">
        <v>6</v>
      </c>
      <c r="B175" s="135" t="s">
        <v>310</v>
      </c>
      <c r="C175" s="133" t="s">
        <v>118</v>
      </c>
      <c r="D175" s="133">
        <v>60</v>
      </c>
      <c r="E175" s="200">
        <f>'Gia-DC'!E37</f>
        <v>2331000</v>
      </c>
      <c r="F175" s="200">
        <f t="shared" si="36"/>
        <v>1494.2307692307693</v>
      </c>
      <c r="G175" s="144">
        <v>0.78</v>
      </c>
      <c r="H175" s="143">
        <f t="shared" si="31"/>
        <v>1165.5</v>
      </c>
      <c r="I175" s="144">
        <v>0.78</v>
      </c>
      <c r="J175" s="145">
        <f t="shared" si="32"/>
        <v>1165.5</v>
      </c>
      <c r="K175" s="144">
        <v>0.78</v>
      </c>
      <c r="L175" s="145">
        <f t="shared" si="33"/>
        <v>1165.5</v>
      </c>
      <c r="M175" s="144">
        <v>0.78</v>
      </c>
      <c r="N175" s="143">
        <f t="shared" si="34"/>
        <v>1165.5</v>
      </c>
      <c r="O175" s="144">
        <v>0.78</v>
      </c>
      <c r="P175" s="143">
        <f t="shared" si="35"/>
        <v>1165.5</v>
      </c>
      <c r="Q175" s="144">
        <v>0.78</v>
      </c>
      <c r="R175" s="143">
        <f t="shared" si="37"/>
        <v>1165.5</v>
      </c>
      <c r="T175" s="822" t="e">
        <f>M175-#REF!</f>
        <v>#REF!</v>
      </c>
      <c r="U175" s="822" t="e">
        <f>O175-#REF!</f>
        <v>#REF!</v>
      </c>
      <c r="V175" s="822" t="e">
        <f>Q175-#REF!</f>
        <v>#REF!</v>
      </c>
    </row>
    <row r="176" spans="1:22" ht="26.45" customHeight="1">
      <c r="A176" s="133">
        <v>7</v>
      </c>
      <c r="B176" s="135" t="s">
        <v>311</v>
      </c>
      <c r="C176" s="133" t="s">
        <v>124</v>
      </c>
      <c r="D176" s="133">
        <v>30</v>
      </c>
      <c r="E176" s="200">
        <f>'Gia-DC'!E45</f>
        <v>65000</v>
      </c>
      <c r="F176" s="200">
        <f t="shared" si="36"/>
        <v>83.333333333333329</v>
      </c>
      <c r="G176" s="144">
        <v>2.08</v>
      </c>
      <c r="H176" s="143">
        <f t="shared" si="31"/>
        <v>173.33333333333334</v>
      </c>
      <c r="I176" s="144">
        <v>2.08</v>
      </c>
      <c r="J176" s="145">
        <f t="shared" si="32"/>
        <v>173.33333333333334</v>
      </c>
      <c r="K176" s="144">
        <v>2.08</v>
      </c>
      <c r="L176" s="145">
        <f t="shared" si="33"/>
        <v>173.33333333333334</v>
      </c>
      <c r="M176" s="144">
        <v>2.08</v>
      </c>
      <c r="N176" s="143">
        <f t="shared" si="34"/>
        <v>173.33333333333334</v>
      </c>
      <c r="O176" s="144">
        <v>2.08</v>
      </c>
      <c r="P176" s="143">
        <f t="shared" si="35"/>
        <v>173.33333333333334</v>
      </c>
      <c r="Q176" s="144">
        <v>2.08</v>
      </c>
      <c r="R176" s="143">
        <f t="shared" si="37"/>
        <v>173.33333333333334</v>
      </c>
      <c r="T176" s="822" t="e">
        <f>M176-#REF!</f>
        <v>#REF!</v>
      </c>
      <c r="U176" s="822" t="e">
        <f>O176-#REF!</f>
        <v>#REF!</v>
      </c>
      <c r="V176" s="822" t="e">
        <f>Q176-#REF!</f>
        <v>#REF!</v>
      </c>
    </row>
    <row r="177" spans="1:22" ht="26.45" customHeight="1">
      <c r="A177" s="133">
        <v>8</v>
      </c>
      <c r="B177" s="135" t="s">
        <v>313</v>
      </c>
      <c r="C177" s="133" t="s">
        <v>124</v>
      </c>
      <c r="D177" s="133">
        <v>60</v>
      </c>
      <c r="E177" s="200">
        <f>'Gia-DC'!E83</f>
        <v>6519000</v>
      </c>
      <c r="F177" s="200">
        <f t="shared" si="36"/>
        <v>4178.8461538461543</v>
      </c>
      <c r="G177" s="144">
        <v>1.56</v>
      </c>
      <c r="H177" s="143">
        <f t="shared" si="31"/>
        <v>6519.0000000000009</v>
      </c>
      <c r="I177" s="144">
        <v>1.56</v>
      </c>
      <c r="J177" s="145">
        <f t="shared" si="32"/>
        <v>6519.0000000000009</v>
      </c>
      <c r="K177" s="144">
        <v>1.56</v>
      </c>
      <c r="L177" s="145">
        <f t="shared" si="33"/>
        <v>6519.0000000000009</v>
      </c>
      <c r="M177" s="144">
        <v>1.56</v>
      </c>
      <c r="N177" s="143">
        <f t="shared" si="34"/>
        <v>6519.0000000000009</v>
      </c>
      <c r="O177" s="144">
        <v>1.56</v>
      </c>
      <c r="P177" s="143">
        <f t="shared" si="35"/>
        <v>6519.0000000000009</v>
      </c>
      <c r="Q177" s="144">
        <v>1.56</v>
      </c>
      <c r="R177" s="143">
        <f t="shared" si="37"/>
        <v>6519.0000000000009</v>
      </c>
      <c r="T177" s="822" t="e">
        <f>M177-#REF!</f>
        <v>#REF!</v>
      </c>
      <c r="U177" s="822" t="e">
        <f>O177-#REF!</f>
        <v>#REF!</v>
      </c>
      <c r="V177" s="822" t="e">
        <f>Q177-#REF!</f>
        <v>#REF!</v>
      </c>
    </row>
    <row r="178" spans="1:22" ht="26.45" customHeight="1">
      <c r="A178" s="133">
        <v>9</v>
      </c>
      <c r="B178" s="135" t="s">
        <v>281</v>
      </c>
      <c r="C178" s="133" t="s">
        <v>118</v>
      </c>
      <c r="D178" s="133">
        <v>36</v>
      </c>
      <c r="E178" s="200">
        <f>'Gia-DC'!E77</f>
        <v>230000</v>
      </c>
      <c r="F178" s="200">
        <f t="shared" si="36"/>
        <v>245.72649572649573</v>
      </c>
      <c r="G178" s="144">
        <v>0.52</v>
      </c>
      <c r="H178" s="143">
        <f t="shared" si="31"/>
        <v>127.77777777777779</v>
      </c>
      <c r="I178" s="144">
        <v>0.52</v>
      </c>
      <c r="J178" s="145">
        <f t="shared" si="32"/>
        <v>127.77777777777779</v>
      </c>
      <c r="K178" s="144">
        <v>0.52</v>
      </c>
      <c r="L178" s="145">
        <f t="shared" si="33"/>
        <v>127.77777777777779</v>
      </c>
      <c r="M178" s="144">
        <v>0.52</v>
      </c>
      <c r="N178" s="143">
        <f t="shared" si="34"/>
        <v>127.77777777777779</v>
      </c>
      <c r="O178" s="144">
        <v>0.52</v>
      </c>
      <c r="P178" s="143">
        <f t="shared" si="35"/>
        <v>127.77777777777779</v>
      </c>
      <c r="Q178" s="144">
        <v>0.52</v>
      </c>
      <c r="R178" s="143">
        <f t="shared" si="37"/>
        <v>127.77777777777779</v>
      </c>
      <c r="T178" s="822" t="e">
        <f>M178-#REF!</f>
        <v>#REF!</v>
      </c>
      <c r="U178" s="822" t="e">
        <f>O178-#REF!</f>
        <v>#REF!</v>
      </c>
      <c r="V178" s="822" t="e">
        <f>Q178-#REF!</f>
        <v>#REF!</v>
      </c>
    </row>
    <row r="179" spans="1:22" ht="26.45" customHeight="1">
      <c r="A179" s="133">
        <v>10</v>
      </c>
      <c r="B179" s="135" t="s">
        <v>297</v>
      </c>
      <c r="C179" s="133" t="s">
        <v>118</v>
      </c>
      <c r="D179" s="133">
        <v>36</v>
      </c>
      <c r="E179" s="200">
        <f>'Gia-DC'!E50</f>
        <v>220000</v>
      </c>
      <c r="F179" s="200">
        <f t="shared" si="36"/>
        <v>235.04273504273505</v>
      </c>
      <c r="G179" s="144">
        <v>0.26</v>
      </c>
      <c r="H179" s="143">
        <f t="shared" si="31"/>
        <v>61.111111111111114</v>
      </c>
      <c r="I179" s="144">
        <v>0.26</v>
      </c>
      <c r="J179" s="145">
        <f t="shared" si="32"/>
        <v>61.111111111111114</v>
      </c>
      <c r="K179" s="144">
        <v>0.26</v>
      </c>
      <c r="L179" s="145">
        <f t="shared" si="33"/>
        <v>61.111111111111114</v>
      </c>
      <c r="M179" s="144">
        <v>0.26</v>
      </c>
      <c r="N179" s="143">
        <f t="shared" si="34"/>
        <v>61.111111111111114</v>
      </c>
      <c r="O179" s="144">
        <v>0.26</v>
      </c>
      <c r="P179" s="143">
        <f t="shared" si="35"/>
        <v>61.111111111111114</v>
      </c>
      <c r="Q179" s="144">
        <v>0.26</v>
      </c>
      <c r="R179" s="143">
        <f t="shared" si="37"/>
        <v>61.111111111111114</v>
      </c>
      <c r="T179" s="822" t="e">
        <f>M179-#REF!</f>
        <v>#REF!</v>
      </c>
      <c r="U179" s="822" t="e">
        <f>O179-#REF!</f>
        <v>#REF!</v>
      </c>
      <c r="V179" s="822" t="e">
        <f>Q179-#REF!</f>
        <v>#REF!</v>
      </c>
    </row>
    <row r="180" spans="1:22" ht="26.45" customHeight="1">
      <c r="A180" s="133">
        <v>11</v>
      </c>
      <c r="B180" s="137" t="s">
        <v>312</v>
      </c>
      <c r="C180" s="133" t="s">
        <v>118</v>
      </c>
      <c r="D180" s="133">
        <v>36</v>
      </c>
      <c r="E180" s="200">
        <f>'Gia-DC'!E44</f>
        <v>870000</v>
      </c>
      <c r="F180" s="200">
        <f t="shared" si="36"/>
        <v>929.48717948717945</v>
      </c>
      <c r="G180" s="144">
        <v>0.26</v>
      </c>
      <c r="H180" s="143">
        <f t="shared" si="31"/>
        <v>241.66666666666666</v>
      </c>
      <c r="I180" s="144">
        <v>0.26</v>
      </c>
      <c r="J180" s="145">
        <f t="shared" si="32"/>
        <v>241.66666666666666</v>
      </c>
      <c r="K180" s="144">
        <v>0.26</v>
      </c>
      <c r="L180" s="145">
        <f t="shared" si="33"/>
        <v>241.66666666666666</v>
      </c>
      <c r="M180" s="144">
        <v>0.26</v>
      </c>
      <c r="N180" s="143">
        <f t="shared" si="34"/>
        <v>241.66666666666666</v>
      </c>
      <c r="O180" s="144">
        <v>0.26</v>
      </c>
      <c r="P180" s="143">
        <f t="shared" si="35"/>
        <v>241.66666666666666</v>
      </c>
      <c r="Q180" s="144">
        <v>0.26</v>
      </c>
      <c r="R180" s="143">
        <f t="shared" si="37"/>
        <v>241.66666666666666</v>
      </c>
      <c r="T180" s="822" t="e">
        <f>M180-#REF!</f>
        <v>#REF!</v>
      </c>
      <c r="U180" s="822" t="e">
        <f>O180-#REF!</f>
        <v>#REF!</v>
      </c>
      <c r="V180" s="822" t="e">
        <f>Q180-#REF!</f>
        <v>#REF!</v>
      </c>
    </row>
    <row r="181" spans="1:22" ht="26.45" customHeight="1">
      <c r="A181" s="133">
        <v>12</v>
      </c>
      <c r="B181" s="135" t="s">
        <v>321</v>
      </c>
      <c r="C181" s="133" t="s">
        <v>124</v>
      </c>
      <c r="D181" s="133">
        <v>12</v>
      </c>
      <c r="E181" s="200">
        <f>'Gia-DC'!E51</f>
        <v>160000</v>
      </c>
      <c r="F181" s="200">
        <f t="shared" si="36"/>
        <v>512.82051282051282</v>
      </c>
      <c r="G181" s="144">
        <v>2.08</v>
      </c>
      <c r="H181" s="143">
        <f t="shared" si="31"/>
        <v>1066.6666666666667</v>
      </c>
      <c r="I181" s="144">
        <v>2.08</v>
      </c>
      <c r="J181" s="145">
        <f t="shared" si="32"/>
        <v>1066.6666666666667</v>
      </c>
      <c r="K181" s="144">
        <v>2.08</v>
      </c>
      <c r="L181" s="145">
        <f t="shared" si="33"/>
        <v>1066.6666666666667</v>
      </c>
      <c r="M181" s="144">
        <v>2.08</v>
      </c>
      <c r="N181" s="143">
        <f t="shared" si="34"/>
        <v>1066.6666666666667</v>
      </c>
      <c r="O181" s="144">
        <v>2.08</v>
      </c>
      <c r="P181" s="143">
        <f t="shared" si="35"/>
        <v>1066.6666666666667</v>
      </c>
      <c r="Q181" s="144">
        <v>2.08</v>
      </c>
      <c r="R181" s="143">
        <f t="shared" si="37"/>
        <v>1066.6666666666667</v>
      </c>
      <c r="T181" s="822" t="e">
        <f>M181-#REF!</f>
        <v>#REF!</v>
      </c>
      <c r="U181" s="822" t="e">
        <f>O181-#REF!</f>
        <v>#REF!</v>
      </c>
      <c r="V181" s="822" t="e">
        <f>Q181-#REF!</f>
        <v>#REF!</v>
      </c>
    </row>
    <row r="182" spans="1:22" ht="26.45" customHeight="1">
      <c r="A182" s="133">
        <v>13</v>
      </c>
      <c r="B182" s="135" t="s">
        <v>186</v>
      </c>
      <c r="C182" s="133" t="s">
        <v>515</v>
      </c>
      <c r="D182" s="133"/>
      <c r="E182" s="200">
        <f>'Gia-DC'!E89</f>
        <v>1554</v>
      </c>
      <c r="F182" s="200">
        <f>E182</f>
        <v>1554</v>
      </c>
      <c r="G182" s="144">
        <v>2.9</v>
      </c>
      <c r="H182" s="143">
        <f t="shared" si="31"/>
        <v>4506.5999999999995</v>
      </c>
      <c r="I182" s="144">
        <v>2.9</v>
      </c>
      <c r="J182" s="145">
        <f t="shared" si="32"/>
        <v>4506.5999999999995</v>
      </c>
      <c r="K182" s="144">
        <v>2.9</v>
      </c>
      <c r="L182" s="145">
        <f t="shared" si="33"/>
        <v>4506.5999999999995</v>
      </c>
      <c r="M182" s="144">
        <v>2.9</v>
      </c>
      <c r="N182" s="143">
        <f t="shared" si="34"/>
        <v>4506.5999999999995</v>
      </c>
      <c r="O182" s="144">
        <v>2.9</v>
      </c>
      <c r="P182" s="143">
        <f t="shared" si="35"/>
        <v>4506.5999999999995</v>
      </c>
      <c r="Q182" s="144">
        <v>2.9</v>
      </c>
      <c r="R182" s="143">
        <f t="shared" si="37"/>
        <v>4506.5999999999995</v>
      </c>
      <c r="T182" s="822" t="e">
        <f>M182-#REF!</f>
        <v>#REF!</v>
      </c>
      <c r="U182" s="822" t="e">
        <f>O182-#REF!</f>
        <v>#REF!</v>
      </c>
      <c r="V182" s="822" t="e">
        <f>Q182-#REF!</f>
        <v>#REF!</v>
      </c>
    </row>
    <row r="183" spans="1:22" ht="26.45" customHeight="1">
      <c r="A183" s="130"/>
      <c r="B183" s="130" t="s">
        <v>276</v>
      </c>
      <c r="C183" s="130"/>
      <c r="D183" s="130"/>
      <c r="E183" s="239"/>
      <c r="F183" s="239"/>
      <c r="G183" s="220"/>
      <c r="H183" s="248">
        <f>SUM(H170:H182)</f>
        <v>17580.711111111112</v>
      </c>
      <c r="I183" s="248"/>
      <c r="J183" s="248">
        <f>SUM(J170:J182)</f>
        <v>17580.711111111112</v>
      </c>
      <c r="K183" s="248"/>
      <c r="L183" s="248">
        <f>SUM(L170:L182)</f>
        <v>17580.711111111112</v>
      </c>
      <c r="M183" s="248"/>
      <c r="N183" s="248">
        <f>SUM(N170:N182)</f>
        <v>17580.711111111112</v>
      </c>
      <c r="O183" s="248"/>
      <c r="P183" s="248">
        <f>SUM(P170:P182)</f>
        <v>17580.711111111112</v>
      </c>
      <c r="Q183" s="248"/>
      <c r="R183" s="248">
        <f>SUM(R170:R182)</f>
        <v>17580.711111111112</v>
      </c>
    </row>
    <row r="184" spans="1:22" ht="26.45" customHeight="1">
      <c r="A184" s="203"/>
      <c r="B184" s="192" t="s">
        <v>275</v>
      </c>
      <c r="C184" s="192"/>
      <c r="D184" s="193"/>
      <c r="E184" s="240"/>
      <c r="F184" s="204"/>
      <c r="G184" s="203"/>
      <c r="H184" s="249">
        <f>H183*0.05</f>
        <v>879.03555555555567</v>
      </c>
      <c r="I184" s="249"/>
      <c r="J184" s="249">
        <f>J183*0.05</f>
        <v>879.03555555555567</v>
      </c>
      <c r="K184" s="249"/>
      <c r="L184" s="249">
        <f>L183*0.05</f>
        <v>879.03555555555567</v>
      </c>
      <c r="M184" s="249"/>
      <c r="N184" s="249">
        <f>N183*0.05</f>
        <v>879.03555555555567</v>
      </c>
      <c r="O184" s="249"/>
      <c r="P184" s="249">
        <f>P183*0.05</f>
        <v>879.03555555555567</v>
      </c>
      <c r="Q184" s="249"/>
      <c r="R184" s="249">
        <f>R183*0.05</f>
        <v>879.03555555555567</v>
      </c>
    </row>
    <row r="185" spans="1:22" ht="24.75" customHeight="1">
      <c r="A185" s="197"/>
      <c r="B185" s="130" t="s">
        <v>132</v>
      </c>
      <c r="C185" s="130"/>
      <c r="D185" s="220"/>
      <c r="E185" s="217"/>
      <c r="F185" s="217"/>
      <c r="G185" s="220"/>
      <c r="H185" s="248">
        <f>H183+H184</f>
        <v>18459.746666666666</v>
      </c>
      <c r="I185" s="248"/>
      <c r="J185" s="248">
        <f>J183+J184</f>
        <v>18459.746666666666</v>
      </c>
      <c r="K185" s="248"/>
      <c r="L185" s="248">
        <f>L183+L184</f>
        <v>18459.746666666666</v>
      </c>
      <c r="M185" s="248"/>
      <c r="N185" s="248">
        <f>N183+N184</f>
        <v>18459.746666666666</v>
      </c>
      <c r="O185" s="248"/>
      <c r="P185" s="248">
        <f>P183+P184</f>
        <v>18459.746666666666</v>
      </c>
      <c r="Q185" s="248"/>
      <c r="R185" s="248">
        <f>R183+R184</f>
        <v>18459.746666666666</v>
      </c>
    </row>
    <row r="186" spans="1:22" ht="31.5" customHeight="1">
      <c r="A186" s="260"/>
      <c r="B186" s="247" t="s">
        <v>481</v>
      </c>
      <c r="C186" s="167"/>
      <c r="D186" s="261"/>
      <c r="E186" s="262"/>
      <c r="F186" s="262"/>
      <c r="G186" s="261"/>
      <c r="H186" s="263">
        <f>H185/100</f>
        <v>184.59746666666666</v>
      </c>
      <c r="I186" s="263"/>
      <c r="J186" s="263">
        <f>J185/100</f>
        <v>184.59746666666666</v>
      </c>
      <c r="K186" s="263"/>
      <c r="L186" s="263">
        <f>L185/100</f>
        <v>184.59746666666666</v>
      </c>
      <c r="M186" s="263"/>
      <c r="N186" s="263">
        <f>N185/100</f>
        <v>184.59746666666666</v>
      </c>
      <c r="O186" s="263"/>
      <c r="P186" s="263">
        <f>P185/100</f>
        <v>184.59746666666666</v>
      </c>
      <c r="Q186" s="263"/>
      <c r="R186" s="263">
        <f>R185/100</f>
        <v>184.59746666666666</v>
      </c>
    </row>
    <row r="187" spans="1:22" ht="57" customHeight="1"/>
    <row r="188" spans="1:22" ht="32.25" customHeight="1">
      <c r="A188" s="227" t="s">
        <v>485</v>
      </c>
      <c r="B188" s="159"/>
      <c r="C188" s="157"/>
      <c r="D188" s="159"/>
      <c r="E188" s="158"/>
      <c r="F188" s="158"/>
      <c r="G188" s="159"/>
      <c r="H188" s="158"/>
      <c r="I188" s="159"/>
      <c r="J188" s="160"/>
      <c r="K188" s="159"/>
      <c r="L188" s="160"/>
      <c r="M188" s="159" t="s">
        <v>115</v>
      </c>
      <c r="N188" s="159"/>
      <c r="O188" s="159"/>
      <c r="Q188" s="159"/>
    </row>
    <row r="189" spans="1:22">
      <c r="A189" s="227"/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7"/>
      <c r="Q189" s="17"/>
    </row>
    <row r="190" spans="1:22" ht="25.5" customHeight="1">
      <c r="A190" s="1032" t="s">
        <v>0</v>
      </c>
      <c r="B190" s="1018" t="s">
        <v>307</v>
      </c>
      <c r="C190" s="1032" t="s">
        <v>116</v>
      </c>
      <c r="D190" s="1032" t="s">
        <v>33</v>
      </c>
      <c r="E190" s="1018" t="s">
        <v>513</v>
      </c>
      <c r="F190" s="1018" t="s">
        <v>510</v>
      </c>
      <c r="G190" s="1016" t="s">
        <v>34</v>
      </c>
      <c r="H190" s="1017"/>
      <c r="I190" s="1016" t="s">
        <v>35</v>
      </c>
      <c r="J190" s="1017"/>
      <c r="K190" s="1016" t="s">
        <v>36</v>
      </c>
      <c r="L190" s="1017"/>
      <c r="M190" s="1030" t="s">
        <v>37</v>
      </c>
      <c r="N190" s="1031"/>
      <c r="O190" s="1030" t="s">
        <v>38</v>
      </c>
      <c r="P190" s="1031"/>
      <c r="Q190" s="1030" t="s">
        <v>480</v>
      </c>
      <c r="R190" s="1031"/>
    </row>
    <row r="191" spans="1:22" ht="38.25" customHeight="1">
      <c r="A191" s="1033"/>
      <c r="B191" s="1019"/>
      <c r="C191" s="1033"/>
      <c r="D191" s="1033"/>
      <c r="E191" s="1019"/>
      <c r="F191" s="1019"/>
      <c r="G191" s="247" t="s">
        <v>511</v>
      </c>
      <c r="H191" s="247" t="s">
        <v>512</v>
      </c>
      <c r="I191" s="247" t="s">
        <v>511</v>
      </c>
      <c r="J191" s="247" t="s">
        <v>512</v>
      </c>
      <c r="K191" s="247" t="s">
        <v>511</v>
      </c>
      <c r="L191" s="247" t="s">
        <v>512</v>
      </c>
      <c r="M191" s="247" t="s">
        <v>511</v>
      </c>
      <c r="N191" s="247" t="s">
        <v>512</v>
      </c>
      <c r="O191" s="247" t="s">
        <v>511</v>
      </c>
      <c r="P191" s="247" t="s">
        <v>512</v>
      </c>
      <c r="Q191" s="247" t="s">
        <v>511</v>
      </c>
      <c r="R191" s="247" t="s">
        <v>512</v>
      </c>
    </row>
    <row r="192" spans="1:22" ht="20.25" customHeight="1">
      <c r="A192" s="201">
        <v>1</v>
      </c>
      <c r="B192" s="142" t="s">
        <v>309</v>
      </c>
      <c r="C192" s="201" t="s">
        <v>118</v>
      </c>
      <c r="D192" s="201">
        <v>9</v>
      </c>
      <c r="E192" s="236">
        <f>'Gia-DC'!E33</f>
        <v>100000</v>
      </c>
      <c r="F192" s="236">
        <f>E192/(D192*26)</f>
        <v>427.35042735042737</v>
      </c>
      <c r="G192" s="237">
        <v>0.89</v>
      </c>
      <c r="H192" s="202">
        <f t="shared" ref="H192:H205" si="38">(G192*F192)</f>
        <v>380.34188034188037</v>
      </c>
      <c r="I192" s="237">
        <v>1.97</v>
      </c>
      <c r="J192" s="238">
        <f t="shared" ref="J192:J205" si="39">I192*F192</f>
        <v>841.88034188034192</v>
      </c>
      <c r="K192" s="237">
        <v>2.54</v>
      </c>
      <c r="L192" s="238">
        <f t="shared" ref="L192:L205" si="40">K192*F192</f>
        <v>1085.4700854700855</v>
      </c>
      <c r="M192" s="237">
        <v>3.53</v>
      </c>
      <c r="N192" s="202">
        <f t="shared" ref="N192:N205" si="41">(M192*F192)</f>
        <v>1508.5470085470085</v>
      </c>
      <c r="O192" s="237">
        <v>4.76</v>
      </c>
      <c r="P192" s="202">
        <f t="shared" ref="P192:P205" si="42">(O192*F192)</f>
        <v>2034.1880341880342</v>
      </c>
      <c r="Q192" s="237">
        <v>9.52</v>
      </c>
      <c r="R192" s="202">
        <f>F192*Q192</f>
        <v>4068.3760683760684</v>
      </c>
      <c r="S192" s="164" t="e">
        <f>D192-#REF!</f>
        <v>#REF!</v>
      </c>
      <c r="T192" s="822" t="e">
        <f>O192-#REF!</f>
        <v>#REF!</v>
      </c>
      <c r="U192" s="822" t="e">
        <f>Q192-#REF!</f>
        <v>#REF!</v>
      </c>
    </row>
    <row r="193" spans="1:21" ht="20.25" customHeight="1">
      <c r="A193" s="133">
        <v>2</v>
      </c>
      <c r="B193" s="135" t="s">
        <v>290</v>
      </c>
      <c r="C193" s="133" t="s">
        <v>121</v>
      </c>
      <c r="D193" s="133">
        <v>6</v>
      </c>
      <c r="E193" s="200">
        <f>'Gia-DC'!E34</f>
        <v>18000</v>
      </c>
      <c r="F193" s="200">
        <f t="shared" ref="F193:F204" si="43">E193/(D193*26)</f>
        <v>115.38461538461539</v>
      </c>
      <c r="G193" s="144">
        <v>0.89</v>
      </c>
      <c r="H193" s="143">
        <f t="shared" si="38"/>
        <v>102.69230769230769</v>
      </c>
      <c r="I193" s="144">
        <v>1.97</v>
      </c>
      <c r="J193" s="145">
        <f t="shared" si="39"/>
        <v>227.30769230769232</v>
      </c>
      <c r="K193" s="144">
        <v>2.54</v>
      </c>
      <c r="L193" s="145">
        <f t="shared" si="40"/>
        <v>293.07692307692309</v>
      </c>
      <c r="M193" s="144">
        <v>3.53</v>
      </c>
      <c r="N193" s="143">
        <f t="shared" si="41"/>
        <v>407.30769230769232</v>
      </c>
      <c r="O193" s="144">
        <v>4.76</v>
      </c>
      <c r="P193" s="143">
        <f t="shared" si="42"/>
        <v>549.23076923076917</v>
      </c>
      <c r="Q193" s="144">
        <v>9.52</v>
      </c>
      <c r="R193" s="143">
        <f>F193*Q193</f>
        <v>1098.4615384615383</v>
      </c>
      <c r="S193" s="164" t="e">
        <f>D193-#REF!</f>
        <v>#REF!</v>
      </c>
      <c r="T193" s="822" t="e">
        <f>O193-#REF!</f>
        <v>#REF!</v>
      </c>
      <c r="U193" s="822" t="e">
        <f>Q193-#REF!</f>
        <v>#REF!</v>
      </c>
    </row>
    <row r="194" spans="1:21" ht="20.25" customHeight="1">
      <c r="A194" s="133">
        <v>3</v>
      </c>
      <c r="B194" s="135" t="s">
        <v>283</v>
      </c>
      <c r="C194" s="133" t="s">
        <v>118</v>
      </c>
      <c r="D194" s="133">
        <v>60</v>
      </c>
      <c r="E194" s="200">
        <f>'Gia-DC'!E35</f>
        <v>754000</v>
      </c>
      <c r="F194" s="200">
        <f t="shared" si="43"/>
        <v>483.33333333333331</v>
      </c>
      <c r="G194" s="144">
        <v>0.4</v>
      </c>
      <c r="H194" s="143">
        <f t="shared" si="38"/>
        <v>193.33333333333334</v>
      </c>
      <c r="I194" s="144">
        <v>0.73</v>
      </c>
      <c r="J194" s="145">
        <f t="shared" si="39"/>
        <v>352.83333333333331</v>
      </c>
      <c r="K194" s="144">
        <v>0.93</v>
      </c>
      <c r="L194" s="145">
        <f t="shared" si="40"/>
        <v>449.5</v>
      </c>
      <c r="M194" s="144">
        <v>1.26</v>
      </c>
      <c r="N194" s="143">
        <f t="shared" si="41"/>
        <v>609</v>
      </c>
      <c r="O194" s="144">
        <v>1.7</v>
      </c>
      <c r="P194" s="143">
        <f t="shared" si="42"/>
        <v>821.66666666666663</v>
      </c>
      <c r="Q194" s="144">
        <v>3.4</v>
      </c>
      <c r="R194" s="143">
        <f t="shared" ref="R194:R205" si="44">F194*Q194</f>
        <v>1643.3333333333333</v>
      </c>
      <c r="S194" s="164" t="e">
        <f>D194-#REF!</f>
        <v>#REF!</v>
      </c>
      <c r="T194" s="822" t="e">
        <f>O194-#REF!</f>
        <v>#REF!</v>
      </c>
      <c r="U194" s="822" t="e">
        <f>Q194-#REF!</f>
        <v>#REF!</v>
      </c>
    </row>
    <row r="195" spans="1:21" ht="20.25" customHeight="1">
      <c r="A195" s="133">
        <v>4</v>
      </c>
      <c r="B195" s="135" t="s">
        <v>282</v>
      </c>
      <c r="C195" s="133" t="s">
        <v>118</v>
      </c>
      <c r="D195" s="133">
        <v>60</v>
      </c>
      <c r="E195" s="200">
        <f>'Gia-DC'!E36</f>
        <v>360000</v>
      </c>
      <c r="F195" s="200">
        <f t="shared" si="43"/>
        <v>230.76923076923077</v>
      </c>
      <c r="G195" s="144">
        <v>0.4</v>
      </c>
      <c r="H195" s="143">
        <f t="shared" si="38"/>
        <v>92.307692307692321</v>
      </c>
      <c r="I195" s="144">
        <v>0.73</v>
      </c>
      <c r="J195" s="145">
        <f t="shared" si="39"/>
        <v>168.46153846153845</v>
      </c>
      <c r="K195" s="144">
        <v>0.93</v>
      </c>
      <c r="L195" s="145">
        <f t="shared" si="40"/>
        <v>214.61538461538464</v>
      </c>
      <c r="M195" s="144">
        <v>1.26</v>
      </c>
      <c r="N195" s="143">
        <f t="shared" si="41"/>
        <v>290.76923076923077</v>
      </c>
      <c r="O195" s="144">
        <v>1.7</v>
      </c>
      <c r="P195" s="143">
        <f t="shared" si="42"/>
        <v>392.30769230769232</v>
      </c>
      <c r="Q195" s="144">
        <v>3.4</v>
      </c>
      <c r="R195" s="143">
        <f t="shared" si="44"/>
        <v>784.61538461538464</v>
      </c>
      <c r="S195" s="164" t="e">
        <f>D195-#REF!</f>
        <v>#REF!</v>
      </c>
      <c r="T195" s="822" t="e">
        <f>O195-#REF!</f>
        <v>#REF!</v>
      </c>
      <c r="U195" s="822" t="e">
        <f>Q195-#REF!</f>
        <v>#REF!</v>
      </c>
    </row>
    <row r="196" spans="1:21" ht="20.25" customHeight="1">
      <c r="A196" s="133">
        <v>5</v>
      </c>
      <c r="B196" s="135" t="s">
        <v>295</v>
      </c>
      <c r="C196" s="133" t="s">
        <v>118</v>
      </c>
      <c r="D196" s="133">
        <v>60</v>
      </c>
      <c r="E196" s="200">
        <f>'Gia-DC'!E46</f>
        <v>1250000</v>
      </c>
      <c r="F196" s="200">
        <f t="shared" si="43"/>
        <v>801.28205128205127</v>
      </c>
      <c r="G196" s="144">
        <v>0.4</v>
      </c>
      <c r="H196" s="143">
        <f t="shared" si="38"/>
        <v>320.51282051282055</v>
      </c>
      <c r="I196" s="144">
        <v>0.73</v>
      </c>
      <c r="J196" s="145">
        <f t="shared" si="39"/>
        <v>584.93589743589746</v>
      </c>
      <c r="K196" s="144">
        <v>0.93</v>
      </c>
      <c r="L196" s="145">
        <f t="shared" si="40"/>
        <v>745.19230769230774</v>
      </c>
      <c r="M196" s="144">
        <v>1.26</v>
      </c>
      <c r="N196" s="143">
        <f t="shared" si="41"/>
        <v>1009.6153846153846</v>
      </c>
      <c r="O196" s="144">
        <v>1.7</v>
      </c>
      <c r="P196" s="143">
        <f t="shared" si="42"/>
        <v>1362.1794871794871</v>
      </c>
      <c r="Q196" s="144">
        <v>3.4</v>
      </c>
      <c r="R196" s="143">
        <f t="shared" si="44"/>
        <v>2724.3589743589741</v>
      </c>
      <c r="S196" s="164" t="e">
        <f>D196-#REF!</f>
        <v>#REF!</v>
      </c>
      <c r="T196" s="822" t="e">
        <f>O196-#REF!</f>
        <v>#REF!</v>
      </c>
      <c r="U196" s="822" t="e">
        <f>Q196-#REF!</f>
        <v>#REF!</v>
      </c>
    </row>
    <row r="197" spans="1:21" ht="20.25" customHeight="1">
      <c r="A197" s="133">
        <v>6</v>
      </c>
      <c r="B197" s="135" t="s">
        <v>296</v>
      </c>
      <c r="C197" s="133" t="s">
        <v>118</v>
      </c>
      <c r="D197" s="133">
        <v>60</v>
      </c>
      <c r="E197" s="200">
        <f>'Gia-DC'!E47</f>
        <v>3695000</v>
      </c>
      <c r="F197" s="200">
        <f t="shared" si="43"/>
        <v>2368.5897435897436</v>
      </c>
      <c r="G197" s="144">
        <v>0.1</v>
      </c>
      <c r="H197" s="143">
        <f t="shared" si="38"/>
        <v>236.85897435897436</v>
      </c>
      <c r="I197" s="144">
        <v>0.18</v>
      </c>
      <c r="J197" s="145">
        <f t="shared" si="39"/>
        <v>426.34615384615387</v>
      </c>
      <c r="K197" s="144">
        <v>0.23</v>
      </c>
      <c r="L197" s="145">
        <f t="shared" si="40"/>
        <v>544.77564102564111</v>
      </c>
      <c r="M197" s="144">
        <v>0.31</v>
      </c>
      <c r="N197" s="143">
        <f t="shared" si="41"/>
        <v>734.26282051282055</v>
      </c>
      <c r="O197" s="144">
        <v>0.43</v>
      </c>
      <c r="P197" s="143">
        <f t="shared" si="42"/>
        <v>1018.4935897435897</v>
      </c>
      <c r="Q197" s="144">
        <v>0.86</v>
      </c>
      <c r="R197" s="143">
        <f t="shared" si="44"/>
        <v>2036.9871794871794</v>
      </c>
      <c r="S197" s="164" t="e">
        <f>D197-#REF!</f>
        <v>#REF!</v>
      </c>
      <c r="T197" s="822" t="e">
        <f>O197-#REF!</f>
        <v>#REF!</v>
      </c>
      <c r="U197" s="822" t="e">
        <f>Q197-#REF!</f>
        <v>#REF!</v>
      </c>
    </row>
    <row r="198" spans="1:21" ht="20.25" customHeight="1">
      <c r="A198" s="133">
        <v>7</v>
      </c>
      <c r="B198" s="135" t="s">
        <v>310</v>
      </c>
      <c r="C198" s="133" t="s">
        <v>118</v>
      </c>
      <c r="D198" s="133">
        <v>60</v>
      </c>
      <c r="E198" s="200">
        <f>'Gia-DC'!E37</f>
        <v>2331000</v>
      </c>
      <c r="F198" s="200">
        <f t="shared" si="43"/>
        <v>1494.2307692307693</v>
      </c>
      <c r="G198" s="144">
        <v>0.1</v>
      </c>
      <c r="H198" s="143">
        <f t="shared" si="38"/>
        <v>149.42307692307693</v>
      </c>
      <c r="I198" s="144">
        <v>0.18</v>
      </c>
      <c r="J198" s="145">
        <f t="shared" si="39"/>
        <v>268.96153846153845</v>
      </c>
      <c r="K198" s="144">
        <v>0.23</v>
      </c>
      <c r="L198" s="145">
        <f t="shared" si="40"/>
        <v>343.67307692307696</v>
      </c>
      <c r="M198" s="144">
        <v>0.31</v>
      </c>
      <c r="N198" s="143">
        <f t="shared" si="41"/>
        <v>463.21153846153845</v>
      </c>
      <c r="O198" s="144">
        <v>0.43</v>
      </c>
      <c r="P198" s="143">
        <f t="shared" si="42"/>
        <v>642.51923076923083</v>
      </c>
      <c r="Q198" s="144">
        <v>0.86</v>
      </c>
      <c r="R198" s="143">
        <f t="shared" si="44"/>
        <v>1285.0384615384617</v>
      </c>
      <c r="S198" s="164" t="e">
        <f>D198-#REF!</f>
        <v>#REF!</v>
      </c>
      <c r="T198" s="822" t="e">
        <f>O198-#REF!</f>
        <v>#REF!</v>
      </c>
      <c r="U198" s="822" t="e">
        <f>Q198-#REF!</f>
        <v>#REF!</v>
      </c>
    </row>
    <row r="199" spans="1:21" ht="20.25" customHeight="1">
      <c r="A199" s="133">
        <v>8</v>
      </c>
      <c r="B199" s="135" t="s">
        <v>311</v>
      </c>
      <c r="C199" s="133" t="s">
        <v>124</v>
      </c>
      <c r="D199" s="133">
        <v>30</v>
      </c>
      <c r="E199" s="200">
        <f>'Gia-DC'!E45</f>
        <v>65000</v>
      </c>
      <c r="F199" s="200">
        <f t="shared" si="43"/>
        <v>83.333333333333329</v>
      </c>
      <c r="G199" s="144">
        <v>0.81</v>
      </c>
      <c r="H199" s="143">
        <f t="shared" si="38"/>
        <v>67.5</v>
      </c>
      <c r="I199" s="144">
        <v>1.46</v>
      </c>
      <c r="J199" s="145">
        <f t="shared" si="39"/>
        <v>121.66666666666666</v>
      </c>
      <c r="K199" s="144">
        <v>1.86</v>
      </c>
      <c r="L199" s="145">
        <f t="shared" si="40"/>
        <v>155</v>
      </c>
      <c r="M199" s="144">
        <v>2.5099999999999998</v>
      </c>
      <c r="N199" s="143">
        <f t="shared" si="41"/>
        <v>209.16666666666663</v>
      </c>
      <c r="O199" s="144">
        <v>3.4</v>
      </c>
      <c r="P199" s="143">
        <f t="shared" si="42"/>
        <v>283.33333333333331</v>
      </c>
      <c r="Q199" s="144">
        <v>6.8</v>
      </c>
      <c r="R199" s="143">
        <f t="shared" si="44"/>
        <v>566.66666666666663</v>
      </c>
      <c r="S199" s="164" t="e">
        <f>D199-#REF!</f>
        <v>#REF!</v>
      </c>
      <c r="T199" s="822" t="e">
        <f>O199-#REF!</f>
        <v>#REF!</v>
      </c>
      <c r="U199" s="822" t="e">
        <f>Q199-#REF!</f>
        <v>#REF!</v>
      </c>
    </row>
    <row r="200" spans="1:21" ht="20.25" customHeight="1">
      <c r="A200" s="133">
        <v>9</v>
      </c>
      <c r="B200" s="135" t="s">
        <v>313</v>
      </c>
      <c r="C200" s="133" t="s">
        <v>118</v>
      </c>
      <c r="D200" s="133">
        <v>60</v>
      </c>
      <c r="E200" s="200">
        <f>'Gia-DC'!E83</f>
        <v>6519000</v>
      </c>
      <c r="F200" s="200">
        <f t="shared" si="43"/>
        <v>4178.8461538461543</v>
      </c>
      <c r="G200" s="144">
        <v>0.61</v>
      </c>
      <c r="H200" s="143">
        <f t="shared" si="38"/>
        <v>2549.0961538461543</v>
      </c>
      <c r="I200" s="144">
        <v>1.1000000000000001</v>
      </c>
      <c r="J200" s="145">
        <f t="shared" si="39"/>
        <v>4596.7307692307704</v>
      </c>
      <c r="K200" s="144">
        <v>1.4</v>
      </c>
      <c r="L200" s="145">
        <f t="shared" si="40"/>
        <v>5850.3846153846152</v>
      </c>
      <c r="M200" s="144">
        <v>1.88</v>
      </c>
      <c r="N200" s="143">
        <f t="shared" si="41"/>
        <v>7856.2307692307695</v>
      </c>
      <c r="O200" s="144">
        <v>2.5499999999999998</v>
      </c>
      <c r="P200" s="143">
        <f t="shared" si="42"/>
        <v>10656.057692307693</v>
      </c>
      <c r="Q200" s="144">
        <v>5.0999999999999996</v>
      </c>
      <c r="R200" s="143">
        <f t="shared" si="44"/>
        <v>21312.115384615387</v>
      </c>
      <c r="S200" s="164" t="e">
        <f>D200-#REF!</f>
        <v>#REF!</v>
      </c>
      <c r="T200" s="822" t="e">
        <f>O200-#REF!</f>
        <v>#REF!</v>
      </c>
      <c r="U200" s="822" t="e">
        <f>Q200-#REF!</f>
        <v>#REF!</v>
      </c>
    </row>
    <row r="201" spans="1:21" ht="20.25" customHeight="1">
      <c r="A201" s="133">
        <v>10</v>
      </c>
      <c r="B201" s="135" t="s">
        <v>281</v>
      </c>
      <c r="C201" s="133" t="s">
        <v>118</v>
      </c>
      <c r="D201" s="133">
        <v>36</v>
      </c>
      <c r="E201" s="200">
        <f>'Gia-DC'!E77</f>
        <v>230000</v>
      </c>
      <c r="F201" s="200">
        <f t="shared" si="43"/>
        <v>245.72649572649573</v>
      </c>
      <c r="G201" s="144">
        <v>0.2</v>
      </c>
      <c r="H201" s="143">
        <f t="shared" si="38"/>
        <v>49.145299145299148</v>
      </c>
      <c r="I201" s="144">
        <v>0.37</v>
      </c>
      <c r="J201" s="145">
        <f t="shared" si="39"/>
        <v>90.918803418803421</v>
      </c>
      <c r="K201" s="144">
        <v>0.47</v>
      </c>
      <c r="L201" s="145">
        <f t="shared" si="40"/>
        <v>115.49145299145299</v>
      </c>
      <c r="M201" s="144">
        <v>0.63</v>
      </c>
      <c r="N201" s="143">
        <f t="shared" si="41"/>
        <v>154.80769230769232</v>
      </c>
      <c r="O201" s="144">
        <v>0.85</v>
      </c>
      <c r="P201" s="143">
        <f t="shared" si="42"/>
        <v>208.86752136752136</v>
      </c>
      <c r="Q201" s="144">
        <v>1.7</v>
      </c>
      <c r="R201" s="143">
        <f t="shared" si="44"/>
        <v>417.73504273504273</v>
      </c>
      <c r="S201" s="164" t="e">
        <f>D201-#REF!</f>
        <v>#REF!</v>
      </c>
      <c r="T201" s="822" t="e">
        <f>O201-#REF!</f>
        <v>#REF!</v>
      </c>
      <c r="U201" s="822" t="e">
        <f>Q201-#REF!</f>
        <v>#REF!</v>
      </c>
    </row>
    <row r="202" spans="1:21" ht="20.25" customHeight="1">
      <c r="A202" s="133">
        <v>11</v>
      </c>
      <c r="B202" s="135" t="s">
        <v>273</v>
      </c>
      <c r="C202" s="133" t="s">
        <v>272</v>
      </c>
      <c r="D202" s="133">
        <v>48</v>
      </c>
      <c r="E202" s="200">
        <f>'Gia-DC'!E52</f>
        <v>25000</v>
      </c>
      <c r="F202" s="200">
        <f t="shared" si="43"/>
        <v>20.032051282051281</v>
      </c>
      <c r="G202" s="144">
        <v>0.01</v>
      </c>
      <c r="H202" s="143">
        <f t="shared" si="38"/>
        <v>0.2003205128205128</v>
      </c>
      <c r="I202" s="144">
        <v>0.02</v>
      </c>
      <c r="J202" s="145">
        <f t="shared" si="39"/>
        <v>0.40064102564102561</v>
      </c>
      <c r="K202" s="144">
        <v>0.02</v>
      </c>
      <c r="L202" s="145">
        <f t="shared" si="40"/>
        <v>0.40064102564102561</v>
      </c>
      <c r="M202" s="144">
        <v>0.03</v>
      </c>
      <c r="N202" s="143">
        <f t="shared" si="41"/>
        <v>0.60096153846153844</v>
      </c>
      <c r="O202" s="144">
        <v>0.04</v>
      </c>
      <c r="P202" s="143">
        <f t="shared" si="42"/>
        <v>0.80128205128205121</v>
      </c>
      <c r="Q202" s="144">
        <v>0.08</v>
      </c>
      <c r="R202" s="143">
        <f t="shared" si="44"/>
        <v>1.6025641025641024</v>
      </c>
      <c r="S202" s="164" t="e">
        <f>D202-#REF!</f>
        <v>#REF!</v>
      </c>
      <c r="T202" s="822" t="e">
        <f>O202-#REF!</f>
        <v>#REF!</v>
      </c>
      <c r="U202" s="822" t="e">
        <f>Q202-#REF!</f>
        <v>#REF!</v>
      </c>
    </row>
    <row r="203" spans="1:21" ht="20.25" customHeight="1">
      <c r="A203" s="133">
        <v>12</v>
      </c>
      <c r="B203" s="137" t="s">
        <v>233</v>
      </c>
      <c r="C203" s="133" t="s">
        <v>272</v>
      </c>
      <c r="D203" s="133">
        <v>48</v>
      </c>
      <c r="E203" s="200">
        <f>'Gia-DC'!E71</f>
        <v>25000</v>
      </c>
      <c r="F203" s="200">
        <f t="shared" si="43"/>
        <v>20.032051282051281</v>
      </c>
      <c r="G203" s="144">
        <v>0.01</v>
      </c>
      <c r="H203" s="143">
        <f t="shared" si="38"/>
        <v>0.2003205128205128</v>
      </c>
      <c r="I203" s="144">
        <v>0.02</v>
      </c>
      <c r="J203" s="145">
        <f t="shared" si="39"/>
        <v>0.40064102564102561</v>
      </c>
      <c r="K203" s="144">
        <v>0.02</v>
      </c>
      <c r="L203" s="145">
        <f t="shared" si="40"/>
        <v>0.40064102564102561</v>
      </c>
      <c r="M203" s="144">
        <v>0.03</v>
      </c>
      <c r="N203" s="143">
        <f t="shared" si="41"/>
        <v>0.60096153846153844</v>
      </c>
      <c r="O203" s="144">
        <v>0.04</v>
      </c>
      <c r="P203" s="143">
        <f t="shared" si="42"/>
        <v>0.80128205128205121</v>
      </c>
      <c r="Q203" s="144">
        <v>0.08</v>
      </c>
      <c r="R203" s="143">
        <f t="shared" si="44"/>
        <v>1.6025641025641024</v>
      </c>
      <c r="S203" s="164" t="e">
        <f>D203-#REF!</f>
        <v>#REF!</v>
      </c>
      <c r="T203" s="822" t="e">
        <f>O203-#REF!</f>
        <v>#REF!</v>
      </c>
      <c r="U203" s="822" t="e">
        <f>Q203-#REF!</f>
        <v>#REF!</v>
      </c>
    </row>
    <row r="204" spans="1:21" ht="20.25" customHeight="1">
      <c r="A204" s="133">
        <v>13</v>
      </c>
      <c r="B204" s="135" t="s">
        <v>312</v>
      </c>
      <c r="C204" s="133" t="s">
        <v>118</v>
      </c>
      <c r="D204" s="133">
        <v>36</v>
      </c>
      <c r="E204" s="693">
        <f>'Gia-DC'!E44</f>
        <v>870000</v>
      </c>
      <c r="F204" s="200">
        <f t="shared" si="43"/>
        <v>929.48717948717945</v>
      </c>
      <c r="G204" s="144">
        <v>0.1</v>
      </c>
      <c r="H204" s="143">
        <f t="shared" si="38"/>
        <v>92.948717948717956</v>
      </c>
      <c r="I204" s="144">
        <v>0.18</v>
      </c>
      <c r="J204" s="145">
        <f t="shared" si="39"/>
        <v>167.30769230769229</v>
      </c>
      <c r="K204" s="144">
        <v>0.23</v>
      </c>
      <c r="L204" s="145">
        <f t="shared" si="40"/>
        <v>213.78205128205127</v>
      </c>
      <c r="M204" s="144">
        <v>0.31</v>
      </c>
      <c r="N204" s="143">
        <f t="shared" si="41"/>
        <v>288.14102564102564</v>
      </c>
      <c r="O204" s="144">
        <v>0.43</v>
      </c>
      <c r="P204" s="143">
        <f t="shared" si="42"/>
        <v>399.67948717948718</v>
      </c>
      <c r="Q204" s="144">
        <v>0.86</v>
      </c>
      <c r="R204" s="143">
        <f>F204*Q204</f>
        <v>799.35897435897436</v>
      </c>
      <c r="S204" s="164" t="e">
        <f>D204-#REF!</f>
        <v>#REF!</v>
      </c>
      <c r="T204" s="822" t="e">
        <f>O204-#REF!</f>
        <v>#REF!</v>
      </c>
      <c r="U204" s="822" t="e">
        <f>Q204-#REF!</f>
        <v>#REF!</v>
      </c>
    </row>
    <row r="205" spans="1:21" ht="20.25" customHeight="1">
      <c r="A205" s="133">
        <v>14</v>
      </c>
      <c r="B205" s="135" t="s">
        <v>186</v>
      </c>
      <c r="C205" s="133" t="s">
        <v>514</v>
      </c>
      <c r="D205" s="133"/>
      <c r="E205" s="200">
        <f>'Gia-DC'!E89</f>
        <v>1554</v>
      </c>
      <c r="F205" s="200">
        <f>E205</f>
        <v>1554</v>
      </c>
      <c r="G205" s="144">
        <v>0.3</v>
      </c>
      <c r="H205" s="143">
        <f t="shared" si="38"/>
        <v>466.2</v>
      </c>
      <c r="I205" s="144">
        <v>0.5</v>
      </c>
      <c r="J205" s="145">
        <f t="shared" si="39"/>
        <v>777</v>
      </c>
      <c r="K205" s="144">
        <v>0.6</v>
      </c>
      <c r="L205" s="145">
        <f t="shared" si="40"/>
        <v>932.4</v>
      </c>
      <c r="M205" s="144">
        <v>0.8</v>
      </c>
      <c r="N205" s="143">
        <f t="shared" si="41"/>
        <v>1243.2</v>
      </c>
      <c r="O205" s="144">
        <v>1.1000000000000001</v>
      </c>
      <c r="P205" s="143">
        <f t="shared" si="42"/>
        <v>1709.4</v>
      </c>
      <c r="Q205" s="144">
        <v>2.2000000000000002</v>
      </c>
      <c r="R205" s="143">
        <f t="shared" si="44"/>
        <v>3418.8</v>
      </c>
      <c r="S205" s="164" t="e">
        <f>D205-#REF!</f>
        <v>#REF!</v>
      </c>
      <c r="T205" s="822" t="e">
        <f>O205-#REF!</f>
        <v>#REF!</v>
      </c>
      <c r="U205" s="822" t="e">
        <f>Q205-#REF!</f>
        <v>#REF!</v>
      </c>
    </row>
    <row r="206" spans="1:21" ht="21" customHeight="1">
      <c r="A206" s="130"/>
      <c r="B206" s="130" t="s">
        <v>276</v>
      </c>
      <c r="C206" s="130"/>
      <c r="D206" s="130"/>
      <c r="E206" s="239"/>
      <c r="F206" s="239"/>
      <c r="G206" s="220"/>
      <c r="H206" s="248">
        <f>SUM(H192:H205)</f>
        <v>4700.7608974358973</v>
      </c>
      <c r="I206" s="248"/>
      <c r="J206" s="248">
        <f>SUM(J192:J205)</f>
        <v>8625.1517094017108</v>
      </c>
      <c r="K206" s="248"/>
      <c r="L206" s="248">
        <f>SUM(L192:L205)</f>
        <v>10944.16282051282</v>
      </c>
      <c r="M206" s="248"/>
      <c r="N206" s="248">
        <f>SUM(N192:N205)</f>
        <v>14775.461752136753</v>
      </c>
      <c r="O206" s="248"/>
      <c r="P206" s="248">
        <f>SUM(P192:P205)</f>
        <v>20079.526068376068</v>
      </c>
      <c r="Q206" s="248"/>
      <c r="R206" s="248">
        <f>SUM(R192:R205)</f>
        <v>40159.052136752136</v>
      </c>
    </row>
    <row r="207" spans="1:21" ht="21" customHeight="1">
      <c r="A207" s="203"/>
      <c r="B207" s="192" t="s">
        <v>275</v>
      </c>
      <c r="C207" s="192"/>
      <c r="D207" s="193"/>
      <c r="E207" s="240"/>
      <c r="F207" s="204"/>
      <c r="G207" s="203"/>
      <c r="H207" s="249">
        <f>H206*0.05</f>
        <v>235.03804487179488</v>
      </c>
      <c r="I207" s="249"/>
      <c r="J207" s="249">
        <f>J206*0.05</f>
        <v>431.25758547008559</v>
      </c>
      <c r="K207" s="249"/>
      <c r="L207" s="249">
        <f>L206*0.05</f>
        <v>547.208141025641</v>
      </c>
      <c r="M207" s="249"/>
      <c r="N207" s="249">
        <f>N206*0.05</f>
        <v>738.77308760683763</v>
      </c>
      <c r="O207" s="249"/>
      <c r="P207" s="249">
        <f>P206*0.05</f>
        <v>1003.9763034188035</v>
      </c>
      <c r="Q207" s="249"/>
      <c r="R207" s="249">
        <f>R206*0.05</f>
        <v>2007.9526068376069</v>
      </c>
    </row>
    <row r="208" spans="1:21" ht="21" customHeight="1">
      <c r="A208" s="197"/>
      <c r="B208" s="130" t="s">
        <v>132</v>
      </c>
      <c r="C208" s="130"/>
      <c r="D208" s="220"/>
      <c r="E208" s="217"/>
      <c r="F208" s="217"/>
      <c r="G208" s="220"/>
      <c r="H208" s="248">
        <f>H206+H207</f>
        <v>4935.7989423076924</v>
      </c>
      <c r="I208" s="248"/>
      <c r="J208" s="248">
        <f>J206+J207</f>
        <v>9056.4092948717971</v>
      </c>
      <c r="K208" s="248"/>
      <c r="L208" s="248">
        <f>L206+L207</f>
        <v>11491.370961538461</v>
      </c>
      <c r="M208" s="248"/>
      <c r="N208" s="248">
        <f>N206+N207</f>
        <v>15514.234839743591</v>
      </c>
      <c r="O208" s="248"/>
      <c r="P208" s="248">
        <f>P206+P207</f>
        <v>21083.502371794872</v>
      </c>
      <c r="Q208" s="248"/>
      <c r="R208" s="248">
        <f>R206+R207</f>
        <v>42167.004743589743</v>
      </c>
    </row>
    <row r="209" spans="1:18" ht="31.5" customHeight="1">
      <c r="A209" s="260"/>
      <c r="B209" s="247" t="s">
        <v>322</v>
      </c>
      <c r="C209" s="167"/>
      <c r="D209" s="261"/>
      <c r="E209" s="262"/>
      <c r="F209" s="262"/>
      <c r="G209" s="261"/>
      <c r="H209" s="263">
        <f>H208/1</f>
        <v>4935.7989423076924</v>
      </c>
      <c r="I209" s="263"/>
      <c r="J209" s="263">
        <f>J208/6.25</f>
        <v>1449.0254871794875</v>
      </c>
      <c r="K209" s="263"/>
      <c r="L209" s="263">
        <f>L208/25</f>
        <v>459.65483846153847</v>
      </c>
      <c r="M209" s="263"/>
      <c r="N209" s="263">
        <f>N208/100</f>
        <v>155.14234839743591</v>
      </c>
      <c r="O209" s="263"/>
      <c r="P209" s="263">
        <f>P208/900</f>
        <v>23.426113746438745</v>
      </c>
      <c r="Q209" s="263"/>
      <c r="R209" s="263">
        <f>R208/3600</f>
        <v>11.713056873219372</v>
      </c>
    </row>
    <row r="211" spans="1:18">
      <c r="A211" s="265" t="s">
        <v>100</v>
      </c>
    </row>
    <row r="213" spans="1:18">
      <c r="A213" s="1028" t="s">
        <v>544</v>
      </c>
      <c r="B213" s="1028"/>
      <c r="C213" s="1028"/>
      <c r="D213" s="1028"/>
      <c r="E213" s="1028"/>
      <c r="F213" s="1028"/>
      <c r="G213" s="1028"/>
      <c r="H213" s="1028"/>
      <c r="I213" s="1028"/>
      <c r="J213" s="1028"/>
      <c r="K213" s="1028"/>
      <c r="L213" s="1028"/>
      <c r="M213" s="1028"/>
      <c r="N213" s="1028"/>
      <c r="O213" s="1028"/>
      <c r="P213" s="1028"/>
      <c r="Q213" s="1028"/>
      <c r="R213" s="1028"/>
    </row>
    <row r="214" spans="1:18" ht="37.15" customHeight="1">
      <c r="A214" s="1028" t="s">
        <v>545</v>
      </c>
      <c r="B214" s="1028"/>
      <c r="C214" s="1028"/>
      <c r="D214" s="1028"/>
      <c r="E214" s="1028"/>
      <c r="F214" s="1028"/>
      <c r="G214" s="1028"/>
      <c r="H214" s="1028"/>
      <c r="I214" s="1028"/>
      <c r="J214" s="1028"/>
      <c r="K214" s="1028"/>
      <c r="L214" s="1028"/>
      <c r="M214" s="1028"/>
      <c r="N214" s="1028"/>
      <c r="O214" s="1028"/>
      <c r="P214" s="1028"/>
      <c r="Q214" s="1028"/>
      <c r="R214" s="1028"/>
    </row>
  </sheetData>
  <mergeCells count="90">
    <mergeCell ref="A33:A34"/>
    <mergeCell ref="A65:A66"/>
    <mergeCell ref="C33:C34"/>
    <mergeCell ref="D33:D34"/>
    <mergeCell ref="B65:B66"/>
    <mergeCell ref="C65:C66"/>
    <mergeCell ref="D65:D66"/>
    <mergeCell ref="O65:P65"/>
    <mergeCell ref="K65:L65"/>
    <mergeCell ref="I65:J65"/>
    <mergeCell ref="E81:E82"/>
    <mergeCell ref="K81:L81"/>
    <mergeCell ref="M81:N81"/>
    <mergeCell ref="O81:P81"/>
    <mergeCell ref="E65:E66"/>
    <mergeCell ref="F65:F66"/>
    <mergeCell ref="F81:F82"/>
    <mergeCell ref="M5:N5"/>
    <mergeCell ref="K5:L5"/>
    <mergeCell ref="M65:N65"/>
    <mergeCell ref="G65:H65"/>
    <mergeCell ref="G5:H5"/>
    <mergeCell ref="I5:J5"/>
    <mergeCell ref="I128:J128"/>
    <mergeCell ref="K128:L128"/>
    <mergeCell ref="G128:H128"/>
    <mergeCell ref="C5:C6"/>
    <mergeCell ref="D5:D6"/>
    <mergeCell ref="E33:E34"/>
    <mergeCell ref="F33:F34"/>
    <mergeCell ref="E5:E6"/>
    <mergeCell ref="F5:F6"/>
    <mergeCell ref="C81:C82"/>
    <mergeCell ref="A1:P1"/>
    <mergeCell ref="G33:H33"/>
    <mergeCell ref="I33:J33"/>
    <mergeCell ref="K33:L33"/>
    <mergeCell ref="M33:N33"/>
    <mergeCell ref="O33:P33"/>
    <mergeCell ref="O5:P5"/>
    <mergeCell ref="B5:B6"/>
    <mergeCell ref="A5:A6"/>
    <mergeCell ref="B33:B34"/>
    <mergeCell ref="G81:H81"/>
    <mergeCell ref="A128:A129"/>
    <mergeCell ref="B128:B129"/>
    <mergeCell ref="C128:C129"/>
    <mergeCell ref="D128:D129"/>
    <mergeCell ref="F128:F129"/>
    <mergeCell ref="A81:A82"/>
    <mergeCell ref="D81:D82"/>
    <mergeCell ref="B81:B82"/>
    <mergeCell ref="A163:R163"/>
    <mergeCell ref="F168:F169"/>
    <mergeCell ref="G168:H168"/>
    <mergeCell ref="F190:F191"/>
    <mergeCell ref="I168:J168"/>
    <mergeCell ref="K168:L168"/>
    <mergeCell ref="A190:A191"/>
    <mergeCell ref="B190:B191"/>
    <mergeCell ref="C190:C191"/>
    <mergeCell ref="D190:D191"/>
    <mergeCell ref="M190:N190"/>
    <mergeCell ref="O168:P168"/>
    <mergeCell ref="O190:P190"/>
    <mergeCell ref="M168:N168"/>
    <mergeCell ref="A168:A169"/>
    <mergeCell ref="B168:B169"/>
    <mergeCell ref="C168:C169"/>
    <mergeCell ref="D168:D169"/>
    <mergeCell ref="Q5:R5"/>
    <mergeCell ref="Q33:R33"/>
    <mergeCell ref="Q65:R65"/>
    <mergeCell ref="Q81:R81"/>
    <mergeCell ref="E190:E191"/>
    <mergeCell ref="E168:E169"/>
    <mergeCell ref="O128:P128"/>
    <mergeCell ref="G190:H190"/>
    <mergeCell ref="I190:J190"/>
    <mergeCell ref="K190:L190"/>
    <mergeCell ref="A214:R214"/>
    <mergeCell ref="A213:R213"/>
    <mergeCell ref="A121:R121"/>
    <mergeCell ref="A76:R76"/>
    <mergeCell ref="Q168:R168"/>
    <mergeCell ref="Q190:R190"/>
    <mergeCell ref="Q128:R128"/>
    <mergeCell ref="I81:J81"/>
    <mergeCell ref="E128:E129"/>
    <mergeCell ref="M128:N128"/>
  </mergeCells>
  <phoneticPr fontId="9" type="noConversion"/>
  <printOptions horizontalCentered="1"/>
  <pageMargins left="0.59055118110236204" right="0.62992125984252001" top="0.59055118110236204" bottom="0.91929133900000004" header="0.31496062992126" footer="3.9370078740157501E-2"/>
  <pageSetup paperSize="9" scale="85" firstPageNumber="61" orientation="landscape" useFirstPageNumber="1" r:id="rId1"/>
  <headerFooter alignWithMargins="0">
    <oddFooter>&amp;C&amp;P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P115"/>
  <sheetViews>
    <sheetView topLeftCell="K1" zoomScale="90" workbookViewId="0">
      <selection activeCell="Z14" sqref="Z14"/>
    </sheetView>
  </sheetViews>
  <sheetFormatPr defaultRowHeight="16.5"/>
  <cols>
    <col min="1" max="1" width="4.6640625" customWidth="1"/>
    <col min="2" max="2" width="20.5546875" customWidth="1"/>
    <col min="3" max="3" width="5.5546875" customWidth="1"/>
    <col min="4" max="4" width="9.5546875" customWidth="1"/>
    <col min="5" max="5" width="5.6640625" customWidth="1"/>
    <col min="6" max="6" width="8.109375" customWidth="1"/>
    <col min="7" max="7" width="5.77734375" customWidth="1"/>
    <col min="8" max="8" width="7.77734375" customWidth="1"/>
    <col min="9" max="9" width="5.88671875" customWidth="1"/>
    <col min="10" max="10" width="7.6640625" customWidth="1"/>
    <col min="11" max="11" width="6" customWidth="1"/>
    <col min="12" max="12" width="7.88671875" customWidth="1"/>
    <col min="13" max="13" width="6.109375" customWidth="1"/>
    <col min="14" max="14" width="7.88671875" customWidth="1"/>
    <col min="15" max="15" width="6.21875" customWidth="1"/>
    <col min="17" max="17" width="6.6640625" customWidth="1"/>
  </cols>
  <sheetData>
    <row r="1" spans="1:16" ht="21.75" customHeight="1">
      <c r="A1" s="1035" t="s">
        <v>324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</row>
    <row r="2" spans="1:16" ht="16.5" customHeight="1">
      <c r="A2" s="129" t="s">
        <v>113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6">
      <c r="A3" s="129" t="s">
        <v>114</v>
      </c>
      <c r="B3" s="17"/>
      <c r="C3" s="17"/>
      <c r="D3" s="17"/>
      <c r="E3" s="17"/>
      <c r="F3" s="17"/>
      <c r="G3" s="17"/>
      <c r="H3" s="17"/>
      <c r="I3" s="17"/>
      <c r="J3" s="17"/>
      <c r="K3" s="17" t="s">
        <v>115</v>
      </c>
      <c r="L3" s="17"/>
      <c r="N3" s="17"/>
    </row>
    <row r="4" spans="1:16" ht="6.75" customHeight="1">
      <c r="A4" s="12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6" ht="18.75" customHeight="1">
      <c r="A5" s="1032" t="s">
        <v>0</v>
      </c>
      <c r="B5" s="1018" t="s">
        <v>326</v>
      </c>
      <c r="C5" s="1032" t="s">
        <v>116</v>
      </c>
      <c r="D5" s="1018" t="s">
        <v>325</v>
      </c>
      <c r="E5" s="1016" t="s">
        <v>34</v>
      </c>
      <c r="F5" s="1017"/>
      <c r="G5" s="1016" t="s">
        <v>35</v>
      </c>
      <c r="H5" s="1017"/>
      <c r="I5" s="1016" t="s">
        <v>36</v>
      </c>
      <c r="J5" s="1017"/>
      <c r="K5" s="1030" t="s">
        <v>37</v>
      </c>
      <c r="L5" s="1031"/>
      <c r="M5" s="1030" t="s">
        <v>38</v>
      </c>
      <c r="N5" s="1031"/>
      <c r="O5" s="1030" t="s">
        <v>480</v>
      </c>
      <c r="P5" s="1031"/>
    </row>
    <row r="6" spans="1:16" ht="28.5" customHeight="1">
      <c r="A6" s="1033"/>
      <c r="B6" s="1019"/>
      <c r="C6" s="1033"/>
      <c r="D6" s="1019"/>
      <c r="E6" s="247" t="s">
        <v>327</v>
      </c>
      <c r="F6" s="247" t="s">
        <v>306</v>
      </c>
      <c r="G6" s="247" t="s">
        <v>327</v>
      </c>
      <c r="H6" s="247" t="s">
        <v>306</v>
      </c>
      <c r="I6" s="247" t="s">
        <v>327</v>
      </c>
      <c r="J6" s="247" t="s">
        <v>306</v>
      </c>
      <c r="K6" s="247" t="s">
        <v>327</v>
      </c>
      <c r="L6" s="247" t="s">
        <v>306</v>
      </c>
      <c r="M6" s="247" t="s">
        <v>327</v>
      </c>
      <c r="N6" s="247" t="s">
        <v>306</v>
      </c>
      <c r="O6" s="247" t="s">
        <v>327</v>
      </c>
      <c r="P6" s="247" t="s">
        <v>306</v>
      </c>
    </row>
    <row r="7" spans="1:16" ht="15" customHeight="1">
      <c r="A7" s="194">
        <v>1</v>
      </c>
      <c r="B7" s="195" t="s">
        <v>339</v>
      </c>
      <c r="C7" s="194" t="s">
        <v>188</v>
      </c>
      <c r="D7" s="198">
        <f>'Gia-VL'!E6</f>
        <v>25000</v>
      </c>
      <c r="E7" s="278">
        <v>1</v>
      </c>
      <c r="F7" s="199">
        <f t="shared" ref="F7:F12" si="0">D7*E7</f>
        <v>25000</v>
      </c>
      <c r="G7" s="278">
        <v>1</v>
      </c>
      <c r="H7" s="279">
        <f t="shared" ref="H7:H12" si="1">D7*G7</f>
        <v>25000</v>
      </c>
      <c r="I7" s="278">
        <v>1</v>
      </c>
      <c r="J7" s="279">
        <f t="shared" ref="J7:J12" si="2">D7*I7</f>
        <v>25000</v>
      </c>
      <c r="K7" s="278">
        <v>1</v>
      </c>
      <c r="L7" s="199">
        <f t="shared" ref="L7:L12" si="3">D7*K7</f>
        <v>25000</v>
      </c>
      <c r="M7" s="278">
        <v>1</v>
      </c>
      <c r="N7" s="199">
        <f t="shared" ref="N7:N12" si="4">M7*D7</f>
        <v>25000</v>
      </c>
      <c r="O7" s="278">
        <v>1</v>
      </c>
      <c r="P7" s="199">
        <f t="shared" ref="P7:P12" si="5">D7*O7</f>
        <v>25000</v>
      </c>
    </row>
    <row r="8" spans="1:16" ht="15" customHeight="1">
      <c r="A8" s="133">
        <v>2</v>
      </c>
      <c r="B8" s="135" t="s">
        <v>340</v>
      </c>
      <c r="C8" s="133" t="s">
        <v>118</v>
      </c>
      <c r="D8" s="200">
        <f>'Gia-VL'!E55</f>
        <v>5000</v>
      </c>
      <c r="E8" s="144">
        <v>1</v>
      </c>
      <c r="F8" s="143">
        <f t="shared" si="0"/>
        <v>5000</v>
      </c>
      <c r="G8" s="144">
        <v>1</v>
      </c>
      <c r="H8" s="145">
        <f t="shared" si="1"/>
        <v>5000</v>
      </c>
      <c r="I8" s="144">
        <v>1</v>
      </c>
      <c r="J8" s="145">
        <f t="shared" si="2"/>
        <v>5000</v>
      </c>
      <c r="K8" s="144">
        <v>1</v>
      </c>
      <c r="L8" s="143">
        <f t="shared" si="3"/>
        <v>5000</v>
      </c>
      <c r="M8" s="144">
        <v>1</v>
      </c>
      <c r="N8" s="143">
        <f t="shared" si="4"/>
        <v>5000</v>
      </c>
      <c r="O8" s="144">
        <v>1</v>
      </c>
      <c r="P8" s="143">
        <f t="shared" si="5"/>
        <v>5000</v>
      </c>
    </row>
    <row r="9" spans="1:16" ht="15" customHeight="1">
      <c r="A9" s="133">
        <v>3</v>
      </c>
      <c r="B9" s="135" t="s">
        <v>334</v>
      </c>
      <c r="C9" s="133" t="s">
        <v>49</v>
      </c>
      <c r="D9" s="200">
        <f>'Gia-VL'!E15</f>
        <v>45000</v>
      </c>
      <c r="E9" s="144">
        <v>0.1</v>
      </c>
      <c r="F9" s="143">
        <f t="shared" si="0"/>
        <v>4500</v>
      </c>
      <c r="G9" s="144">
        <v>0.1</v>
      </c>
      <c r="H9" s="145">
        <f t="shared" si="1"/>
        <v>4500</v>
      </c>
      <c r="I9" s="144">
        <v>0.1</v>
      </c>
      <c r="J9" s="145">
        <f t="shared" si="2"/>
        <v>4500</v>
      </c>
      <c r="K9" s="144">
        <v>0.1</v>
      </c>
      <c r="L9" s="143">
        <f t="shared" si="3"/>
        <v>4500</v>
      </c>
      <c r="M9" s="144">
        <v>0.1</v>
      </c>
      <c r="N9" s="143">
        <f t="shared" si="4"/>
        <v>4500</v>
      </c>
      <c r="O9" s="144">
        <v>0.1</v>
      </c>
      <c r="P9" s="143">
        <f t="shared" si="5"/>
        <v>4500</v>
      </c>
    </row>
    <row r="10" spans="1:16" ht="15" customHeight="1">
      <c r="A10" s="133">
        <v>4</v>
      </c>
      <c r="B10" s="135" t="s">
        <v>241</v>
      </c>
      <c r="C10" s="133" t="s">
        <v>530</v>
      </c>
      <c r="D10" s="200">
        <f>'Gia-VL'!E44</f>
        <v>10000</v>
      </c>
      <c r="E10" s="144">
        <v>1</v>
      </c>
      <c r="F10" s="143">
        <f t="shared" si="0"/>
        <v>10000</v>
      </c>
      <c r="G10" s="144">
        <v>1</v>
      </c>
      <c r="H10" s="145">
        <f t="shared" si="1"/>
        <v>10000</v>
      </c>
      <c r="I10" s="144">
        <v>1</v>
      </c>
      <c r="J10" s="145">
        <f t="shared" si="2"/>
        <v>10000</v>
      </c>
      <c r="K10" s="144">
        <v>1</v>
      </c>
      <c r="L10" s="143">
        <f t="shared" si="3"/>
        <v>10000</v>
      </c>
      <c r="M10" s="144">
        <v>1</v>
      </c>
      <c r="N10" s="143">
        <f t="shared" si="4"/>
        <v>10000</v>
      </c>
      <c r="O10" s="144">
        <v>1</v>
      </c>
      <c r="P10" s="143">
        <f t="shared" si="5"/>
        <v>10000</v>
      </c>
    </row>
    <row r="11" spans="1:16" ht="15" customHeight="1">
      <c r="A11" s="133">
        <v>5</v>
      </c>
      <c r="B11" s="135" t="s">
        <v>341</v>
      </c>
      <c r="C11" s="133" t="s">
        <v>118</v>
      </c>
      <c r="D11" s="200">
        <f>'Gia-VL'!E56</f>
        <v>1000</v>
      </c>
      <c r="E11" s="144">
        <v>5</v>
      </c>
      <c r="F11" s="143">
        <f t="shared" si="0"/>
        <v>5000</v>
      </c>
      <c r="G11" s="144">
        <v>5</v>
      </c>
      <c r="H11" s="145">
        <f t="shared" si="1"/>
        <v>5000</v>
      </c>
      <c r="I11" s="144">
        <v>5</v>
      </c>
      <c r="J11" s="145">
        <f t="shared" si="2"/>
        <v>5000</v>
      </c>
      <c r="K11" s="144">
        <v>5</v>
      </c>
      <c r="L11" s="143">
        <f t="shared" si="3"/>
        <v>5000</v>
      </c>
      <c r="M11" s="144">
        <v>5</v>
      </c>
      <c r="N11" s="143">
        <f t="shared" si="4"/>
        <v>5000</v>
      </c>
      <c r="O11" s="144">
        <v>5</v>
      </c>
      <c r="P11" s="143">
        <f t="shared" si="5"/>
        <v>5000</v>
      </c>
    </row>
    <row r="12" spans="1:16" ht="15" customHeight="1">
      <c r="A12" s="133">
        <v>6</v>
      </c>
      <c r="B12" s="135" t="s">
        <v>342</v>
      </c>
      <c r="C12" s="133" t="s">
        <v>118</v>
      </c>
      <c r="D12" s="200">
        <f>'Gia-VL'!E57</f>
        <v>2000</v>
      </c>
      <c r="E12" s="151">
        <v>10</v>
      </c>
      <c r="F12" s="149">
        <f t="shared" si="0"/>
        <v>20000</v>
      </c>
      <c r="G12" s="151">
        <v>10</v>
      </c>
      <c r="H12" s="150">
        <f t="shared" si="1"/>
        <v>20000</v>
      </c>
      <c r="I12" s="151">
        <v>10</v>
      </c>
      <c r="J12" s="150">
        <f t="shared" si="2"/>
        <v>20000</v>
      </c>
      <c r="K12" s="151">
        <v>10</v>
      </c>
      <c r="L12" s="149">
        <f t="shared" si="3"/>
        <v>20000</v>
      </c>
      <c r="M12" s="151">
        <v>10</v>
      </c>
      <c r="N12" s="149">
        <f t="shared" si="4"/>
        <v>20000</v>
      </c>
      <c r="O12" s="151">
        <v>10</v>
      </c>
      <c r="P12" s="143">
        <f t="shared" si="5"/>
        <v>20000</v>
      </c>
    </row>
    <row r="13" spans="1:16" ht="15" customHeight="1">
      <c r="A13" s="196"/>
      <c r="B13" s="130" t="s">
        <v>343</v>
      </c>
      <c r="C13" s="196"/>
      <c r="D13" s="215"/>
      <c r="E13" s="216"/>
      <c r="F13" s="248">
        <f>SUM(F7:F12)</f>
        <v>69500</v>
      </c>
      <c r="G13" s="273"/>
      <c r="H13" s="272">
        <f>SUM(H7:H12)</f>
        <v>69500</v>
      </c>
      <c r="I13" s="273"/>
      <c r="J13" s="272">
        <f>SUM(J7:J12)</f>
        <v>69500</v>
      </c>
      <c r="K13" s="273"/>
      <c r="L13" s="248">
        <f>SUM(L7:L12)</f>
        <v>69500</v>
      </c>
      <c r="M13" s="273"/>
      <c r="N13" s="248">
        <f>SUM(N7:N12)</f>
        <v>69500</v>
      </c>
      <c r="O13" s="273"/>
      <c r="P13" s="248">
        <f>SUM(P7:P12)</f>
        <v>69500</v>
      </c>
    </row>
    <row r="14" spans="1:16" ht="15" customHeight="1">
      <c r="A14" s="197"/>
      <c r="B14" s="130" t="s">
        <v>338</v>
      </c>
      <c r="C14" s="130"/>
      <c r="D14" s="217"/>
      <c r="E14" s="220"/>
      <c r="F14" s="248">
        <f>F13*0.08</f>
        <v>5560</v>
      </c>
      <c r="G14" s="248"/>
      <c r="H14" s="248">
        <f t="shared" ref="H14:N14" si="6">H13*0.08</f>
        <v>5560</v>
      </c>
      <c r="I14" s="248"/>
      <c r="J14" s="248">
        <f t="shared" si="6"/>
        <v>5560</v>
      </c>
      <c r="K14" s="248"/>
      <c r="L14" s="248">
        <f t="shared" si="6"/>
        <v>5560</v>
      </c>
      <c r="M14" s="248"/>
      <c r="N14" s="248">
        <f t="shared" si="6"/>
        <v>5560</v>
      </c>
      <c r="O14" s="248"/>
      <c r="P14" s="248">
        <f>P13*0.08</f>
        <v>5560</v>
      </c>
    </row>
    <row r="15" spans="1:16" ht="15" customHeight="1">
      <c r="A15" s="197"/>
      <c r="B15" s="130" t="s">
        <v>132</v>
      </c>
      <c r="C15" s="130"/>
      <c r="D15" s="217"/>
      <c r="E15" s="220"/>
      <c r="F15" s="248">
        <f>F13+F14</f>
        <v>75060</v>
      </c>
      <c r="G15" s="248"/>
      <c r="H15" s="248">
        <f>H13+H14</f>
        <v>75060</v>
      </c>
      <c r="I15" s="248"/>
      <c r="J15" s="248">
        <f>J13+J14</f>
        <v>75060</v>
      </c>
      <c r="K15" s="248"/>
      <c r="L15" s="248">
        <f>L13+L14</f>
        <v>75060</v>
      </c>
      <c r="M15" s="248"/>
      <c r="N15" s="248">
        <f>N13+N14</f>
        <v>75060</v>
      </c>
      <c r="O15" s="248"/>
      <c r="P15" s="248">
        <f>P13+P14</f>
        <v>75060</v>
      </c>
    </row>
    <row r="16" spans="1:16" ht="15" customHeight="1">
      <c r="A16" s="197"/>
      <c r="B16" s="130" t="s">
        <v>133</v>
      </c>
      <c r="C16" s="130"/>
      <c r="D16" s="217"/>
      <c r="E16" s="220"/>
      <c r="F16" s="248">
        <f>F15/1</f>
        <v>75060</v>
      </c>
      <c r="G16" s="248"/>
      <c r="H16" s="248">
        <f>H15/6.25</f>
        <v>12009.6</v>
      </c>
      <c r="I16" s="248"/>
      <c r="J16" s="248">
        <f>J15/25</f>
        <v>3002.4</v>
      </c>
      <c r="K16" s="248"/>
      <c r="L16" s="248">
        <f>L15/100</f>
        <v>750.6</v>
      </c>
      <c r="M16" s="248"/>
      <c r="N16" s="248">
        <f>N15/900</f>
        <v>83.4</v>
      </c>
      <c r="O16" s="248"/>
      <c r="P16" s="248">
        <f>P15/3600</f>
        <v>20.85</v>
      </c>
    </row>
    <row r="17" spans="1:16" s="15" customFormat="1" ht="12" customHeight="1">
      <c r="A17" s="3"/>
      <c r="B17" s="3"/>
      <c r="C17" s="6"/>
      <c r="D17" s="11"/>
      <c r="E17" s="3"/>
      <c r="F17" s="11"/>
      <c r="G17" s="3"/>
      <c r="H17" s="38"/>
      <c r="I17" s="3"/>
      <c r="J17" s="38"/>
      <c r="K17" s="3"/>
      <c r="L17" s="11"/>
      <c r="M17" s="3"/>
      <c r="N17" s="11"/>
      <c r="O17" s="3"/>
      <c r="P17" s="11"/>
    </row>
    <row r="18" spans="1:16" ht="15.75" customHeight="1">
      <c r="A18" s="227" t="s">
        <v>396</v>
      </c>
      <c r="B18" s="159"/>
      <c r="C18" s="159"/>
      <c r="D18" s="158"/>
      <c r="E18" s="159"/>
      <c r="F18" s="158"/>
      <c r="G18" s="159"/>
      <c r="H18" s="160"/>
      <c r="I18" s="159"/>
      <c r="J18" s="160"/>
      <c r="K18" s="159"/>
      <c r="L18" s="158" t="s">
        <v>269</v>
      </c>
      <c r="M18" s="159"/>
      <c r="O18" s="159"/>
    </row>
    <row r="19" spans="1:16" ht="9" customHeight="1">
      <c r="A19" s="227"/>
      <c r="B19" s="159"/>
      <c r="C19" s="157"/>
      <c r="D19" s="158"/>
      <c r="E19" s="159"/>
      <c r="F19" s="158"/>
      <c r="G19" s="159"/>
      <c r="H19" s="160"/>
      <c r="I19" s="159"/>
      <c r="J19" s="160"/>
      <c r="K19" s="159"/>
      <c r="L19" s="158"/>
      <c r="M19" s="159"/>
      <c r="N19" s="159"/>
      <c r="O19" s="159"/>
      <c r="P19" s="159"/>
    </row>
    <row r="20" spans="1:16" ht="15.75" customHeight="1">
      <c r="A20" s="1032" t="s">
        <v>0</v>
      </c>
      <c r="B20" s="1018" t="s">
        <v>326</v>
      </c>
      <c r="C20" s="1032" t="s">
        <v>116</v>
      </c>
      <c r="D20" s="1018" t="s">
        <v>325</v>
      </c>
      <c r="E20" s="1016" t="s">
        <v>34</v>
      </c>
      <c r="F20" s="1017"/>
      <c r="G20" s="1016" t="s">
        <v>35</v>
      </c>
      <c r="H20" s="1017"/>
      <c r="I20" s="1016" t="s">
        <v>36</v>
      </c>
      <c r="J20" s="1017"/>
      <c r="K20" s="1030" t="s">
        <v>37</v>
      </c>
      <c r="L20" s="1031"/>
      <c r="M20" s="1030" t="s">
        <v>38</v>
      </c>
      <c r="N20" s="1031"/>
      <c r="O20" s="1030" t="s">
        <v>480</v>
      </c>
      <c r="P20" s="1031"/>
    </row>
    <row r="21" spans="1:16" ht="29.25" customHeight="1">
      <c r="A21" s="1033"/>
      <c r="B21" s="1019"/>
      <c r="C21" s="1033"/>
      <c r="D21" s="1019"/>
      <c r="E21" s="247" t="s">
        <v>327</v>
      </c>
      <c r="F21" s="247" t="s">
        <v>306</v>
      </c>
      <c r="G21" s="247" t="s">
        <v>327</v>
      </c>
      <c r="H21" s="247" t="s">
        <v>306</v>
      </c>
      <c r="I21" s="247" t="s">
        <v>327</v>
      </c>
      <c r="J21" s="247" t="s">
        <v>306</v>
      </c>
      <c r="K21" s="247" t="s">
        <v>327</v>
      </c>
      <c r="L21" s="247" t="s">
        <v>306</v>
      </c>
      <c r="M21" s="247" t="s">
        <v>327</v>
      </c>
      <c r="N21" s="247" t="s">
        <v>306</v>
      </c>
      <c r="O21" s="247" t="s">
        <v>327</v>
      </c>
      <c r="P21" s="247" t="s">
        <v>306</v>
      </c>
    </row>
    <row r="22" spans="1:16" ht="14.25" customHeight="1">
      <c r="A22" s="201">
        <v>1</v>
      </c>
      <c r="B22" s="142" t="s">
        <v>339</v>
      </c>
      <c r="C22" s="201" t="s">
        <v>188</v>
      </c>
      <c r="D22" s="236">
        <f>'Gia-VL'!E6</f>
        <v>25000</v>
      </c>
      <c r="E22" s="237">
        <v>0.01</v>
      </c>
      <c r="F22" s="143">
        <f>D22*E22</f>
        <v>250</v>
      </c>
      <c r="G22" s="237">
        <v>0.02</v>
      </c>
      <c r="H22" s="145">
        <f>D22*G22</f>
        <v>500</v>
      </c>
      <c r="I22" s="237">
        <v>0.02</v>
      </c>
      <c r="J22" s="145">
        <f>I22*D22</f>
        <v>500</v>
      </c>
      <c r="K22" s="237">
        <v>0.02</v>
      </c>
      <c r="L22" s="143">
        <f>D22*K22</f>
        <v>500</v>
      </c>
      <c r="M22" s="237">
        <v>0.04</v>
      </c>
      <c r="N22" s="143">
        <f>D22*M22</f>
        <v>1000</v>
      </c>
      <c r="O22" s="237">
        <v>0.1</v>
      </c>
      <c r="P22" s="143">
        <f>D22*O22</f>
        <v>2500</v>
      </c>
    </row>
    <row r="23" spans="1:16" ht="14.25" customHeight="1">
      <c r="A23" s="133">
        <v>2</v>
      </c>
      <c r="B23" s="135" t="s">
        <v>330</v>
      </c>
      <c r="C23" s="133" t="s">
        <v>188</v>
      </c>
      <c r="D23" s="200">
        <f>'Gia-VL'!E42</f>
        <v>12000</v>
      </c>
      <c r="E23" s="144">
        <v>0.01</v>
      </c>
      <c r="F23" s="143">
        <f>D23*E23</f>
        <v>120</v>
      </c>
      <c r="G23" s="144">
        <v>0.02</v>
      </c>
      <c r="H23" s="145">
        <f>D23*G23</f>
        <v>240</v>
      </c>
      <c r="I23" s="144">
        <v>0.02</v>
      </c>
      <c r="J23" s="145">
        <f>I23*D23</f>
        <v>240</v>
      </c>
      <c r="K23" s="144">
        <v>0.02</v>
      </c>
      <c r="L23" s="143">
        <f>D23*K23</f>
        <v>240</v>
      </c>
      <c r="M23" s="144">
        <v>0.04</v>
      </c>
      <c r="N23" s="143">
        <f>D23*M23</f>
        <v>480</v>
      </c>
      <c r="O23" s="144">
        <v>0.1</v>
      </c>
      <c r="P23" s="143">
        <f>D23*O23</f>
        <v>1200</v>
      </c>
    </row>
    <row r="24" spans="1:16" ht="14.25" customHeight="1">
      <c r="A24" s="133">
        <v>3</v>
      </c>
      <c r="B24" s="135" t="s">
        <v>331</v>
      </c>
      <c r="C24" s="133" t="s">
        <v>188</v>
      </c>
      <c r="D24" s="200">
        <f>'Gia-VL'!E7</f>
        <v>500</v>
      </c>
      <c r="E24" s="144">
        <v>3</v>
      </c>
      <c r="F24" s="143">
        <f>D24*E24</f>
        <v>1500</v>
      </c>
      <c r="G24" s="144">
        <v>0.68</v>
      </c>
      <c r="H24" s="145">
        <f>D24*G24</f>
        <v>340</v>
      </c>
      <c r="I24" s="144">
        <v>0.33</v>
      </c>
      <c r="J24" s="145">
        <f>I24*D24</f>
        <v>165</v>
      </c>
      <c r="K24" s="144">
        <v>0.2</v>
      </c>
      <c r="L24" s="143">
        <f>D24*K24</f>
        <v>100</v>
      </c>
      <c r="M24" s="144">
        <v>0.11</v>
      </c>
      <c r="N24" s="143">
        <f>D24*M24</f>
        <v>55</v>
      </c>
      <c r="O24" s="144">
        <v>0.28000000000000003</v>
      </c>
      <c r="P24" s="143">
        <f t="shared" ref="P24:P35" si="7">D24*O24</f>
        <v>140</v>
      </c>
    </row>
    <row r="25" spans="1:16" ht="14.25" customHeight="1">
      <c r="A25" s="133">
        <v>4</v>
      </c>
      <c r="B25" s="135" t="s">
        <v>191</v>
      </c>
      <c r="C25" s="133" t="s">
        <v>332</v>
      </c>
      <c r="D25" s="200">
        <f>'Gia-VL'!E9</f>
        <v>10000</v>
      </c>
      <c r="E25" s="144">
        <v>0.3</v>
      </c>
      <c r="F25" s="143">
        <f t="shared" ref="F25:F35" si="8">D25*E25</f>
        <v>3000</v>
      </c>
      <c r="G25" s="144">
        <v>0.09</v>
      </c>
      <c r="H25" s="145">
        <f t="shared" ref="H25:H35" si="9">D25*G25</f>
        <v>900</v>
      </c>
      <c r="I25" s="144">
        <v>7.0000000000000007E-2</v>
      </c>
      <c r="J25" s="145">
        <f t="shared" ref="J25:J35" si="10">I25*D25</f>
        <v>700.00000000000011</v>
      </c>
      <c r="K25" s="144">
        <v>0.05</v>
      </c>
      <c r="L25" s="143">
        <f t="shared" ref="L25:L35" si="11">D25*K25</f>
        <v>500</v>
      </c>
      <c r="M25" s="144">
        <v>0.04</v>
      </c>
      <c r="N25" s="143">
        <f t="shared" ref="N25:N35" si="12">D25*M25</f>
        <v>400</v>
      </c>
      <c r="O25" s="144">
        <v>0.1</v>
      </c>
      <c r="P25" s="143">
        <f t="shared" si="7"/>
        <v>1000</v>
      </c>
    </row>
    <row r="26" spans="1:16" ht="14.25" customHeight="1">
      <c r="A26" s="133">
        <v>5</v>
      </c>
      <c r="B26" s="135" t="s">
        <v>193</v>
      </c>
      <c r="C26" s="133" t="s">
        <v>118</v>
      </c>
      <c r="D26" s="200">
        <f>'Gia-VL'!E10</f>
        <v>2000</v>
      </c>
      <c r="E26" s="144">
        <v>2.2400000000000002</v>
      </c>
      <c r="F26" s="143">
        <f t="shared" si="8"/>
        <v>4480</v>
      </c>
      <c r="G26" s="144">
        <v>0.51</v>
      </c>
      <c r="H26" s="145">
        <f t="shared" si="9"/>
        <v>1020</v>
      </c>
      <c r="I26" s="144">
        <v>0.25</v>
      </c>
      <c r="J26" s="145">
        <f t="shared" si="10"/>
        <v>500</v>
      </c>
      <c r="K26" s="144">
        <v>0.15</v>
      </c>
      <c r="L26" s="143">
        <f t="shared" si="11"/>
        <v>300</v>
      </c>
      <c r="M26" s="144">
        <v>0.08</v>
      </c>
      <c r="N26" s="143">
        <f t="shared" si="12"/>
        <v>160</v>
      </c>
      <c r="O26" s="144">
        <v>0.2</v>
      </c>
      <c r="P26" s="143">
        <f t="shared" si="7"/>
        <v>400</v>
      </c>
    </row>
    <row r="27" spans="1:16" ht="14.25" customHeight="1">
      <c r="A27" s="133">
        <v>6</v>
      </c>
      <c r="B27" s="135" t="s">
        <v>333</v>
      </c>
      <c r="C27" s="133" t="s">
        <v>188</v>
      </c>
      <c r="D27" s="200">
        <f>'Gia-VL'!E11</f>
        <v>500</v>
      </c>
      <c r="E27" s="144">
        <v>0.04</v>
      </c>
      <c r="F27" s="143">
        <f t="shared" si="8"/>
        <v>20</v>
      </c>
      <c r="G27" s="144">
        <v>0.06</v>
      </c>
      <c r="H27" s="145">
        <f t="shared" si="9"/>
        <v>30</v>
      </c>
      <c r="I27" s="144">
        <v>0.04</v>
      </c>
      <c r="J27" s="145">
        <f t="shared" si="10"/>
        <v>20</v>
      </c>
      <c r="K27" s="144">
        <v>0.35</v>
      </c>
      <c r="L27" s="143">
        <f t="shared" si="11"/>
        <v>175</v>
      </c>
      <c r="M27" s="144">
        <v>0.24</v>
      </c>
      <c r="N27" s="143">
        <f t="shared" si="12"/>
        <v>120</v>
      </c>
      <c r="O27" s="144">
        <v>0.6</v>
      </c>
      <c r="P27" s="143">
        <f t="shared" si="7"/>
        <v>300</v>
      </c>
    </row>
    <row r="28" spans="1:16" ht="14.25" customHeight="1">
      <c r="A28" s="133">
        <v>7</v>
      </c>
      <c r="B28" s="135" t="s">
        <v>196</v>
      </c>
      <c r="C28" s="133" t="s">
        <v>197</v>
      </c>
      <c r="D28" s="200">
        <f>'Gia-VL'!E13</f>
        <v>10000</v>
      </c>
      <c r="E28" s="144">
        <v>0.01</v>
      </c>
      <c r="F28" s="143">
        <f t="shared" si="8"/>
        <v>100</v>
      </c>
      <c r="G28" s="144">
        <v>0.02</v>
      </c>
      <c r="H28" s="145">
        <f t="shared" si="9"/>
        <v>200</v>
      </c>
      <c r="I28" s="144">
        <v>0.02</v>
      </c>
      <c r="J28" s="145">
        <f t="shared" si="10"/>
        <v>200</v>
      </c>
      <c r="K28" s="144">
        <v>0.02</v>
      </c>
      <c r="L28" s="143">
        <f t="shared" si="11"/>
        <v>200</v>
      </c>
      <c r="M28" s="144">
        <v>0.04</v>
      </c>
      <c r="N28" s="143">
        <f t="shared" si="12"/>
        <v>400</v>
      </c>
      <c r="O28" s="144">
        <v>0.1</v>
      </c>
      <c r="P28" s="143">
        <f t="shared" si="7"/>
        <v>1000</v>
      </c>
    </row>
    <row r="29" spans="1:16" ht="14.25" customHeight="1">
      <c r="A29" s="133">
        <v>8</v>
      </c>
      <c r="B29" s="135" t="s">
        <v>241</v>
      </c>
      <c r="C29" s="133" t="s">
        <v>530</v>
      </c>
      <c r="D29" s="200">
        <f>'Gia-VL'!E44</f>
        <v>10000</v>
      </c>
      <c r="E29" s="144">
        <v>0.37</v>
      </c>
      <c r="F29" s="143">
        <f t="shared" si="8"/>
        <v>3700</v>
      </c>
      <c r="G29" s="144">
        <v>0.17</v>
      </c>
      <c r="H29" s="145">
        <f t="shared" si="9"/>
        <v>1700.0000000000002</v>
      </c>
      <c r="I29" s="144">
        <v>0.17</v>
      </c>
      <c r="J29" s="145">
        <f t="shared" si="10"/>
        <v>1700.0000000000002</v>
      </c>
      <c r="K29" s="144">
        <v>0.1</v>
      </c>
      <c r="L29" s="143">
        <f t="shared" si="11"/>
        <v>1000</v>
      </c>
      <c r="M29" s="144">
        <v>0.08</v>
      </c>
      <c r="N29" s="143">
        <f t="shared" si="12"/>
        <v>800</v>
      </c>
      <c r="O29" s="144">
        <v>0.2</v>
      </c>
      <c r="P29" s="143">
        <f t="shared" si="7"/>
        <v>2000</v>
      </c>
    </row>
    <row r="30" spans="1:16" ht="14.25" customHeight="1">
      <c r="A30" s="133">
        <v>9</v>
      </c>
      <c r="B30" s="135" t="s">
        <v>334</v>
      </c>
      <c r="C30" s="133" t="s">
        <v>49</v>
      </c>
      <c r="D30" s="200">
        <f>'Gia-VL'!E15</f>
        <v>45000</v>
      </c>
      <c r="E30" s="144">
        <v>1.49</v>
      </c>
      <c r="F30" s="143">
        <f t="shared" si="8"/>
        <v>67050</v>
      </c>
      <c r="G30" s="144">
        <v>1.36</v>
      </c>
      <c r="H30" s="145">
        <f t="shared" si="9"/>
        <v>61200.000000000007</v>
      </c>
      <c r="I30" s="144">
        <v>1.33</v>
      </c>
      <c r="J30" s="145">
        <f t="shared" si="10"/>
        <v>59850</v>
      </c>
      <c r="K30" s="144">
        <v>0.05</v>
      </c>
      <c r="L30" s="143">
        <f t="shared" si="11"/>
        <v>2250</v>
      </c>
      <c r="M30" s="144">
        <v>0.06</v>
      </c>
      <c r="N30" s="143">
        <f t="shared" si="12"/>
        <v>2700</v>
      </c>
      <c r="O30" s="144">
        <v>0.15</v>
      </c>
      <c r="P30" s="143">
        <f t="shared" si="7"/>
        <v>6750</v>
      </c>
    </row>
    <row r="31" spans="1:16" ht="14.25" customHeight="1">
      <c r="A31" s="133">
        <v>10</v>
      </c>
      <c r="B31" s="135" t="s">
        <v>245</v>
      </c>
      <c r="C31" s="133" t="s">
        <v>50</v>
      </c>
      <c r="D31" s="200">
        <f>'Gia-VL'!E47</f>
        <v>10000</v>
      </c>
      <c r="E31" s="144">
        <v>0.01</v>
      </c>
      <c r="F31" s="143">
        <f t="shared" si="8"/>
        <v>100</v>
      </c>
      <c r="G31" s="144">
        <v>0.02</v>
      </c>
      <c r="H31" s="145">
        <f t="shared" si="9"/>
        <v>200</v>
      </c>
      <c r="I31" s="144">
        <v>0.02</v>
      </c>
      <c r="J31" s="145">
        <f t="shared" si="10"/>
        <v>200</v>
      </c>
      <c r="K31" s="144">
        <v>0.02</v>
      </c>
      <c r="L31" s="143">
        <f t="shared" si="11"/>
        <v>200</v>
      </c>
      <c r="M31" s="144">
        <v>0.04</v>
      </c>
      <c r="N31" s="143">
        <f t="shared" si="12"/>
        <v>400</v>
      </c>
      <c r="O31" s="144">
        <v>0.1</v>
      </c>
      <c r="P31" s="143">
        <f t="shared" si="7"/>
        <v>1000</v>
      </c>
    </row>
    <row r="32" spans="1:16" ht="14.25" customHeight="1">
      <c r="A32" s="133">
        <v>11</v>
      </c>
      <c r="B32" s="135" t="s">
        <v>335</v>
      </c>
      <c r="C32" s="133" t="s">
        <v>272</v>
      </c>
      <c r="D32" s="200">
        <f>'Gia-VL'!E32</f>
        <v>5000</v>
      </c>
      <c r="E32" s="144">
        <v>2.99</v>
      </c>
      <c r="F32" s="143">
        <f t="shared" si="8"/>
        <v>14950.000000000002</v>
      </c>
      <c r="G32" s="144">
        <v>1.02</v>
      </c>
      <c r="H32" s="145">
        <f t="shared" si="9"/>
        <v>5100</v>
      </c>
      <c r="I32" s="144">
        <v>0.5</v>
      </c>
      <c r="J32" s="145">
        <f t="shared" si="10"/>
        <v>2500</v>
      </c>
      <c r="K32" s="144">
        <v>0.5</v>
      </c>
      <c r="L32" s="143">
        <f t="shared" si="11"/>
        <v>2500</v>
      </c>
      <c r="M32" s="144">
        <v>0.33</v>
      </c>
      <c r="N32" s="143">
        <f t="shared" si="12"/>
        <v>1650</v>
      </c>
      <c r="O32" s="144">
        <v>0.83</v>
      </c>
      <c r="P32" s="143">
        <f t="shared" si="7"/>
        <v>4150</v>
      </c>
    </row>
    <row r="33" spans="1:16" ht="14.25" customHeight="1">
      <c r="A33" s="133">
        <v>12</v>
      </c>
      <c r="B33" s="135" t="s">
        <v>206</v>
      </c>
      <c r="C33" s="133" t="s">
        <v>272</v>
      </c>
      <c r="D33" s="200">
        <f>'Gia-VL'!E20</f>
        <v>10000</v>
      </c>
      <c r="E33" s="144">
        <v>0.01</v>
      </c>
      <c r="F33" s="143">
        <f t="shared" si="8"/>
        <v>100</v>
      </c>
      <c r="G33" s="144">
        <v>0.02</v>
      </c>
      <c r="H33" s="145">
        <f t="shared" si="9"/>
        <v>200</v>
      </c>
      <c r="I33" s="144">
        <v>0.02</v>
      </c>
      <c r="J33" s="145">
        <f t="shared" si="10"/>
        <v>200</v>
      </c>
      <c r="K33" s="144">
        <v>0.02</v>
      </c>
      <c r="L33" s="143">
        <f t="shared" si="11"/>
        <v>200</v>
      </c>
      <c r="M33" s="144">
        <v>0.04</v>
      </c>
      <c r="N33" s="143">
        <f t="shared" si="12"/>
        <v>400</v>
      </c>
      <c r="O33" s="144">
        <v>0.1</v>
      </c>
      <c r="P33" s="143">
        <f t="shared" si="7"/>
        <v>1000</v>
      </c>
    </row>
    <row r="34" spans="1:16" ht="14.25" customHeight="1">
      <c r="A34" s="133">
        <v>13</v>
      </c>
      <c r="B34" s="135" t="s">
        <v>336</v>
      </c>
      <c r="C34" s="133" t="s">
        <v>118</v>
      </c>
      <c r="D34" s="200">
        <f>'Gia-VL'!E43</f>
        <v>4000</v>
      </c>
      <c r="E34" s="144">
        <v>15</v>
      </c>
      <c r="F34" s="143">
        <f t="shared" si="8"/>
        <v>60000</v>
      </c>
      <c r="G34" s="144">
        <v>10</v>
      </c>
      <c r="H34" s="145">
        <f t="shared" si="9"/>
        <v>40000</v>
      </c>
      <c r="I34" s="144">
        <v>10</v>
      </c>
      <c r="J34" s="145">
        <f t="shared" si="10"/>
        <v>40000</v>
      </c>
      <c r="K34" s="144">
        <v>8</v>
      </c>
      <c r="L34" s="143">
        <f t="shared" si="11"/>
        <v>32000</v>
      </c>
      <c r="M34" s="144">
        <v>10</v>
      </c>
      <c r="N34" s="143">
        <f t="shared" si="12"/>
        <v>40000</v>
      </c>
      <c r="O34" s="144">
        <v>25</v>
      </c>
      <c r="P34" s="143">
        <f>D34*O34</f>
        <v>100000</v>
      </c>
    </row>
    <row r="35" spans="1:16" ht="26.25">
      <c r="A35" s="133">
        <v>14</v>
      </c>
      <c r="B35" s="742" t="s">
        <v>531</v>
      </c>
      <c r="C35" s="140" t="s">
        <v>124</v>
      </c>
      <c r="D35" s="258">
        <f>'Gia-VL'!E49</f>
        <v>5000</v>
      </c>
      <c r="E35" s="151">
        <v>0.36</v>
      </c>
      <c r="F35" s="149">
        <f t="shared" si="8"/>
        <v>1800</v>
      </c>
      <c r="G35" s="151">
        <v>0.54</v>
      </c>
      <c r="H35" s="150">
        <f t="shared" si="9"/>
        <v>2700</v>
      </c>
      <c r="I35" s="151">
        <v>0.33</v>
      </c>
      <c r="J35" s="150">
        <f t="shared" si="10"/>
        <v>1650</v>
      </c>
      <c r="K35" s="151">
        <v>0.4</v>
      </c>
      <c r="L35" s="149">
        <f t="shared" si="11"/>
        <v>2000</v>
      </c>
      <c r="M35" s="151">
        <v>0.67</v>
      </c>
      <c r="N35" s="149">
        <f t="shared" si="12"/>
        <v>3350</v>
      </c>
      <c r="O35" s="151">
        <v>1.68</v>
      </c>
      <c r="P35" s="143">
        <f t="shared" si="7"/>
        <v>8400</v>
      </c>
    </row>
    <row r="36" spans="1:16" ht="15.75" customHeight="1">
      <c r="A36" s="130"/>
      <c r="B36" s="130" t="s">
        <v>337</v>
      </c>
      <c r="C36" s="130"/>
      <c r="D36" s="239"/>
      <c r="E36" s="220"/>
      <c r="F36" s="248">
        <f>SUM(F22:F35)</f>
        <v>157170</v>
      </c>
      <c r="G36" s="271"/>
      <c r="H36" s="272">
        <f>SUM(H22:H35)</f>
        <v>114330</v>
      </c>
      <c r="I36" s="273"/>
      <c r="J36" s="272">
        <f>SUM(J22:J35)</f>
        <v>108425</v>
      </c>
      <c r="K36" s="271"/>
      <c r="L36" s="248">
        <f>SUM(L22:L35)</f>
        <v>42165</v>
      </c>
      <c r="M36" s="271"/>
      <c r="N36" s="248">
        <f>SUM(N22:N35)</f>
        <v>51915</v>
      </c>
      <c r="O36" s="271"/>
      <c r="P36" s="248">
        <f>SUM(P22:P35)</f>
        <v>129840</v>
      </c>
    </row>
    <row r="37" spans="1:16" ht="15.75" customHeight="1">
      <c r="A37" s="203"/>
      <c r="B37" s="192" t="s">
        <v>338</v>
      </c>
      <c r="C37" s="192"/>
      <c r="D37" s="240"/>
      <c r="E37" s="203"/>
      <c r="F37" s="249">
        <f>F36*0.08</f>
        <v>12573.6</v>
      </c>
      <c r="G37" s="249"/>
      <c r="H37" s="249">
        <f t="shared" ref="H37:N37" si="13">H36*0.08</f>
        <v>9146.4</v>
      </c>
      <c r="I37" s="249"/>
      <c r="J37" s="249">
        <f t="shared" si="13"/>
        <v>8674</v>
      </c>
      <c r="K37" s="249"/>
      <c r="L37" s="249">
        <f t="shared" si="13"/>
        <v>3373.2000000000003</v>
      </c>
      <c r="M37" s="249"/>
      <c r="N37" s="249">
        <f t="shared" si="13"/>
        <v>4153.2</v>
      </c>
      <c r="O37" s="249"/>
      <c r="P37" s="249">
        <f>P36*0.08</f>
        <v>10387.200000000001</v>
      </c>
    </row>
    <row r="38" spans="1:16" ht="15.75" customHeight="1">
      <c r="A38" s="197"/>
      <c r="B38" s="130" t="s">
        <v>132</v>
      </c>
      <c r="C38" s="130"/>
      <c r="D38" s="217"/>
      <c r="E38" s="220"/>
      <c r="F38" s="248">
        <f>F36+F37</f>
        <v>169743.6</v>
      </c>
      <c r="G38" s="248"/>
      <c r="H38" s="248">
        <f>H36+H37</f>
        <v>123476.4</v>
      </c>
      <c r="I38" s="248"/>
      <c r="J38" s="248">
        <f>J36+J37</f>
        <v>117099</v>
      </c>
      <c r="K38" s="248"/>
      <c r="L38" s="248">
        <f>L36+L37</f>
        <v>45538.2</v>
      </c>
      <c r="M38" s="248"/>
      <c r="N38" s="248">
        <f>N36+N37</f>
        <v>56068.2</v>
      </c>
      <c r="O38" s="248"/>
      <c r="P38" s="248">
        <f>P36+P37</f>
        <v>140227.20000000001</v>
      </c>
    </row>
    <row r="39" spans="1:16" ht="15.75" customHeight="1">
      <c r="A39" s="197"/>
      <c r="B39" s="130" t="s">
        <v>277</v>
      </c>
      <c r="C39" s="130"/>
      <c r="D39" s="217"/>
      <c r="E39" s="220"/>
      <c r="F39" s="248">
        <f>F38/100</f>
        <v>1697.4360000000001</v>
      </c>
      <c r="G39" s="248"/>
      <c r="H39" s="248">
        <f>H38/100</f>
        <v>1234.7639999999999</v>
      </c>
      <c r="I39" s="248"/>
      <c r="J39" s="248">
        <f>J38/100</f>
        <v>1170.99</v>
      </c>
      <c r="K39" s="248"/>
      <c r="L39" s="248">
        <f>L38/100</f>
        <v>455.38199999999995</v>
      </c>
      <c r="M39" s="248"/>
      <c r="N39" s="248">
        <f>N38/100</f>
        <v>560.68200000000002</v>
      </c>
      <c r="O39" s="248"/>
      <c r="P39" s="248">
        <f>P38/100</f>
        <v>1402.2720000000002</v>
      </c>
    </row>
    <row r="41" spans="1:16" s="15" customFormat="1">
      <c r="A41" s="227" t="s">
        <v>532</v>
      </c>
      <c r="B41" s="159"/>
      <c r="C41" s="157"/>
      <c r="D41" s="158"/>
      <c r="E41" s="159"/>
      <c r="F41" s="158"/>
      <c r="G41" s="159"/>
      <c r="H41" s="160"/>
      <c r="I41" s="159"/>
      <c r="J41" s="160"/>
      <c r="K41" s="159"/>
      <c r="L41" s="159" t="s">
        <v>328</v>
      </c>
      <c r="M41" s="159"/>
      <c r="O41" s="159"/>
    </row>
    <row r="42" spans="1:16" ht="9.75" customHeight="1">
      <c r="A42" s="129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7.25" customHeight="1">
      <c r="A43" s="1032" t="s">
        <v>0</v>
      </c>
      <c r="B43" s="1018" t="s">
        <v>326</v>
      </c>
      <c r="C43" s="1032" t="s">
        <v>116</v>
      </c>
      <c r="D43" s="1018" t="s">
        <v>325</v>
      </c>
      <c r="E43" s="1016" t="s">
        <v>34</v>
      </c>
      <c r="F43" s="1017"/>
      <c r="G43" s="1016" t="s">
        <v>35</v>
      </c>
      <c r="H43" s="1017"/>
      <c r="I43" s="1016" t="s">
        <v>36</v>
      </c>
      <c r="J43" s="1017"/>
      <c r="K43" s="1030" t="s">
        <v>37</v>
      </c>
      <c r="L43" s="1031"/>
      <c r="M43" s="1030" t="s">
        <v>38</v>
      </c>
      <c r="N43" s="1031"/>
      <c r="O43" s="1030" t="s">
        <v>38</v>
      </c>
      <c r="P43" s="1031"/>
    </row>
    <row r="44" spans="1:16" ht="27" customHeight="1">
      <c r="A44" s="1033"/>
      <c r="B44" s="1019"/>
      <c r="C44" s="1033"/>
      <c r="D44" s="1019"/>
      <c r="E44" s="247" t="s">
        <v>327</v>
      </c>
      <c r="F44" s="247" t="s">
        <v>306</v>
      </c>
      <c r="G44" s="247" t="s">
        <v>327</v>
      </c>
      <c r="H44" s="247" t="s">
        <v>306</v>
      </c>
      <c r="I44" s="247" t="s">
        <v>327</v>
      </c>
      <c r="J44" s="247" t="s">
        <v>306</v>
      </c>
      <c r="K44" s="247" t="s">
        <v>327</v>
      </c>
      <c r="L44" s="247" t="s">
        <v>306</v>
      </c>
      <c r="M44" s="247" t="s">
        <v>327</v>
      </c>
      <c r="N44" s="247" t="s">
        <v>306</v>
      </c>
      <c r="O44" s="247" t="s">
        <v>327</v>
      </c>
      <c r="P44" s="247" t="s">
        <v>306</v>
      </c>
    </row>
    <row r="45" spans="1:16" s="44" customFormat="1" ht="20.25" customHeight="1">
      <c r="A45" s="162"/>
      <c r="B45" s="130" t="s">
        <v>388</v>
      </c>
      <c r="C45" s="206"/>
      <c r="D45" s="276"/>
      <c r="E45" s="277"/>
      <c r="F45" s="226">
        <f>F39*0.05</f>
        <v>84.871800000000007</v>
      </c>
      <c r="G45" s="226"/>
      <c r="H45" s="226">
        <f>H39*0.05</f>
        <v>61.738199999999999</v>
      </c>
      <c r="I45" s="226"/>
      <c r="J45" s="226">
        <f>J39*0.05</f>
        <v>58.549500000000002</v>
      </c>
      <c r="K45" s="226"/>
      <c r="L45" s="226">
        <f>L39*0.05</f>
        <v>22.769099999999998</v>
      </c>
      <c r="M45" s="226"/>
      <c r="N45" s="226">
        <f>N39*0.05</f>
        <v>28.034100000000002</v>
      </c>
      <c r="O45" s="226"/>
      <c r="P45" s="226">
        <f>P39*0.05</f>
        <v>70.113600000000005</v>
      </c>
    </row>
    <row r="46" spans="1:16">
      <c r="A46" s="154"/>
      <c r="B46" s="266"/>
      <c r="C46" s="267"/>
      <c r="D46" s="153"/>
      <c r="E46" s="154"/>
      <c r="F46" s="153"/>
      <c r="G46" s="155"/>
      <c r="H46" s="268"/>
      <c r="I46" s="268"/>
      <c r="J46" s="268"/>
      <c r="K46" s="155"/>
      <c r="L46" s="153"/>
      <c r="M46" s="155"/>
      <c r="N46" s="153"/>
      <c r="O46" s="155"/>
      <c r="P46" s="153"/>
    </row>
    <row r="47" spans="1:16" ht="15" customHeight="1">
      <c r="A47" s="159"/>
      <c r="B47" s="227" t="s">
        <v>329</v>
      </c>
      <c r="C47" s="269"/>
      <c r="D47" s="158"/>
      <c r="E47" s="159"/>
      <c r="F47" s="158"/>
      <c r="G47" s="160"/>
      <c r="H47" s="270"/>
      <c r="I47" s="270"/>
      <c r="J47" s="270"/>
      <c r="K47" s="160"/>
      <c r="L47" s="158"/>
      <c r="M47" s="160"/>
      <c r="N47" s="158"/>
      <c r="O47" s="160"/>
      <c r="P47" s="158"/>
    </row>
    <row r="48" spans="1:16" ht="11.25" customHeight="1">
      <c r="A48" s="159"/>
      <c r="B48" s="227"/>
      <c r="C48" s="269"/>
      <c r="D48" s="158"/>
      <c r="E48" s="159"/>
      <c r="F48" s="158"/>
      <c r="G48" s="160"/>
      <c r="H48" s="270"/>
      <c r="I48" s="270"/>
      <c r="J48" s="270"/>
      <c r="K48" s="160"/>
      <c r="L48" s="158"/>
      <c r="M48" s="160"/>
      <c r="N48" s="158"/>
      <c r="O48" s="160"/>
      <c r="P48" s="158"/>
    </row>
    <row r="49" spans="1:16" ht="16.5" customHeight="1">
      <c r="A49" s="129" t="s">
        <v>302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>
      <c r="A50" s="129" t="s">
        <v>303</v>
      </c>
      <c r="B50" s="164"/>
      <c r="C50" s="245" t="s">
        <v>304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9" customHeight="1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>
      <c r="A52" s="227" t="s">
        <v>483</v>
      </c>
      <c r="B52" s="3"/>
      <c r="C52" s="6"/>
      <c r="D52" s="11"/>
      <c r="E52" s="3"/>
      <c r="F52" s="11"/>
      <c r="G52" s="3"/>
      <c r="H52" s="38"/>
      <c r="I52" s="3"/>
      <c r="J52" s="38"/>
      <c r="K52" s="3"/>
      <c r="L52" s="158" t="s">
        <v>269</v>
      </c>
      <c r="M52" s="3"/>
      <c r="N52" s="3"/>
      <c r="O52" s="3"/>
      <c r="P52" s="3"/>
    </row>
    <row r="53" spans="1:16" ht="9" customHeight="1">
      <c r="A53" s="3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"/>
      <c r="O53" s="1"/>
    </row>
    <row r="54" spans="1:16" ht="19.5" customHeight="1">
      <c r="A54" s="1032" t="s">
        <v>0</v>
      </c>
      <c r="B54" s="1018" t="s">
        <v>326</v>
      </c>
      <c r="C54" s="1032" t="s">
        <v>116</v>
      </c>
      <c r="D54" s="1018" t="s">
        <v>325</v>
      </c>
      <c r="E54" s="1016" t="s">
        <v>34</v>
      </c>
      <c r="F54" s="1017"/>
      <c r="G54" s="1016" t="s">
        <v>35</v>
      </c>
      <c r="H54" s="1017"/>
      <c r="I54" s="1016" t="s">
        <v>36</v>
      </c>
      <c r="J54" s="1017"/>
      <c r="K54" s="1030" t="s">
        <v>37</v>
      </c>
      <c r="L54" s="1031"/>
      <c r="M54" s="1030" t="s">
        <v>38</v>
      </c>
      <c r="N54" s="1031"/>
      <c r="O54" s="1030" t="s">
        <v>480</v>
      </c>
      <c r="P54" s="1031"/>
    </row>
    <row r="55" spans="1:16" ht="30.75" customHeight="1">
      <c r="A55" s="1033"/>
      <c r="B55" s="1019"/>
      <c r="C55" s="1033"/>
      <c r="D55" s="1019"/>
      <c r="E55" s="247" t="s">
        <v>327</v>
      </c>
      <c r="F55" s="247" t="s">
        <v>306</v>
      </c>
      <c r="G55" s="247" t="s">
        <v>327</v>
      </c>
      <c r="H55" s="247" t="s">
        <v>306</v>
      </c>
      <c r="I55" s="247" t="s">
        <v>327</v>
      </c>
      <c r="J55" s="247" t="s">
        <v>306</v>
      </c>
      <c r="K55" s="247" t="s">
        <v>327</v>
      </c>
      <c r="L55" s="247" t="s">
        <v>306</v>
      </c>
      <c r="M55" s="247" t="s">
        <v>327</v>
      </c>
      <c r="N55" s="247" t="s">
        <v>306</v>
      </c>
      <c r="O55" s="247" t="s">
        <v>327</v>
      </c>
      <c r="P55" s="247" t="s">
        <v>306</v>
      </c>
    </row>
    <row r="56" spans="1:16" ht="17.100000000000001" customHeight="1">
      <c r="A56" s="201">
        <v>1</v>
      </c>
      <c r="B56" s="142" t="s">
        <v>187</v>
      </c>
      <c r="C56" s="201" t="s">
        <v>188</v>
      </c>
      <c r="D56" s="236">
        <f>'Gia-VL'!E5</f>
        <v>50000</v>
      </c>
      <c r="E56" s="237">
        <v>0.01</v>
      </c>
      <c r="F56" s="202">
        <f>D56*E56</f>
        <v>500</v>
      </c>
      <c r="G56" s="237">
        <v>0.01</v>
      </c>
      <c r="H56" s="238">
        <f>D56*G56</f>
        <v>500</v>
      </c>
      <c r="I56" s="237">
        <v>0.01</v>
      </c>
      <c r="J56" s="238">
        <f>D56*I56</f>
        <v>500</v>
      </c>
      <c r="K56" s="237">
        <v>0.01</v>
      </c>
      <c r="L56" s="202">
        <f>D56*K56</f>
        <v>500</v>
      </c>
      <c r="M56" s="237">
        <v>0.02</v>
      </c>
      <c r="N56" s="202">
        <f>D56*M56</f>
        <v>1000</v>
      </c>
      <c r="O56" s="237">
        <v>0.02</v>
      </c>
      <c r="P56" s="202">
        <f>D56*O56</f>
        <v>1000</v>
      </c>
    </row>
    <row r="57" spans="1:16" ht="17.100000000000001" customHeight="1">
      <c r="A57" s="133">
        <v>2</v>
      </c>
      <c r="B57" s="135" t="s">
        <v>344</v>
      </c>
      <c r="C57" s="133" t="s">
        <v>188</v>
      </c>
      <c r="D57" s="200">
        <f>'Gia-VL'!E42</f>
        <v>12000</v>
      </c>
      <c r="E57" s="144">
        <v>0.01</v>
      </c>
      <c r="F57" s="202">
        <f t="shared" ref="F57:F67" si="14">D57*E57</f>
        <v>120</v>
      </c>
      <c r="G57" s="144">
        <v>0.01</v>
      </c>
      <c r="H57" s="238">
        <f t="shared" ref="H57:H67" si="15">D57*G57</f>
        <v>120</v>
      </c>
      <c r="I57" s="144">
        <v>0.01</v>
      </c>
      <c r="J57" s="238">
        <f t="shared" ref="J57:J67" si="16">D57*I57</f>
        <v>120</v>
      </c>
      <c r="K57" s="144">
        <v>0.01</v>
      </c>
      <c r="L57" s="202">
        <f t="shared" ref="L57:L67" si="17">D57*K57</f>
        <v>120</v>
      </c>
      <c r="M57" s="144">
        <v>0.02</v>
      </c>
      <c r="N57" s="202">
        <f t="shared" ref="N57:N67" si="18">D57*M57</f>
        <v>240</v>
      </c>
      <c r="O57" s="144">
        <v>0.02</v>
      </c>
      <c r="P57" s="202">
        <f>D57*O57</f>
        <v>240</v>
      </c>
    </row>
    <row r="58" spans="1:16" ht="17.100000000000001" customHeight="1">
      <c r="A58" s="133">
        <v>3</v>
      </c>
      <c r="B58" s="135" t="s">
        <v>331</v>
      </c>
      <c r="C58" s="133" t="s">
        <v>188</v>
      </c>
      <c r="D58" s="200">
        <f>'Gia-VL'!E7</f>
        <v>500</v>
      </c>
      <c r="E58" s="144">
        <v>3</v>
      </c>
      <c r="F58" s="202">
        <f t="shared" si="14"/>
        <v>1500</v>
      </c>
      <c r="G58" s="144">
        <v>3</v>
      </c>
      <c r="H58" s="238">
        <f t="shared" si="15"/>
        <v>1500</v>
      </c>
      <c r="I58" s="144">
        <v>3</v>
      </c>
      <c r="J58" s="238">
        <f t="shared" si="16"/>
        <v>1500</v>
      </c>
      <c r="K58" s="144">
        <v>3</v>
      </c>
      <c r="L58" s="202">
        <f t="shared" si="17"/>
        <v>1500</v>
      </c>
      <c r="M58" s="144">
        <v>3</v>
      </c>
      <c r="N58" s="202">
        <f t="shared" si="18"/>
        <v>1500</v>
      </c>
      <c r="O58" s="144">
        <v>3</v>
      </c>
      <c r="P58" s="202">
        <f t="shared" ref="P58:P67" si="19">D58*O58</f>
        <v>1500</v>
      </c>
    </row>
    <row r="59" spans="1:16" ht="17.100000000000001" customHeight="1">
      <c r="A59" s="133">
        <v>4</v>
      </c>
      <c r="B59" s="135" t="s">
        <v>190</v>
      </c>
      <c r="C59" s="133" t="s">
        <v>188</v>
      </c>
      <c r="D59" s="200">
        <f>'Gia-VL'!E8</f>
        <v>500</v>
      </c>
      <c r="E59" s="144">
        <v>3</v>
      </c>
      <c r="F59" s="202">
        <f t="shared" si="14"/>
        <v>1500</v>
      </c>
      <c r="G59" s="144">
        <v>3</v>
      </c>
      <c r="H59" s="238">
        <f t="shared" si="15"/>
        <v>1500</v>
      </c>
      <c r="I59" s="144">
        <v>3</v>
      </c>
      <c r="J59" s="238">
        <f t="shared" si="16"/>
        <v>1500</v>
      </c>
      <c r="K59" s="144">
        <v>3</v>
      </c>
      <c r="L59" s="202">
        <f t="shared" si="17"/>
        <v>1500</v>
      </c>
      <c r="M59" s="144">
        <v>3</v>
      </c>
      <c r="N59" s="202">
        <f t="shared" si="18"/>
        <v>1500</v>
      </c>
      <c r="O59" s="144">
        <v>3</v>
      </c>
      <c r="P59" s="202">
        <f t="shared" si="19"/>
        <v>1500</v>
      </c>
    </row>
    <row r="60" spans="1:16" ht="17.100000000000001" customHeight="1">
      <c r="A60" s="133">
        <v>5</v>
      </c>
      <c r="B60" s="135" t="s">
        <v>191</v>
      </c>
      <c r="C60" s="133" t="s">
        <v>332</v>
      </c>
      <c r="D60" s="200">
        <f>'Gia-VL'!E9</f>
        <v>10000</v>
      </c>
      <c r="E60" s="144">
        <v>0.15</v>
      </c>
      <c r="F60" s="202">
        <f t="shared" si="14"/>
        <v>1500</v>
      </c>
      <c r="G60" s="144">
        <v>0.15</v>
      </c>
      <c r="H60" s="238">
        <f t="shared" si="15"/>
        <v>1500</v>
      </c>
      <c r="I60" s="144">
        <v>0.15</v>
      </c>
      <c r="J60" s="238">
        <f t="shared" si="16"/>
        <v>1500</v>
      </c>
      <c r="K60" s="144">
        <v>0.15</v>
      </c>
      <c r="L60" s="202">
        <f t="shared" si="17"/>
        <v>1500</v>
      </c>
      <c r="M60" s="144">
        <v>0.15</v>
      </c>
      <c r="N60" s="202">
        <f t="shared" si="18"/>
        <v>1500</v>
      </c>
      <c r="O60" s="144">
        <v>0.15</v>
      </c>
      <c r="P60" s="202">
        <f t="shared" si="19"/>
        <v>1500</v>
      </c>
    </row>
    <row r="61" spans="1:16" ht="17.100000000000001" customHeight="1">
      <c r="A61" s="133">
        <v>6</v>
      </c>
      <c r="B61" s="135" t="s">
        <v>193</v>
      </c>
      <c r="C61" s="133" t="s">
        <v>118</v>
      </c>
      <c r="D61" s="200">
        <f>'Gia-VL'!E10</f>
        <v>2000</v>
      </c>
      <c r="E61" s="144">
        <v>2</v>
      </c>
      <c r="F61" s="202">
        <f t="shared" si="14"/>
        <v>4000</v>
      </c>
      <c r="G61" s="144">
        <v>2</v>
      </c>
      <c r="H61" s="238">
        <f t="shared" si="15"/>
        <v>4000</v>
      </c>
      <c r="I61" s="144">
        <v>2</v>
      </c>
      <c r="J61" s="238">
        <f t="shared" si="16"/>
        <v>4000</v>
      </c>
      <c r="K61" s="144">
        <v>2</v>
      </c>
      <c r="L61" s="202">
        <f t="shared" si="17"/>
        <v>4000</v>
      </c>
      <c r="M61" s="144">
        <v>2</v>
      </c>
      <c r="N61" s="202">
        <f t="shared" si="18"/>
        <v>4000</v>
      </c>
      <c r="O61" s="144">
        <v>2</v>
      </c>
      <c r="P61" s="202">
        <f t="shared" si="19"/>
        <v>4000</v>
      </c>
    </row>
    <row r="62" spans="1:16" ht="17.100000000000001" customHeight="1">
      <c r="A62" s="133">
        <v>7</v>
      </c>
      <c r="B62" s="135" t="s">
        <v>333</v>
      </c>
      <c r="C62" s="133" t="s">
        <v>188</v>
      </c>
      <c r="D62" s="200">
        <f>'Gia-VL'!E11</f>
        <v>500</v>
      </c>
      <c r="E62" s="144">
        <v>4</v>
      </c>
      <c r="F62" s="143">
        <f t="shared" si="14"/>
        <v>2000</v>
      </c>
      <c r="G62" s="144">
        <v>4</v>
      </c>
      <c r="H62" s="145">
        <f t="shared" si="15"/>
        <v>2000</v>
      </c>
      <c r="I62" s="144">
        <v>4</v>
      </c>
      <c r="J62" s="145">
        <f t="shared" si="16"/>
        <v>2000</v>
      </c>
      <c r="K62" s="144">
        <v>4</v>
      </c>
      <c r="L62" s="143">
        <f t="shared" si="17"/>
        <v>2000</v>
      </c>
      <c r="M62" s="144">
        <v>4</v>
      </c>
      <c r="N62" s="143">
        <f t="shared" si="18"/>
        <v>2000</v>
      </c>
      <c r="O62" s="144">
        <v>4</v>
      </c>
      <c r="P62" s="202">
        <f t="shared" si="19"/>
        <v>2000</v>
      </c>
    </row>
    <row r="63" spans="1:16" ht="17.25" customHeight="1">
      <c r="A63" s="133">
        <v>8</v>
      </c>
      <c r="B63" s="135" t="s">
        <v>334</v>
      </c>
      <c r="C63" s="133" t="s">
        <v>49</v>
      </c>
      <c r="D63" s="200">
        <f>'Gia-VL'!E15</f>
        <v>45000</v>
      </c>
      <c r="E63" s="144">
        <v>1.5</v>
      </c>
      <c r="F63" s="143">
        <f t="shared" si="14"/>
        <v>67500</v>
      </c>
      <c r="G63" s="144">
        <v>1.5</v>
      </c>
      <c r="H63" s="145">
        <f t="shared" si="15"/>
        <v>67500</v>
      </c>
      <c r="I63" s="144">
        <v>1.5</v>
      </c>
      <c r="J63" s="145">
        <f t="shared" si="16"/>
        <v>67500</v>
      </c>
      <c r="K63" s="144">
        <v>1.5</v>
      </c>
      <c r="L63" s="143">
        <f t="shared" si="17"/>
        <v>67500</v>
      </c>
      <c r="M63" s="144">
        <v>1.5</v>
      </c>
      <c r="N63" s="143">
        <f t="shared" si="18"/>
        <v>67500</v>
      </c>
      <c r="O63" s="144">
        <v>1.5</v>
      </c>
      <c r="P63" s="202">
        <f t="shared" si="19"/>
        <v>67500</v>
      </c>
    </row>
    <row r="64" spans="1:16" ht="17.25" customHeight="1">
      <c r="A64" s="133">
        <v>9</v>
      </c>
      <c r="B64" s="135" t="s">
        <v>345</v>
      </c>
      <c r="C64" s="133" t="s">
        <v>346</v>
      </c>
      <c r="D64" s="200">
        <f>'Gia-VL'!E16</f>
        <v>1450000</v>
      </c>
      <c r="E64" s="144">
        <v>0.3</v>
      </c>
      <c r="F64" s="202">
        <f t="shared" si="14"/>
        <v>435000</v>
      </c>
      <c r="G64" s="144">
        <v>0.3</v>
      </c>
      <c r="H64" s="238">
        <f t="shared" si="15"/>
        <v>435000</v>
      </c>
      <c r="I64" s="144">
        <v>0.3</v>
      </c>
      <c r="J64" s="238">
        <f t="shared" si="16"/>
        <v>435000</v>
      </c>
      <c r="K64" s="144">
        <v>0.3</v>
      </c>
      <c r="L64" s="202">
        <f t="shared" si="17"/>
        <v>435000</v>
      </c>
      <c r="M64" s="144">
        <v>0.3</v>
      </c>
      <c r="N64" s="202">
        <f t="shared" si="18"/>
        <v>435000</v>
      </c>
      <c r="O64" s="144">
        <v>0.3</v>
      </c>
      <c r="P64" s="202">
        <f t="shared" si="19"/>
        <v>435000</v>
      </c>
    </row>
    <row r="65" spans="1:16" ht="17.25" customHeight="1">
      <c r="A65" s="133">
        <v>10</v>
      </c>
      <c r="B65" s="135" t="s">
        <v>243</v>
      </c>
      <c r="C65" s="133" t="s">
        <v>188</v>
      </c>
      <c r="D65" s="200">
        <f>'Gia-VL'!E46</f>
        <v>2000</v>
      </c>
      <c r="E65" s="144">
        <v>2</v>
      </c>
      <c r="F65" s="202">
        <f t="shared" si="14"/>
        <v>4000</v>
      </c>
      <c r="G65" s="144">
        <v>2</v>
      </c>
      <c r="H65" s="238">
        <f t="shared" si="15"/>
        <v>4000</v>
      </c>
      <c r="I65" s="144">
        <v>2</v>
      </c>
      <c r="J65" s="238">
        <f t="shared" si="16"/>
        <v>4000</v>
      </c>
      <c r="K65" s="144">
        <v>2</v>
      </c>
      <c r="L65" s="202">
        <f t="shared" si="17"/>
        <v>4000</v>
      </c>
      <c r="M65" s="144">
        <v>2</v>
      </c>
      <c r="N65" s="202">
        <f t="shared" si="18"/>
        <v>4000</v>
      </c>
      <c r="O65" s="144">
        <v>2</v>
      </c>
      <c r="P65" s="202">
        <f t="shared" si="19"/>
        <v>4000</v>
      </c>
    </row>
    <row r="66" spans="1:16" ht="17.25" customHeight="1">
      <c r="A66" s="133">
        <v>11</v>
      </c>
      <c r="B66" s="135" t="s">
        <v>206</v>
      </c>
      <c r="C66" s="133" t="s">
        <v>272</v>
      </c>
      <c r="D66" s="200">
        <f>'Gia-VL'!E20</f>
        <v>10000</v>
      </c>
      <c r="E66" s="144">
        <v>0.1</v>
      </c>
      <c r="F66" s="202">
        <f t="shared" si="14"/>
        <v>1000</v>
      </c>
      <c r="G66" s="144">
        <v>0.1</v>
      </c>
      <c r="H66" s="238">
        <f t="shared" si="15"/>
        <v>1000</v>
      </c>
      <c r="I66" s="144">
        <v>0.1</v>
      </c>
      <c r="J66" s="238">
        <f t="shared" si="16"/>
        <v>1000</v>
      </c>
      <c r="K66" s="144">
        <v>0.1</v>
      </c>
      <c r="L66" s="202">
        <f t="shared" si="17"/>
        <v>1000</v>
      </c>
      <c r="M66" s="144">
        <v>0.1</v>
      </c>
      <c r="N66" s="202">
        <f t="shared" si="18"/>
        <v>1000</v>
      </c>
      <c r="O66" s="144">
        <v>0.1</v>
      </c>
      <c r="P66" s="202">
        <f t="shared" si="19"/>
        <v>1000</v>
      </c>
    </row>
    <row r="67" spans="1:16" ht="26.25">
      <c r="A67" s="133">
        <v>12</v>
      </c>
      <c r="B67" s="743" t="s">
        <v>533</v>
      </c>
      <c r="C67" s="133" t="s">
        <v>124</v>
      </c>
      <c r="D67" s="200">
        <f>'Gia-VL'!E49</f>
        <v>5000</v>
      </c>
      <c r="E67" s="144">
        <v>0.2</v>
      </c>
      <c r="F67" s="202">
        <f t="shared" si="14"/>
        <v>1000</v>
      </c>
      <c r="G67" s="144">
        <v>0.2</v>
      </c>
      <c r="H67" s="238">
        <f t="shared" si="15"/>
        <v>1000</v>
      </c>
      <c r="I67" s="144">
        <v>0.2</v>
      </c>
      <c r="J67" s="238">
        <f t="shared" si="16"/>
        <v>1000</v>
      </c>
      <c r="K67" s="144">
        <v>0.2</v>
      </c>
      <c r="L67" s="202">
        <f t="shared" si="17"/>
        <v>1000</v>
      </c>
      <c r="M67" s="144">
        <v>0.2</v>
      </c>
      <c r="N67" s="202">
        <f t="shared" si="18"/>
        <v>1000</v>
      </c>
      <c r="O67" s="144">
        <v>0.2</v>
      </c>
      <c r="P67" s="202">
        <f t="shared" si="19"/>
        <v>1000</v>
      </c>
    </row>
    <row r="68" spans="1:16" ht="17.25" customHeight="1">
      <c r="A68" s="130"/>
      <c r="B68" s="130" t="s">
        <v>337</v>
      </c>
      <c r="C68" s="130"/>
      <c r="D68" s="239"/>
      <c r="E68" s="220"/>
      <c r="F68" s="248">
        <f>SUM(F56:F67)</f>
        <v>519620</v>
      </c>
      <c r="G68" s="248"/>
      <c r="H68" s="248">
        <f>SUM(H56:H67)</f>
        <v>519620</v>
      </c>
      <c r="I68" s="248"/>
      <c r="J68" s="248">
        <f>SUM(J56:J67)</f>
        <v>519620</v>
      </c>
      <c r="K68" s="248"/>
      <c r="L68" s="248">
        <f>SUM(L56:L67)</f>
        <v>519620</v>
      </c>
      <c r="M68" s="248"/>
      <c r="N68" s="248">
        <f>SUM(N56:N67)</f>
        <v>520240</v>
      </c>
      <c r="O68" s="248"/>
      <c r="P68" s="248">
        <f>SUM(P56:P67)</f>
        <v>520240</v>
      </c>
    </row>
    <row r="69" spans="1:16" ht="17.25" customHeight="1">
      <c r="A69" s="203"/>
      <c r="B69" s="192" t="s">
        <v>338</v>
      </c>
      <c r="C69" s="192"/>
      <c r="D69" s="240"/>
      <c r="E69" s="203"/>
      <c r="F69" s="249">
        <f>F68*0.08</f>
        <v>41569.599999999999</v>
      </c>
      <c r="G69" s="249"/>
      <c r="H69" s="249">
        <f t="shared" ref="H69:N69" si="20">H68*0.08</f>
        <v>41569.599999999999</v>
      </c>
      <c r="I69" s="249"/>
      <c r="J69" s="249">
        <f t="shared" si="20"/>
        <v>41569.599999999999</v>
      </c>
      <c r="K69" s="249"/>
      <c r="L69" s="249">
        <f t="shared" si="20"/>
        <v>41569.599999999999</v>
      </c>
      <c r="M69" s="249"/>
      <c r="N69" s="249">
        <f t="shared" si="20"/>
        <v>41619.200000000004</v>
      </c>
      <c r="O69" s="249"/>
      <c r="P69" s="249">
        <f>P68*0.08</f>
        <v>41619.200000000004</v>
      </c>
    </row>
    <row r="70" spans="1:16" ht="17.25" customHeight="1">
      <c r="A70" s="197"/>
      <c r="B70" s="130" t="s">
        <v>132</v>
      </c>
      <c r="C70" s="130"/>
      <c r="D70" s="217"/>
      <c r="E70" s="220"/>
      <c r="F70" s="248">
        <f>F68+F69</f>
        <v>561189.6</v>
      </c>
      <c r="G70" s="248"/>
      <c r="H70" s="248">
        <f>H68+H69</f>
        <v>561189.6</v>
      </c>
      <c r="I70" s="248"/>
      <c r="J70" s="248">
        <f>J68+J69</f>
        <v>561189.6</v>
      </c>
      <c r="K70" s="248"/>
      <c r="L70" s="248">
        <f>L68+L69</f>
        <v>561189.6</v>
      </c>
      <c r="M70" s="248"/>
      <c r="N70" s="248">
        <f>N68+N69</f>
        <v>561859.19999999995</v>
      </c>
      <c r="O70" s="248"/>
      <c r="P70" s="248">
        <f>P68+P69</f>
        <v>561859.19999999995</v>
      </c>
    </row>
    <row r="71" spans="1:16" ht="17.25" customHeight="1">
      <c r="A71" s="197"/>
      <c r="B71" s="130" t="s">
        <v>277</v>
      </c>
      <c r="C71" s="130"/>
      <c r="D71" s="217"/>
      <c r="E71" s="220"/>
      <c r="F71" s="248">
        <f>F70/100</f>
        <v>5611.8959999999997</v>
      </c>
      <c r="G71" s="248"/>
      <c r="H71" s="248">
        <f>H70/100</f>
        <v>5611.8959999999997</v>
      </c>
      <c r="I71" s="248"/>
      <c r="J71" s="248">
        <f>J70/100</f>
        <v>5611.8959999999997</v>
      </c>
      <c r="K71" s="248"/>
      <c r="L71" s="248">
        <f>L70/100</f>
        <v>5611.8959999999997</v>
      </c>
      <c r="M71" s="248"/>
      <c r="N71" s="248">
        <f>N70/100</f>
        <v>5618.5919999999996</v>
      </c>
      <c r="O71" s="248"/>
      <c r="P71" s="248">
        <f>P70/100</f>
        <v>5618.5919999999996</v>
      </c>
    </row>
    <row r="72" spans="1:16" ht="20.25" customHeight="1">
      <c r="A72" s="274" t="s">
        <v>486</v>
      </c>
      <c r="B72" s="274"/>
    </row>
    <row r="73" spans="1:16" ht="17.45" customHeight="1">
      <c r="A73" s="1037" t="s">
        <v>541</v>
      </c>
      <c r="B73" s="1037"/>
      <c r="C73" s="1037"/>
      <c r="D73" s="1037"/>
      <c r="E73" s="1037"/>
      <c r="F73" s="1037"/>
      <c r="G73" s="1037"/>
      <c r="H73" s="1037"/>
      <c r="I73" s="782"/>
      <c r="J73" s="782"/>
      <c r="K73" s="782"/>
      <c r="L73" s="782"/>
      <c r="M73" s="782"/>
      <c r="N73" s="782"/>
      <c r="O73" s="782"/>
      <c r="P73" s="782"/>
    </row>
    <row r="74" spans="1:16" ht="42.6" customHeight="1">
      <c r="A74" s="1038" t="s">
        <v>542</v>
      </c>
      <c r="B74" s="1038"/>
      <c r="C74" s="1038"/>
      <c r="D74" s="1038"/>
      <c r="E74" s="1038"/>
      <c r="F74" s="1038"/>
      <c r="G74" s="1038"/>
      <c r="H74" s="1038"/>
      <c r="I74" s="1038"/>
      <c r="J74" s="1038"/>
      <c r="K74" s="1038"/>
      <c r="L74" s="1038"/>
      <c r="M74" s="1038"/>
      <c r="N74" s="1038"/>
      <c r="O74" s="1038"/>
      <c r="P74" s="1038"/>
    </row>
    <row r="75" spans="1:16" ht="17.45" customHeight="1">
      <c r="A75" s="456"/>
      <c r="B75" s="274"/>
    </row>
    <row r="77" spans="1:16" ht="21.75" customHeight="1">
      <c r="A77" s="227" t="s">
        <v>484</v>
      </c>
      <c r="B77" s="3"/>
      <c r="C77" s="6"/>
      <c r="D77" s="11"/>
      <c r="E77" s="3"/>
      <c r="F77" s="11"/>
      <c r="G77" s="3"/>
      <c r="H77" s="38"/>
      <c r="I77" s="3"/>
      <c r="J77" s="38"/>
      <c r="K77" s="3"/>
      <c r="L77" s="158" t="s">
        <v>269</v>
      </c>
      <c r="M77" s="3"/>
      <c r="N77" s="3"/>
      <c r="O77" s="3"/>
      <c r="P77" s="3"/>
    </row>
    <row r="78" spans="1:16">
      <c r="A78" s="3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"/>
      <c r="O78" s="1"/>
    </row>
    <row r="79" spans="1:16" ht="19.5" customHeight="1">
      <c r="A79" s="1032" t="s">
        <v>0</v>
      </c>
      <c r="B79" s="1018" t="s">
        <v>326</v>
      </c>
      <c r="C79" s="1032" t="s">
        <v>116</v>
      </c>
      <c r="D79" s="1018" t="s">
        <v>325</v>
      </c>
      <c r="E79" s="1016" t="s">
        <v>34</v>
      </c>
      <c r="F79" s="1017"/>
      <c r="G79" s="1016" t="s">
        <v>35</v>
      </c>
      <c r="H79" s="1017"/>
      <c r="I79" s="1016" t="s">
        <v>36</v>
      </c>
      <c r="J79" s="1017"/>
      <c r="K79" s="1030" t="s">
        <v>37</v>
      </c>
      <c r="L79" s="1031"/>
      <c r="M79" s="1030" t="s">
        <v>38</v>
      </c>
      <c r="N79" s="1031"/>
      <c r="O79" s="1030" t="s">
        <v>480</v>
      </c>
      <c r="P79" s="1031"/>
    </row>
    <row r="80" spans="1:16" ht="33" customHeight="1">
      <c r="A80" s="1033"/>
      <c r="B80" s="1019"/>
      <c r="C80" s="1033"/>
      <c r="D80" s="1019"/>
      <c r="E80" s="247" t="s">
        <v>327</v>
      </c>
      <c r="F80" s="247" t="s">
        <v>306</v>
      </c>
      <c r="G80" s="247" t="s">
        <v>327</v>
      </c>
      <c r="H80" s="247" t="s">
        <v>306</v>
      </c>
      <c r="I80" s="247" t="s">
        <v>327</v>
      </c>
      <c r="J80" s="247" t="s">
        <v>306</v>
      </c>
      <c r="K80" s="247" t="s">
        <v>327</v>
      </c>
      <c r="L80" s="247" t="s">
        <v>306</v>
      </c>
      <c r="M80" s="247" t="s">
        <v>327</v>
      </c>
      <c r="N80" s="247" t="s">
        <v>306</v>
      </c>
      <c r="O80" s="247" t="s">
        <v>327</v>
      </c>
      <c r="P80" s="247" t="s">
        <v>306</v>
      </c>
    </row>
    <row r="81" spans="1:16" ht="22.9" customHeight="1">
      <c r="A81" s="133">
        <v>1</v>
      </c>
      <c r="B81" s="135" t="s">
        <v>331</v>
      </c>
      <c r="C81" s="133" t="s">
        <v>188</v>
      </c>
      <c r="D81" s="200">
        <f>'Gia-VL'!E7</f>
        <v>500</v>
      </c>
      <c r="E81" s="144">
        <v>3</v>
      </c>
      <c r="F81" s="202">
        <f t="shared" ref="F81:F88" si="21">D81*E81</f>
        <v>1500</v>
      </c>
      <c r="G81" s="144">
        <v>3</v>
      </c>
      <c r="H81" s="238">
        <f t="shared" ref="H81:H88" si="22">D81*G81</f>
        <v>1500</v>
      </c>
      <c r="I81" s="144">
        <v>3</v>
      </c>
      <c r="J81" s="238">
        <f t="shared" ref="J81:J88" si="23">D81*I81</f>
        <v>1500</v>
      </c>
      <c r="K81" s="144">
        <v>3</v>
      </c>
      <c r="L81" s="202">
        <f t="shared" ref="L81:L88" si="24">D81*K81</f>
        <v>1500</v>
      </c>
      <c r="M81" s="144">
        <v>3</v>
      </c>
      <c r="N81" s="202">
        <f t="shared" ref="N81:N88" si="25">D81*M81</f>
        <v>1500</v>
      </c>
      <c r="O81" s="144">
        <v>3</v>
      </c>
      <c r="P81" s="202">
        <f>D81*O81</f>
        <v>1500</v>
      </c>
    </row>
    <row r="82" spans="1:16" ht="22.9" customHeight="1">
      <c r="A82" s="133">
        <v>2</v>
      </c>
      <c r="B82" s="135" t="s">
        <v>193</v>
      </c>
      <c r="C82" s="133" t="s">
        <v>118</v>
      </c>
      <c r="D82" s="200">
        <f>'Gia-VL'!E10</f>
        <v>2000</v>
      </c>
      <c r="E82" s="144">
        <v>2</v>
      </c>
      <c r="F82" s="202">
        <f t="shared" si="21"/>
        <v>4000</v>
      </c>
      <c r="G82" s="144">
        <v>2</v>
      </c>
      <c r="H82" s="238">
        <f t="shared" si="22"/>
        <v>4000</v>
      </c>
      <c r="I82" s="144">
        <v>2</v>
      </c>
      <c r="J82" s="238">
        <f t="shared" si="23"/>
        <v>4000</v>
      </c>
      <c r="K82" s="144">
        <v>2</v>
      </c>
      <c r="L82" s="202">
        <f t="shared" si="24"/>
        <v>4000</v>
      </c>
      <c r="M82" s="144">
        <v>2</v>
      </c>
      <c r="N82" s="202">
        <f t="shared" si="25"/>
        <v>4000</v>
      </c>
      <c r="O82" s="144">
        <v>2</v>
      </c>
      <c r="P82" s="202">
        <f>D82*O82</f>
        <v>4000</v>
      </c>
    </row>
    <row r="83" spans="1:16" ht="22.9" customHeight="1">
      <c r="A83" s="133">
        <v>3</v>
      </c>
      <c r="B83" s="135" t="s">
        <v>333</v>
      </c>
      <c r="C83" s="133" t="s">
        <v>188</v>
      </c>
      <c r="D83" s="200">
        <f>'Gia-VL'!E11</f>
        <v>500</v>
      </c>
      <c r="E83" s="144">
        <v>4</v>
      </c>
      <c r="F83" s="202">
        <f t="shared" si="21"/>
        <v>2000</v>
      </c>
      <c r="G83" s="144">
        <v>4</v>
      </c>
      <c r="H83" s="238">
        <f t="shared" si="22"/>
        <v>2000</v>
      </c>
      <c r="I83" s="144">
        <v>4</v>
      </c>
      <c r="J83" s="238">
        <f t="shared" si="23"/>
        <v>2000</v>
      </c>
      <c r="K83" s="144">
        <v>4</v>
      </c>
      <c r="L83" s="202">
        <f t="shared" si="24"/>
        <v>2000</v>
      </c>
      <c r="M83" s="144">
        <v>4</v>
      </c>
      <c r="N83" s="202">
        <f t="shared" si="25"/>
        <v>2000</v>
      </c>
      <c r="O83" s="144">
        <v>4</v>
      </c>
      <c r="P83" s="202">
        <f t="shared" ref="P83:P88" si="26">D83*O83</f>
        <v>2000</v>
      </c>
    </row>
    <row r="84" spans="1:16" ht="22.9" customHeight="1">
      <c r="A84" s="133">
        <v>4</v>
      </c>
      <c r="B84" s="135" t="s">
        <v>334</v>
      </c>
      <c r="C84" s="133" t="s">
        <v>49</v>
      </c>
      <c r="D84" s="200">
        <f>'Gia-VL'!E15</f>
        <v>45000</v>
      </c>
      <c r="E84" s="144">
        <v>0.3</v>
      </c>
      <c r="F84" s="202">
        <f t="shared" si="21"/>
        <v>13500</v>
      </c>
      <c r="G84" s="144">
        <v>0.3</v>
      </c>
      <c r="H84" s="238">
        <f t="shared" si="22"/>
        <v>13500</v>
      </c>
      <c r="I84" s="144">
        <v>0.3</v>
      </c>
      <c r="J84" s="238">
        <f t="shared" si="23"/>
        <v>13500</v>
      </c>
      <c r="K84" s="144">
        <v>0.3</v>
      </c>
      <c r="L84" s="202">
        <f t="shared" si="24"/>
        <v>13500</v>
      </c>
      <c r="M84" s="144">
        <v>0.3</v>
      </c>
      <c r="N84" s="202">
        <f t="shared" si="25"/>
        <v>13500</v>
      </c>
      <c r="O84" s="144">
        <v>0.3</v>
      </c>
      <c r="P84" s="202">
        <f t="shared" si="26"/>
        <v>13500</v>
      </c>
    </row>
    <row r="85" spans="1:16" ht="22.9" customHeight="1">
      <c r="A85" s="133">
        <v>5</v>
      </c>
      <c r="B85" s="135" t="s">
        <v>200</v>
      </c>
      <c r="C85" s="133" t="s">
        <v>346</v>
      </c>
      <c r="D85" s="200">
        <f>'Gia-VL'!E16</f>
        <v>1450000</v>
      </c>
      <c r="E85" s="144">
        <v>0.06</v>
      </c>
      <c r="F85" s="202">
        <f t="shared" si="21"/>
        <v>87000</v>
      </c>
      <c r="G85" s="144">
        <v>0.06</v>
      </c>
      <c r="H85" s="238">
        <f t="shared" si="22"/>
        <v>87000</v>
      </c>
      <c r="I85" s="144">
        <v>0.06</v>
      </c>
      <c r="J85" s="238">
        <f t="shared" si="23"/>
        <v>87000</v>
      </c>
      <c r="K85" s="144">
        <v>0.06</v>
      </c>
      <c r="L85" s="202">
        <f t="shared" si="24"/>
        <v>87000</v>
      </c>
      <c r="M85" s="144">
        <v>0.06</v>
      </c>
      <c r="N85" s="202">
        <f t="shared" si="25"/>
        <v>87000</v>
      </c>
      <c r="O85" s="144">
        <v>0.06</v>
      </c>
      <c r="P85" s="202">
        <f t="shared" si="26"/>
        <v>87000</v>
      </c>
    </row>
    <row r="86" spans="1:16" ht="22.9" customHeight="1">
      <c r="A86" s="133">
        <v>6</v>
      </c>
      <c r="B86" s="135" t="s">
        <v>432</v>
      </c>
      <c r="C86" s="133" t="s">
        <v>272</v>
      </c>
      <c r="D86" s="200">
        <f>'Gia-VL'!E50</f>
        <v>100000</v>
      </c>
      <c r="E86" s="144">
        <v>0.05</v>
      </c>
      <c r="F86" s="202">
        <f t="shared" si="21"/>
        <v>5000</v>
      </c>
      <c r="G86" s="144">
        <v>0.05</v>
      </c>
      <c r="H86" s="238">
        <f t="shared" si="22"/>
        <v>5000</v>
      </c>
      <c r="I86" s="144">
        <v>0.05</v>
      </c>
      <c r="J86" s="238">
        <f t="shared" si="23"/>
        <v>5000</v>
      </c>
      <c r="K86" s="144">
        <v>0.05</v>
      </c>
      <c r="L86" s="202">
        <f t="shared" si="24"/>
        <v>5000</v>
      </c>
      <c r="M86" s="144">
        <v>0.05</v>
      </c>
      <c r="N86" s="202">
        <f t="shared" si="25"/>
        <v>5000</v>
      </c>
      <c r="O86" s="144">
        <v>0.05</v>
      </c>
      <c r="P86" s="202">
        <f t="shared" si="26"/>
        <v>5000</v>
      </c>
    </row>
    <row r="87" spans="1:16" ht="22.9" customHeight="1">
      <c r="A87" s="133">
        <v>7</v>
      </c>
      <c r="B87" s="135" t="s">
        <v>206</v>
      </c>
      <c r="C87" s="133" t="s">
        <v>272</v>
      </c>
      <c r="D87" s="200">
        <f>'Gia-VL'!E20</f>
        <v>10000</v>
      </c>
      <c r="E87" s="144">
        <v>0.01</v>
      </c>
      <c r="F87" s="202">
        <f t="shared" si="21"/>
        <v>100</v>
      </c>
      <c r="G87" s="144">
        <v>0.01</v>
      </c>
      <c r="H87" s="238">
        <f t="shared" si="22"/>
        <v>100</v>
      </c>
      <c r="I87" s="144">
        <v>0.01</v>
      </c>
      <c r="J87" s="238">
        <f t="shared" si="23"/>
        <v>100</v>
      </c>
      <c r="K87" s="144">
        <v>0.01</v>
      </c>
      <c r="L87" s="202">
        <f t="shared" si="24"/>
        <v>100</v>
      </c>
      <c r="M87" s="144">
        <v>0.01</v>
      </c>
      <c r="N87" s="202">
        <f t="shared" si="25"/>
        <v>100</v>
      </c>
      <c r="O87" s="144">
        <v>0.01</v>
      </c>
      <c r="P87" s="202">
        <f t="shared" si="26"/>
        <v>100</v>
      </c>
    </row>
    <row r="88" spans="1:16" ht="26.25">
      <c r="A88" s="133">
        <v>8</v>
      </c>
      <c r="B88" s="743" t="s">
        <v>534</v>
      </c>
      <c r="C88" s="133" t="s">
        <v>124</v>
      </c>
      <c r="D88" s="200">
        <f>'Gia-VL'!E49</f>
        <v>5000</v>
      </c>
      <c r="E88" s="144">
        <v>0.2</v>
      </c>
      <c r="F88" s="202">
        <f t="shared" si="21"/>
        <v>1000</v>
      </c>
      <c r="G88" s="144">
        <v>0.2</v>
      </c>
      <c r="H88" s="238">
        <f t="shared" si="22"/>
        <v>1000</v>
      </c>
      <c r="I88" s="144">
        <v>0.2</v>
      </c>
      <c r="J88" s="238">
        <f t="shared" si="23"/>
        <v>1000</v>
      </c>
      <c r="K88" s="144">
        <v>0.2</v>
      </c>
      <c r="L88" s="202">
        <f t="shared" si="24"/>
        <v>1000</v>
      </c>
      <c r="M88" s="144">
        <v>0.2</v>
      </c>
      <c r="N88" s="202">
        <f t="shared" si="25"/>
        <v>1000</v>
      </c>
      <c r="O88" s="144">
        <v>0.2</v>
      </c>
      <c r="P88" s="202">
        <f t="shared" si="26"/>
        <v>1000</v>
      </c>
    </row>
    <row r="89" spans="1:16" ht="22.9" customHeight="1">
      <c r="A89" s="130"/>
      <c r="B89" s="130" t="s">
        <v>337</v>
      </c>
      <c r="C89" s="130"/>
      <c r="D89" s="239"/>
      <c r="E89" s="220"/>
      <c r="F89" s="248">
        <f>SUM(F81:F88)</f>
        <v>114100</v>
      </c>
      <c r="G89" s="248"/>
      <c r="H89" s="248">
        <f>SUM(H81:H88)</f>
        <v>114100</v>
      </c>
      <c r="I89" s="248"/>
      <c r="J89" s="248">
        <f>SUM(J81:J88)</f>
        <v>114100</v>
      </c>
      <c r="K89" s="248"/>
      <c r="L89" s="248">
        <f>SUM(L81:L88)</f>
        <v>114100</v>
      </c>
      <c r="M89" s="248"/>
      <c r="N89" s="248">
        <f>SUM(N81:N88)</f>
        <v>114100</v>
      </c>
      <c r="O89" s="248"/>
      <c r="P89" s="248">
        <f>SUM(P81:P88)</f>
        <v>114100</v>
      </c>
    </row>
    <row r="90" spans="1:16" ht="22.9" customHeight="1">
      <c r="A90" s="203"/>
      <c r="B90" s="192" t="s">
        <v>338</v>
      </c>
      <c r="C90" s="192"/>
      <c r="D90" s="240"/>
      <c r="E90" s="203"/>
      <c r="F90" s="249">
        <f>F89*0.08</f>
        <v>9128</v>
      </c>
      <c r="G90" s="249"/>
      <c r="H90" s="249">
        <f>H89*0.08</f>
        <v>9128</v>
      </c>
      <c r="I90" s="249"/>
      <c r="J90" s="249">
        <f>J89*0.08</f>
        <v>9128</v>
      </c>
      <c r="K90" s="249"/>
      <c r="L90" s="249">
        <f>L89*0.08</f>
        <v>9128</v>
      </c>
      <c r="M90" s="249"/>
      <c r="N90" s="249">
        <f>N89*0.08</f>
        <v>9128</v>
      </c>
      <c r="O90" s="249"/>
      <c r="P90" s="249">
        <f>P89*0.08</f>
        <v>9128</v>
      </c>
    </row>
    <row r="91" spans="1:16" ht="22.9" customHeight="1">
      <c r="A91" s="197"/>
      <c r="B91" s="130" t="s">
        <v>132</v>
      </c>
      <c r="C91" s="130"/>
      <c r="D91" s="217"/>
      <c r="E91" s="220"/>
      <c r="F91" s="248">
        <f>F89+F90</f>
        <v>123228</v>
      </c>
      <c r="G91" s="248"/>
      <c r="H91" s="248">
        <f>H89+H90</f>
        <v>123228</v>
      </c>
      <c r="I91" s="248"/>
      <c r="J91" s="248">
        <f>J89+J90</f>
        <v>123228</v>
      </c>
      <c r="K91" s="248"/>
      <c r="L91" s="248">
        <f>L89+L90</f>
        <v>123228</v>
      </c>
      <c r="M91" s="248"/>
      <c r="N91" s="248">
        <f>N89+N90</f>
        <v>123228</v>
      </c>
      <c r="O91" s="248"/>
      <c r="P91" s="248">
        <f>P89+P90</f>
        <v>123228</v>
      </c>
    </row>
    <row r="92" spans="1:16" ht="22.9" customHeight="1">
      <c r="A92" s="197"/>
      <c r="B92" s="130" t="s">
        <v>277</v>
      </c>
      <c r="C92" s="130"/>
      <c r="D92" s="217"/>
      <c r="E92" s="220"/>
      <c r="F92" s="248">
        <f>F91/100</f>
        <v>1232.28</v>
      </c>
      <c r="G92" s="248"/>
      <c r="H92" s="248">
        <f>H91/100</f>
        <v>1232.28</v>
      </c>
      <c r="I92" s="248"/>
      <c r="J92" s="248">
        <f>J91/100</f>
        <v>1232.28</v>
      </c>
      <c r="K92" s="248"/>
      <c r="L92" s="248">
        <f>L91/100</f>
        <v>1232.28</v>
      </c>
      <c r="M92" s="248"/>
      <c r="N92" s="248">
        <f>N91/100</f>
        <v>1232.28</v>
      </c>
      <c r="O92" s="248"/>
      <c r="P92" s="248">
        <f>P91/100</f>
        <v>1232.28</v>
      </c>
    </row>
    <row r="93" spans="1:16" ht="22.9" customHeight="1">
      <c r="A93" s="1039" t="s">
        <v>100</v>
      </c>
      <c r="B93" s="1039"/>
      <c r="C93" s="269"/>
      <c r="D93" s="270"/>
      <c r="E93" s="227"/>
      <c r="F93" s="744"/>
      <c r="G93" s="744"/>
      <c r="H93" s="744"/>
      <c r="I93" s="744"/>
      <c r="J93" s="744"/>
      <c r="K93" s="744"/>
      <c r="L93" s="744"/>
      <c r="M93" s="744"/>
      <c r="N93" s="744"/>
      <c r="O93" s="744"/>
      <c r="P93" s="744"/>
    </row>
    <row r="94" spans="1:16" s="745" customFormat="1" ht="28.9" customHeight="1">
      <c r="A94" s="1040" t="s">
        <v>540</v>
      </c>
      <c r="B94" s="1040"/>
      <c r="C94" s="1040"/>
      <c r="D94" s="1040"/>
      <c r="E94" s="1040"/>
      <c r="F94" s="1040"/>
      <c r="G94" s="1040"/>
      <c r="H94" s="1040"/>
      <c r="I94" s="1040"/>
      <c r="J94" s="1040"/>
      <c r="K94" s="1040"/>
      <c r="L94" s="1040"/>
      <c r="M94" s="1040"/>
      <c r="N94" s="1040"/>
      <c r="O94" s="1040"/>
      <c r="P94" s="1040"/>
    </row>
    <row r="96" spans="1:16" ht="27.6" customHeight="1">
      <c r="A96" s="227" t="s">
        <v>482</v>
      </c>
      <c r="B96" s="3"/>
      <c r="C96" s="6"/>
      <c r="D96" s="11"/>
      <c r="E96" s="3"/>
      <c r="F96" s="11"/>
      <c r="G96" s="3"/>
      <c r="H96" s="38"/>
      <c r="I96" s="3"/>
      <c r="J96" s="38"/>
      <c r="K96" s="3"/>
      <c r="L96" s="159" t="s">
        <v>115</v>
      </c>
      <c r="M96" s="3"/>
      <c r="N96" s="3"/>
      <c r="O96" s="3"/>
      <c r="P96" s="3"/>
    </row>
    <row r="97" spans="1:16">
      <c r="A97" s="3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"/>
      <c r="O97" s="1"/>
    </row>
    <row r="98" spans="1:16" ht="19.5" customHeight="1">
      <c r="A98" s="1032" t="s">
        <v>0</v>
      </c>
      <c r="B98" s="1018" t="s">
        <v>326</v>
      </c>
      <c r="C98" s="1032" t="s">
        <v>116</v>
      </c>
      <c r="D98" s="1018" t="s">
        <v>325</v>
      </c>
      <c r="E98" s="1016" t="s">
        <v>34</v>
      </c>
      <c r="F98" s="1017"/>
      <c r="G98" s="1016" t="s">
        <v>35</v>
      </c>
      <c r="H98" s="1017"/>
      <c r="I98" s="1016" t="s">
        <v>36</v>
      </c>
      <c r="J98" s="1017"/>
      <c r="K98" s="1030" t="s">
        <v>37</v>
      </c>
      <c r="L98" s="1031"/>
      <c r="M98" s="1030" t="s">
        <v>38</v>
      </c>
      <c r="N98" s="1031"/>
      <c r="O98" s="1030" t="s">
        <v>480</v>
      </c>
      <c r="P98" s="1031"/>
    </row>
    <row r="99" spans="1:16" ht="36" customHeight="1">
      <c r="A99" s="1033"/>
      <c r="B99" s="1019"/>
      <c r="C99" s="1033"/>
      <c r="D99" s="1019"/>
      <c r="E99" s="247" t="s">
        <v>327</v>
      </c>
      <c r="F99" s="247" t="s">
        <v>306</v>
      </c>
      <c r="G99" s="247" t="s">
        <v>327</v>
      </c>
      <c r="H99" s="247" t="s">
        <v>306</v>
      </c>
      <c r="I99" s="247" t="s">
        <v>327</v>
      </c>
      <c r="J99" s="247" t="s">
        <v>306</v>
      </c>
      <c r="K99" s="247" t="s">
        <v>327</v>
      </c>
      <c r="L99" s="247" t="s">
        <v>306</v>
      </c>
      <c r="M99" s="247" t="s">
        <v>327</v>
      </c>
      <c r="N99" s="247" t="s">
        <v>306</v>
      </c>
      <c r="O99" s="247" t="s">
        <v>327</v>
      </c>
      <c r="P99" s="247" t="s">
        <v>306</v>
      </c>
    </row>
    <row r="100" spans="1:16" ht="21" customHeight="1">
      <c r="A100" s="133">
        <v>1</v>
      </c>
      <c r="B100" s="135" t="s">
        <v>333</v>
      </c>
      <c r="C100" s="133" t="s">
        <v>188</v>
      </c>
      <c r="D100" s="200">
        <f>'Gia-VL'!E11</f>
        <v>500</v>
      </c>
      <c r="E100" s="144">
        <v>4</v>
      </c>
      <c r="F100" s="202">
        <f t="shared" ref="F100:F108" si="27">D100*E100</f>
        <v>2000</v>
      </c>
      <c r="G100" s="144">
        <v>4</v>
      </c>
      <c r="H100" s="238">
        <f t="shared" ref="H100:H108" si="28">D100*G100</f>
        <v>2000</v>
      </c>
      <c r="I100" s="144">
        <v>4</v>
      </c>
      <c r="J100" s="238">
        <f t="shared" ref="J100:J108" si="29">D100*I100</f>
        <v>2000</v>
      </c>
      <c r="K100" s="144">
        <v>4</v>
      </c>
      <c r="L100" s="202">
        <f t="shared" ref="L100:L108" si="30">D100*K100</f>
        <v>2000</v>
      </c>
      <c r="M100" s="144">
        <v>4</v>
      </c>
      <c r="N100" s="202">
        <f t="shared" ref="N100:N108" si="31">D100*M100</f>
        <v>2000</v>
      </c>
      <c r="O100" s="144">
        <v>4</v>
      </c>
      <c r="P100" s="202">
        <f>D100*O100</f>
        <v>2000</v>
      </c>
    </row>
    <row r="101" spans="1:16" ht="21" customHeight="1">
      <c r="A101" s="133">
        <v>2</v>
      </c>
      <c r="B101" s="135" t="s">
        <v>196</v>
      </c>
      <c r="C101" s="133" t="s">
        <v>197</v>
      </c>
      <c r="D101" s="200">
        <f>'Gia-VL'!E13</f>
        <v>10000</v>
      </c>
      <c r="E101" s="144">
        <v>0.02</v>
      </c>
      <c r="F101" s="202">
        <f t="shared" si="27"/>
        <v>200</v>
      </c>
      <c r="G101" s="144">
        <v>0.02</v>
      </c>
      <c r="H101" s="238">
        <f t="shared" si="28"/>
        <v>200</v>
      </c>
      <c r="I101" s="144">
        <v>0.02</v>
      </c>
      <c r="J101" s="238">
        <f t="shared" si="29"/>
        <v>200</v>
      </c>
      <c r="K101" s="144">
        <v>0.02</v>
      </c>
      <c r="L101" s="202">
        <f t="shared" si="30"/>
        <v>200</v>
      </c>
      <c r="M101" s="144">
        <v>0.02</v>
      </c>
      <c r="N101" s="202">
        <f t="shared" si="31"/>
        <v>200</v>
      </c>
      <c r="O101" s="144">
        <v>0.02</v>
      </c>
      <c r="P101" s="202">
        <f>D101*O101</f>
        <v>200</v>
      </c>
    </row>
    <row r="102" spans="1:16" ht="21" customHeight="1">
      <c r="A102" s="133">
        <v>3</v>
      </c>
      <c r="B102" s="135" t="s">
        <v>198</v>
      </c>
      <c r="C102" s="133" t="s">
        <v>188</v>
      </c>
      <c r="D102" s="200">
        <f>'Gia-VL'!E14</f>
        <v>8000</v>
      </c>
      <c r="E102" s="144">
        <v>2</v>
      </c>
      <c r="F102" s="202">
        <f t="shared" si="27"/>
        <v>16000</v>
      </c>
      <c r="G102" s="144">
        <v>2</v>
      </c>
      <c r="H102" s="238">
        <f t="shared" si="28"/>
        <v>16000</v>
      </c>
      <c r="I102" s="144">
        <v>2</v>
      </c>
      <c r="J102" s="238">
        <f t="shared" si="29"/>
        <v>16000</v>
      </c>
      <c r="K102" s="144">
        <v>2</v>
      </c>
      <c r="L102" s="202">
        <f t="shared" si="30"/>
        <v>16000</v>
      </c>
      <c r="M102" s="144">
        <v>2</v>
      </c>
      <c r="N102" s="202">
        <f t="shared" si="31"/>
        <v>16000</v>
      </c>
      <c r="O102" s="144">
        <v>2</v>
      </c>
      <c r="P102" s="202">
        <f t="shared" ref="P102:P108" si="32">D102*O102</f>
        <v>16000</v>
      </c>
    </row>
    <row r="103" spans="1:16" ht="21" customHeight="1">
      <c r="A103" s="133">
        <v>4</v>
      </c>
      <c r="B103" s="135" t="s">
        <v>334</v>
      </c>
      <c r="C103" s="133" t="s">
        <v>49</v>
      </c>
      <c r="D103" s="200">
        <f>'Gia-VL'!E15</f>
        <v>45000</v>
      </c>
      <c r="E103" s="144">
        <v>0.3</v>
      </c>
      <c r="F103" s="202">
        <f t="shared" si="27"/>
        <v>13500</v>
      </c>
      <c r="G103" s="144">
        <v>0.3</v>
      </c>
      <c r="H103" s="238">
        <f t="shared" si="28"/>
        <v>13500</v>
      </c>
      <c r="I103" s="144">
        <v>0.25</v>
      </c>
      <c r="J103" s="238">
        <f t="shared" si="29"/>
        <v>11250</v>
      </c>
      <c r="K103" s="144">
        <v>0.2</v>
      </c>
      <c r="L103" s="202">
        <f t="shared" si="30"/>
        <v>9000</v>
      </c>
      <c r="M103" s="144">
        <v>0.15</v>
      </c>
      <c r="N103" s="202">
        <f t="shared" si="31"/>
        <v>6750</v>
      </c>
      <c r="O103" s="144">
        <v>0.15</v>
      </c>
      <c r="P103" s="202">
        <f t="shared" si="32"/>
        <v>6750</v>
      </c>
    </row>
    <row r="104" spans="1:16" ht="21" customHeight="1">
      <c r="A104" s="133">
        <v>5</v>
      </c>
      <c r="B104" s="135" t="s">
        <v>200</v>
      </c>
      <c r="C104" s="133" t="s">
        <v>346</v>
      </c>
      <c r="D104" s="200">
        <f>'Gia-VL'!E16</f>
        <v>1450000</v>
      </c>
      <c r="E104" s="144">
        <v>0.06</v>
      </c>
      <c r="F104" s="202">
        <f t="shared" si="27"/>
        <v>87000</v>
      </c>
      <c r="G104" s="144">
        <v>0.06</v>
      </c>
      <c r="H104" s="238">
        <f t="shared" si="28"/>
        <v>87000</v>
      </c>
      <c r="I104" s="144">
        <v>0.05</v>
      </c>
      <c r="J104" s="238">
        <f t="shared" si="29"/>
        <v>72500</v>
      </c>
      <c r="K104" s="144">
        <v>0.04</v>
      </c>
      <c r="L104" s="202">
        <f t="shared" si="30"/>
        <v>58000</v>
      </c>
      <c r="M104" s="144">
        <v>0.03</v>
      </c>
      <c r="N104" s="202">
        <f t="shared" si="31"/>
        <v>43500</v>
      </c>
      <c r="O104" s="144">
        <v>0.03</v>
      </c>
      <c r="P104" s="202">
        <f t="shared" si="32"/>
        <v>43500</v>
      </c>
    </row>
    <row r="105" spans="1:16" ht="21" customHeight="1">
      <c r="A105" s="140">
        <v>6</v>
      </c>
      <c r="B105" s="139" t="s">
        <v>243</v>
      </c>
      <c r="C105" s="140" t="s">
        <v>188</v>
      </c>
      <c r="D105" s="258">
        <f>'Gia-VL'!E46</f>
        <v>2000</v>
      </c>
      <c r="E105" s="151">
        <v>2</v>
      </c>
      <c r="F105" s="149">
        <f t="shared" si="27"/>
        <v>4000</v>
      </c>
      <c r="G105" s="151">
        <v>2</v>
      </c>
      <c r="H105" s="150">
        <f t="shared" si="28"/>
        <v>4000</v>
      </c>
      <c r="I105" s="151">
        <v>2</v>
      </c>
      <c r="J105" s="150">
        <f t="shared" si="29"/>
        <v>4000</v>
      </c>
      <c r="K105" s="151">
        <v>2</v>
      </c>
      <c r="L105" s="149">
        <f t="shared" si="30"/>
        <v>4000</v>
      </c>
      <c r="M105" s="151">
        <v>2</v>
      </c>
      <c r="N105" s="149">
        <f t="shared" si="31"/>
        <v>4000</v>
      </c>
      <c r="O105" s="151">
        <v>2</v>
      </c>
      <c r="P105" s="149">
        <f t="shared" si="32"/>
        <v>4000</v>
      </c>
    </row>
    <row r="106" spans="1:16" ht="21" customHeight="1">
      <c r="A106" s="133">
        <v>7</v>
      </c>
      <c r="B106" s="135" t="s">
        <v>206</v>
      </c>
      <c r="C106" s="133" t="s">
        <v>272</v>
      </c>
      <c r="D106" s="200">
        <f>'Gia-VL'!E20</f>
        <v>10000</v>
      </c>
      <c r="E106" s="144">
        <v>0.1</v>
      </c>
      <c r="F106" s="202">
        <f t="shared" si="27"/>
        <v>1000</v>
      </c>
      <c r="G106" s="144">
        <v>0.1</v>
      </c>
      <c r="H106" s="238">
        <f t="shared" si="28"/>
        <v>1000</v>
      </c>
      <c r="I106" s="144">
        <v>0.1</v>
      </c>
      <c r="J106" s="238">
        <f t="shared" si="29"/>
        <v>1000</v>
      </c>
      <c r="K106" s="144">
        <v>0.1</v>
      </c>
      <c r="L106" s="202">
        <f t="shared" si="30"/>
        <v>1000</v>
      </c>
      <c r="M106" s="144">
        <v>0.1</v>
      </c>
      <c r="N106" s="202">
        <f t="shared" si="31"/>
        <v>1000</v>
      </c>
      <c r="O106" s="144">
        <v>0.1</v>
      </c>
      <c r="P106" s="202">
        <f t="shared" si="32"/>
        <v>1000</v>
      </c>
    </row>
    <row r="107" spans="1:16" ht="21" customHeight="1">
      <c r="A107" s="133">
        <v>8</v>
      </c>
      <c r="B107" s="135" t="s">
        <v>347</v>
      </c>
      <c r="C107" s="133" t="s">
        <v>346</v>
      </c>
      <c r="D107" s="200">
        <f>'Gia-VL'!E51</f>
        <v>2400000</v>
      </c>
      <c r="E107" s="144">
        <v>0.02</v>
      </c>
      <c r="F107" s="202">
        <f t="shared" si="27"/>
        <v>48000</v>
      </c>
      <c r="G107" s="144">
        <v>0.01</v>
      </c>
      <c r="H107" s="238">
        <f t="shared" si="28"/>
        <v>24000</v>
      </c>
      <c r="I107" s="257">
        <v>3.0000000000000001E-3</v>
      </c>
      <c r="J107" s="238">
        <f t="shared" si="29"/>
        <v>7200</v>
      </c>
      <c r="K107" s="257">
        <v>2E-3</v>
      </c>
      <c r="L107" s="202">
        <f t="shared" si="30"/>
        <v>4800</v>
      </c>
      <c r="M107" s="257">
        <v>1E-3</v>
      </c>
      <c r="N107" s="202">
        <f t="shared" si="31"/>
        <v>2400</v>
      </c>
      <c r="O107" s="257">
        <v>1E-3</v>
      </c>
      <c r="P107" s="202">
        <f t="shared" si="32"/>
        <v>2400</v>
      </c>
    </row>
    <row r="108" spans="1:16" ht="26.25">
      <c r="A108" s="133">
        <v>9</v>
      </c>
      <c r="B108" s="743" t="s">
        <v>535</v>
      </c>
      <c r="C108" s="133" t="s">
        <v>124</v>
      </c>
      <c r="D108" s="200">
        <f>'Gia-VL'!E49</f>
        <v>5000</v>
      </c>
      <c r="E108" s="144">
        <v>0.2</v>
      </c>
      <c r="F108" s="202">
        <f t="shared" si="27"/>
        <v>1000</v>
      </c>
      <c r="G108" s="144">
        <v>0.2</v>
      </c>
      <c r="H108" s="238">
        <f t="shared" si="28"/>
        <v>1000</v>
      </c>
      <c r="I108" s="144">
        <v>0.2</v>
      </c>
      <c r="J108" s="238">
        <f t="shared" si="29"/>
        <v>1000</v>
      </c>
      <c r="K108" s="144">
        <v>0.2</v>
      </c>
      <c r="L108" s="202">
        <f t="shared" si="30"/>
        <v>1000</v>
      </c>
      <c r="M108" s="144">
        <v>0.2</v>
      </c>
      <c r="N108" s="202">
        <f t="shared" si="31"/>
        <v>1000</v>
      </c>
      <c r="O108" s="144">
        <v>0.2</v>
      </c>
      <c r="P108" s="202">
        <f t="shared" si="32"/>
        <v>1000</v>
      </c>
    </row>
    <row r="109" spans="1:16" ht="21" customHeight="1">
      <c r="A109" s="130"/>
      <c r="B109" s="130" t="s">
        <v>337</v>
      </c>
      <c r="C109" s="130"/>
      <c r="D109" s="239"/>
      <c r="E109" s="220"/>
      <c r="F109" s="248">
        <f>SUM(F100:F108)</f>
        <v>172700</v>
      </c>
      <c r="G109" s="248"/>
      <c r="H109" s="248">
        <f>SUM(H100:H108)</f>
        <v>148700</v>
      </c>
      <c r="I109" s="248"/>
      <c r="J109" s="248">
        <f>SUM(J100:J108)</f>
        <v>115150</v>
      </c>
      <c r="K109" s="248"/>
      <c r="L109" s="248">
        <f>SUM(L100:L108)</f>
        <v>96000</v>
      </c>
      <c r="M109" s="248"/>
      <c r="N109" s="248">
        <f>SUM(N100:N108)</f>
        <v>76850</v>
      </c>
      <c r="O109" s="248"/>
      <c r="P109" s="248">
        <f>SUM(P100:P108)</f>
        <v>76850</v>
      </c>
    </row>
    <row r="110" spans="1:16" ht="21" customHeight="1">
      <c r="A110" s="203"/>
      <c r="B110" s="192" t="s">
        <v>338</v>
      </c>
      <c r="C110" s="192"/>
      <c r="D110" s="240"/>
      <c r="E110" s="203"/>
      <c r="F110" s="249">
        <f>F109*0.08</f>
        <v>13816</v>
      </c>
      <c r="G110" s="249"/>
      <c r="H110" s="249">
        <f>H109*0.08</f>
        <v>11896</v>
      </c>
      <c r="I110" s="249"/>
      <c r="J110" s="249">
        <f>J109*0.08</f>
        <v>9212</v>
      </c>
      <c r="K110" s="249"/>
      <c r="L110" s="249">
        <f>L109*0.08</f>
        <v>7680</v>
      </c>
      <c r="M110" s="249"/>
      <c r="N110" s="249">
        <f>N109*0.08</f>
        <v>6148</v>
      </c>
      <c r="O110" s="249"/>
      <c r="P110" s="249">
        <f>P109*0.08</f>
        <v>6148</v>
      </c>
    </row>
    <row r="111" spans="1:16" ht="21" customHeight="1">
      <c r="A111" s="197"/>
      <c r="B111" s="130" t="s">
        <v>132</v>
      </c>
      <c r="C111" s="130"/>
      <c r="D111" s="217"/>
      <c r="E111" s="220"/>
      <c r="F111" s="248">
        <f>F109+F110</f>
        <v>186516</v>
      </c>
      <c r="G111" s="248"/>
      <c r="H111" s="248">
        <f>H109+H110</f>
        <v>160596</v>
      </c>
      <c r="I111" s="248"/>
      <c r="J111" s="248">
        <f>J109+J110</f>
        <v>124362</v>
      </c>
      <c r="K111" s="248"/>
      <c r="L111" s="248">
        <f>L109+L110</f>
        <v>103680</v>
      </c>
      <c r="M111" s="248"/>
      <c r="N111" s="248">
        <f>N109+N110</f>
        <v>82998</v>
      </c>
      <c r="O111" s="248"/>
      <c r="P111" s="248">
        <f>P109+P110</f>
        <v>82998</v>
      </c>
    </row>
    <row r="112" spans="1:16" ht="21" customHeight="1">
      <c r="A112" s="197"/>
      <c r="B112" s="130" t="s">
        <v>133</v>
      </c>
      <c r="C112" s="130"/>
      <c r="D112" s="217"/>
      <c r="E112" s="220"/>
      <c r="F112" s="248">
        <f>F111/1</f>
        <v>186516</v>
      </c>
      <c r="G112" s="248"/>
      <c r="H112" s="248">
        <f>H111/6.25</f>
        <v>25695.360000000001</v>
      </c>
      <c r="I112" s="248"/>
      <c r="J112" s="248">
        <f>J111/25</f>
        <v>4974.4799999999996</v>
      </c>
      <c r="K112" s="248"/>
      <c r="L112" s="248">
        <f>L111/100</f>
        <v>1036.8</v>
      </c>
      <c r="M112" s="248"/>
      <c r="N112" s="248">
        <f>N111/900</f>
        <v>92.22</v>
      </c>
      <c r="O112" s="248"/>
      <c r="P112" s="248">
        <f>P111/3600</f>
        <v>23.055</v>
      </c>
    </row>
    <row r="114" spans="1:16" s="16" customFormat="1" ht="18.75" customHeight="1">
      <c r="A114" s="274" t="s">
        <v>323</v>
      </c>
      <c r="B114" s="245"/>
    </row>
    <row r="115" spans="1:16" ht="42" customHeight="1">
      <c r="A115" s="1036" t="s">
        <v>543</v>
      </c>
      <c r="B115" s="1036"/>
      <c r="C115" s="1036"/>
      <c r="D115" s="1036"/>
      <c r="E115" s="1036"/>
      <c r="F115" s="1036"/>
      <c r="G115" s="1036"/>
      <c r="H115" s="1036"/>
      <c r="I115" s="1036"/>
      <c r="J115" s="1036"/>
      <c r="K115" s="1036"/>
      <c r="L115" s="1036"/>
      <c r="M115" s="1036"/>
      <c r="N115" s="1036"/>
      <c r="O115" s="1036"/>
      <c r="P115" s="1036"/>
    </row>
  </sheetData>
  <mergeCells count="66">
    <mergeCell ref="C98:C99"/>
    <mergeCell ref="D98:D99"/>
    <mergeCell ref="A93:B93"/>
    <mergeCell ref="O79:P79"/>
    <mergeCell ref="O98:P98"/>
    <mergeCell ref="I98:J98"/>
    <mergeCell ref="G79:H79"/>
    <mergeCell ref="E98:F98"/>
    <mergeCell ref="G98:H98"/>
    <mergeCell ref="A94:P94"/>
    <mergeCell ref="K20:L20"/>
    <mergeCell ref="O54:P54"/>
    <mergeCell ref="M43:N43"/>
    <mergeCell ref="M5:N5"/>
    <mergeCell ref="M20:N20"/>
    <mergeCell ref="O5:P5"/>
    <mergeCell ref="O20:P20"/>
    <mergeCell ref="O43:P43"/>
    <mergeCell ref="D54:D55"/>
    <mergeCell ref="I20:J20"/>
    <mergeCell ref="M54:N54"/>
    <mergeCell ref="E54:F54"/>
    <mergeCell ref="G54:H54"/>
    <mergeCell ref="I54:J54"/>
    <mergeCell ref="K54:L54"/>
    <mergeCell ref="G43:H43"/>
    <mergeCell ref="I43:J43"/>
    <mergeCell ref="K43:L43"/>
    <mergeCell ref="D79:D80"/>
    <mergeCell ref="A74:P74"/>
    <mergeCell ref="G20:H20"/>
    <mergeCell ref="G5:H5"/>
    <mergeCell ref="I5:J5"/>
    <mergeCell ref="K5:L5"/>
    <mergeCell ref="E79:F79"/>
    <mergeCell ref="C5:C6"/>
    <mergeCell ref="D5:D6"/>
    <mergeCell ref="C20:C21"/>
    <mergeCell ref="C54:C55"/>
    <mergeCell ref="A73:H73"/>
    <mergeCell ref="E5:F5"/>
    <mergeCell ref="A79:A80"/>
    <mergeCell ref="B79:B80"/>
    <mergeCell ref="B54:B55"/>
    <mergeCell ref="A54:A55"/>
    <mergeCell ref="E20:F20"/>
    <mergeCell ref="A43:A44"/>
    <mergeCell ref="B43:B44"/>
    <mergeCell ref="D43:D44"/>
    <mergeCell ref="E43:F43"/>
    <mergeCell ref="A5:A6"/>
    <mergeCell ref="B5:B6"/>
    <mergeCell ref="A20:A21"/>
    <mergeCell ref="B20:B21"/>
    <mergeCell ref="C43:C44"/>
    <mergeCell ref="D20:D21"/>
    <mergeCell ref="A115:P115"/>
    <mergeCell ref="A1:N1"/>
    <mergeCell ref="K98:L98"/>
    <mergeCell ref="M98:N98"/>
    <mergeCell ref="I79:J79"/>
    <mergeCell ref="K79:L79"/>
    <mergeCell ref="M79:N79"/>
    <mergeCell ref="C79:C80"/>
    <mergeCell ref="A98:A99"/>
    <mergeCell ref="B98:B99"/>
  </mergeCells>
  <phoneticPr fontId="9" type="noConversion"/>
  <printOptions horizontalCentered="1"/>
  <pageMargins left="0.59055118110236204" right="0.62992125984252001" top="0.62992125984252001" bottom="0.62992125984252001" header="0.118110236220472" footer="0.39370078740157499"/>
  <pageSetup paperSize="9" scale="90" firstPageNumber="68" orientation="landscape" useFirstPageNumber="1" r:id="rId1"/>
  <headerFooter alignWithMargins="0">
    <oddFooter>&amp;C&amp;P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R208"/>
  <sheetViews>
    <sheetView topLeftCell="A113" zoomScale="86" zoomScaleNormal="86" workbookViewId="0">
      <selection activeCell="G121" sqref="G121:G122"/>
    </sheetView>
  </sheetViews>
  <sheetFormatPr defaultRowHeight="16.5"/>
  <cols>
    <col min="1" max="1" width="5.21875" customWidth="1"/>
    <col min="2" max="2" width="18.5546875" customWidth="1"/>
    <col min="3" max="3" width="6.6640625" customWidth="1"/>
    <col min="4" max="5" width="5.109375" customWidth="1"/>
    <col min="6" max="6" width="10.5546875" customWidth="1"/>
    <col min="7" max="7" width="9.109375" customWidth="1"/>
    <col min="8" max="8" width="6.33203125" customWidth="1"/>
    <col min="9" max="9" width="8.21875" customWidth="1"/>
    <col min="10" max="10" width="6" customWidth="1"/>
    <col min="12" max="12" width="6.5546875" customWidth="1"/>
    <col min="13" max="13" width="8.5546875" customWidth="1"/>
    <col min="14" max="14" width="6" customWidth="1"/>
    <col min="15" max="15" width="9.21875" customWidth="1"/>
    <col min="16" max="16" width="6.21875" customWidth="1"/>
    <col min="17" max="17" width="8.77734375" customWidth="1"/>
    <col min="18" max="18" width="6.77734375" customWidth="1"/>
  </cols>
  <sheetData>
    <row r="1" spans="1:17" ht="21.75" customHeight="1">
      <c r="A1" s="1035" t="s">
        <v>348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</row>
    <row r="2" spans="1:17">
      <c r="A2" s="129" t="s">
        <v>113</v>
      </c>
      <c r="B2" s="1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>
      <c r="A3" s="129" t="s">
        <v>114</v>
      </c>
      <c r="B3" s="17"/>
      <c r="C3" s="246" t="s">
        <v>349</v>
      </c>
      <c r="D3" s="157"/>
      <c r="E3" s="157"/>
      <c r="F3" s="280"/>
      <c r="G3" s="280"/>
      <c r="H3" s="159"/>
      <c r="I3" s="160"/>
      <c r="J3" s="159"/>
      <c r="K3" s="160"/>
      <c r="L3" s="159"/>
      <c r="M3" s="160"/>
      <c r="N3" s="159"/>
      <c r="O3" s="160"/>
      <c r="P3" s="159"/>
      <c r="Q3" s="160"/>
    </row>
    <row r="4" spans="1:17" ht="6.75" customHeight="1">
      <c r="A4" s="129"/>
      <c r="B4" s="164"/>
      <c r="C4" s="157"/>
      <c r="D4" s="157"/>
      <c r="E4" s="157"/>
      <c r="F4" s="280"/>
      <c r="G4" s="280"/>
      <c r="H4" s="159"/>
      <c r="I4" s="160"/>
      <c r="J4" s="159"/>
      <c r="K4" s="160"/>
      <c r="L4" s="159"/>
      <c r="M4" s="160"/>
      <c r="N4" s="159"/>
      <c r="O4" s="160"/>
      <c r="P4" s="159"/>
      <c r="Q4" s="160"/>
    </row>
    <row r="5" spans="1:17" ht="19.5" customHeight="1">
      <c r="A5" s="227" t="s">
        <v>268</v>
      </c>
      <c r="B5" s="246"/>
      <c r="C5" s="157"/>
      <c r="D5" s="157"/>
      <c r="E5" s="157"/>
      <c r="F5" s="280"/>
      <c r="G5" s="280"/>
      <c r="H5" s="159"/>
      <c r="I5" s="160"/>
      <c r="J5" s="159"/>
      <c r="K5" s="160"/>
      <c r="L5" s="159"/>
      <c r="M5" s="160"/>
      <c r="N5" s="159"/>
      <c r="O5" s="160"/>
      <c r="P5" s="1022" t="s">
        <v>350</v>
      </c>
      <c r="Q5" s="1022"/>
    </row>
    <row r="6" spans="1:17" ht="12.75" customHeight="1">
      <c r="A6" s="129"/>
      <c r="B6" s="246"/>
      <c r="C6" s="157"/>
      <c r="D6" s="157"/>
      <c r="E6" s="157"/>
      <c r="F6" s="280"/>
      <c r="G6" s="280"/>
      <c r="H6" s="159"/>
      <c r="I6" s="160"/>
      <c r="J6" s="159"/>
      <c r="K6" s="160"/>
      <c r="L6" s="159"/>
      <c r="M6" s="160"/>
      <c r="N6" s="159"/>
      <c r="O6" s="160"/>
      <c r="P6" s="159"/>
      <c r="Q6" s="164"/>
    </row>
    <row r="7" spans="1:17" ht="19.5" customHeight="1">
      <c r="A7" s="1048" t="s">
        <v>0</v>
      </c>
      <c r="B7" s="1018" t="s">
        <v>351</v>
      </c>
      <c r="C7" s="1041" t="s">
        <v>116</v>
      </c>
      <c r="D7" s="1043" t="s">
        <v>352</v>
      </c>
      <c r="E7" s="1018" t="s">
        <v>536</v>
      </c>
      <c r="F7" s="1023" t="s">
        <v>353</v>
      </c>
      <c r="G7" s="1023" t="s">
        <v>308</v>
      </c>
      <c r="H7" s="1025" t="s">
        <v>41</v>
      </c>
      <c r="I7" s="1026"/>
      <c r="J7" s="1025" t="s">
        <v>42</v>
      </c>
      <c r="K7" s="1026"/>
      <c r="L7" s="1025" t="s">
        <v>43</v>
      </c>
      <c r="M7" s="1026"/>
      <c r="N7" s="1025" t="s">
        <v>44</v>
      </c>
      <c r="O7" s="1026"/>
      <c r="P7" s="1025" t="s">
        <v>45</v>
      </c>
      <c r="Q7" s="1026"/>
    </row>
    <row r="8" spans="1:17" ht="31.5" customHeight="1">
      <c r="A8" s="1049"/>
      <c r="B8" s="1019"/>
      <c r="C8" s="1042"/>
      <c r="D8" s="1044"/>
      <c r="E8" s="1019"/>
      <c r="F8" s="1024"/>
      <c r="G8" s="1024"/>
      <c r="H8" s="247" t="s">
        <v>305</v>
      </c>
      <c r="I8" s="247" t="s">
        <v>306</v>
      </c>
      <c r="J8" s="247" t="s">
        <v>305</v>
      </c>
      <c r="K8" s="247" t="s">
        <v>306</v>
      </c>
      <c r="L8" s="247" t="s">
        <v>305</v>
      </c>
      <c r="M8" s="247" t="s">
        <v>306</v>
      </c>
      <c r="N8" s="247" t="s">
        <v>305</v>
      </c>
      <c r="O8" s="247" t="s">
        <v>306</v>
      </c>
      <c r="P8" s="247" t="s">
        <v>305</v>
      </c>
      <c r="Q8" s="247" t="s">
        <v>306</v>
      </c>
    </row>
    <row r="9" spans="1:17" s="44" customFormat="1" ht="14.45" customHeight="1">
      <c r="A9" s="757">
        <v>1</v>
      </c>
      <c r="B9" s="283" t="s">
        <v>354</v>
      </c>
      <c r="C9" s="762" t="s">
        <v>362</v>
      </c>
      <c r="D9" s="233"/>
      <c r="E9" s="233"/>
      <c r="F9" s="290"/>
      <c r="G9" s="290"/>
      <c r="H9" s="233"/>
      <c r="I9" s="291">
        <f>SUM(I11:I13)/100</f>
        <v>710</v>
      </c>
      <c r="J9" s="291"/>
      <c r="K9" s="291">
        <f>SUM(K11:K13)/100</f>
        <v>887.16</v>
      </c>
      <c r="L9" s="291"/>
      <c r="M9" s="291">
        <f>SUM(M11:M13)/100</f>
        <v>1180.28</v>
      </c>
      <c r="N9" s="291"/>
      <c r="O9" s="291">
        <f>SUM(O11:O13)/100</f>
        <v>1418.72</v>
      </c>
      <c r="P9" s="233"/>
      <c r="Q9" s="233"/>
    </row>
    <row r="10" spans="1:17" s="44" customFormat="1" ht="14.45" customHeight="1">
      <c r="A10" s="758"/>
      <c r="B10" s="285"/>
      <c r="C10" s="763"/>
      <c r="D10" s="205"/>
      <c r="E10" s="205"/>
      <c r="F10" s="292"/>
      <c r="G10" s="292"/>
      <c r="H10" s="205"/>
      <c r="I10" s="205"/>
      <c r="J10" s="205"/>
      <c r="K10" s="205"/>
      <c r="L10" s="205"/>
      <c r="M10" s="205"/>
      <c r="N10" s="205"/>
      <c r="O10" s="205"/>
      <c r="P10" s="205"/>
      <c r="Q10" s="205"/>
    </row>
    <row r="11" spans="1:17" ht="14.45" customHeight="1">
      <c r="A11" s="759"/>
      <c r="B11" s="287" t="s">
        <v>137</v>
      </c>
      <c r="C11" s="764" t="s">
        <v>142</v>
      </c>
      <c r="D11" s="133">
        <v>1</v>
      </c>
      <c r="E11" s="133"/>
      <c r="F11" s="200">
        <f>'Gia-TB'!E4</f>
        <v>150000000</v>
      </c>
      <c r="G11" s="200">
        <f>'Gia-TB'!F4</f>
        <v>60000</v>
      </c>
      <c r="H11" s="308">
        <v>1.1599999999999999</v>
      </c>
      <c r="I11" s="294">
        <f>G11*H11</f>
        <v>69600</v>
      </c>
      <c r="J11" s="293">
        <v>1.45</v>
      </c>
      <c r="K11" s="294">
        <f>G11*J11</f>
        <v>87000</v>
      </c>
      <c r="L11" s="293">
        <v>1.93</v>
      </c>
      <c r="M11" s="294">
        <f>G11*L11</f>
        <v>115800</v>
      </c>
      <c r="N11" s="293">
        <v>2.3199999999999998</v>
      </c>
      <c r="O11" s="294">
        <f>G11*N11</f>
        <v>139200</v>
      </c>
      <c r="P11" s="133"/>
      <c r="Q11" s="133"/>
    </row>
    <row r="12" spans="1:17" ht="15" customHeight="1">
      <c r="A12" s="759"/>
      <c r="B12" s="287" t="s">
        <v>139</v>
      </c>
      <c r="C12" s="764" t="s">
        <v>355</v>
      </c>
      <c r="D12" s="133"/>
      <c r="E12" s="133"/>
      <c r="F12" s="200">
        <f>'Gia-TB'!E6</f>
        <v>17000000</v>
      </c>
      <c r="G12" s="200">
        <f>'Gia-TB'!F6</f>
        <v>6800</v>
      </c>
      <c r="H12" s="308">
        <v>0.1</v>
      </c>
      <c r="I12" s="294">
        <f>G12*H12</f>
        <v>680</v>
      </c>
      <c r="J12" s="293">
        <v>0.12</v>
      </c>
      <c r="K12" s="294">
        <f t="shared" ref="K12:K42" si="0">G12*J12</f>
        <v>816</v>
      </c>
      <c r="L12" s="293">
        <v>0.16</v>
      </c>
      <c r="M12" s="294">
        <f>G12*L12</f>
        <v>1088</v>
      </c>
      <c r="N12" s="293">
        <v>0.19</v>
      </c>
      <c r="O12" s="294">
        <f t="shared" ref="O12:O42" si="1">G12*N12</f>
        <v>1292</v>
      </c>
      <c r="P12" s="133"/>
      <c r="Q12" s="133"/>
    </row>
    <row r="13" spans="1:17" ht="14.45" customHeight="1">
      <c r="A13" s="759"/>
      <c r="B13" s="287" t="s">
        <v>356</v>
      </c>
      <c r="C13" s="764" t="s">
        <v>147</v>
      </c>
      <c r="D13" s="133">
        <v>1</v>
      </c>
      <c r="E13" s="133">
        <v>0.35</v>
      </c>
      <c r="F13" s="200">
        <f>'Gia-TB'!E5</f>
        <v>15000000</v>
      </c>
      <c r="G13" s="200">
        <f>'Gia-TB'!F5</f>
        <v>6000</v>
      </c>
      <c r="H13" s="308">
        <v>0.12</v>
      </c>
      <c r="I13" s="294">
        <f>G13*H13</f>
        <v>720</v>
      </c>
      <c r="J13" s="293">
        <v>0.15</v>
      </c>
      <c r="K13" s="294">
        <f t="shared" si="0"/>
        <v>900</v>
      </c>
      <c r="L13" s="293">
        <v>0.19</v>
      </c>
      <c r="M13" s="294">
        <f>G13*L13</f>
        <v>1140</v>
      </c>
      <c r="N13" s="293">
        <v>0.23</v>
      </c>
      <c r="O13" s="294">
        <f t="shared" si="1"/>
        <v>1380</v>
      </c>
      <c r="P13" s="133"/>
      <c r="Q13" s="133"/>
    </row>
    <row r="14" spans="1:17" ht="14.45" customHeight="1">
      <c r="A14" s="760"/>
      <c r="B14" s="753" t="s">
        <v>186</v>
      </c>
      <c r="C14" s="765" t="s">
        <v>39</v>
      </c>
      <c r="D14" s="146"/>
      <c r="E14" s="146"/>
      <c r="F14" s="213"/>
      <c r="G14" s="213">
        <f>'Gia-DC'!E89</f>
        <v>1554</v>
      </c>
      <c r="H14" s="755">
        <v>0.35</v>
      </c>
      <c r="I14" s="756">
        <f>G14*H14</f>
        <v>543.9</v>
      </c>
      <c r="J14" s="755">
        <v>0.44</v>
      </c>
      <c r="K14" s="756">
        <f>G14*J14</f>
        <v>683.76</v>
      </c>
      <c r="L14" s="755">
        <v>0.56000000000000005</v>
      </c>
      <c r="M14" s="756">
        <f>G14*L14</f>
        <v>870.24000000000012</v>
      </c>
      <c r="N14" s="755">
        <v>0.68</v>
      </c>
      <c r="O14" s="756">
        <f>G14*N14</f>
        <v>1056.72</v>
      </c>
      <c r="P14" s="146"/>
      <c r="Q14" s="146"/>
    </row>
    <row r="15" spans="1:17" ht="14.45" customHeight="1">
      <c r="A15" s="749"/>
      <c r="B15" s="750"/>
      <c r="C15" s="749"/>
      <c r="D15" s="193"/>
      <c r="E15" s="193"/>
      <c r="F15" s="240"/>
      <c r="G15" s="240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7" s="44" customFormat="1" ht="14.45" customHeight="1">
      <c r="A16" s="758">
        <v>2</v>
      </c>
      <c r="B16" s="285" t="s">
        <v>357</v>
      </c>
      <c r="C16" s="763" t="s">
        <v>362</v>
      </c>
      <c r="D16" s="205"/>
      <c r="E16" s="205"/>
      <c r="F16" s="292"/>
      <c r="G16" s="292"/>
      <c r="H16" s="205"/>
      <c r="I16" s="310">
        <f>SUM(I18:I20)/100</f>
        <v>531.91999999999996</v>
      </c>
      <c r="J16" s="310"/>
      <c r="K16" s="310">
        <f t="shared" ref="K16:Q16" si="2">SUM(K18:K20)/100</f>
        <v>666.12</v>
      </c>
      <c r="L16" s="310"/>
      <c r="M16" s="310">
        <f t="shared" si="2"/>
        <v>888.36</v>
      </c>
      <c r="N16" s="310"/>
      <c r="O16" s="310">
        <f t="shared" si="2"/>
        <v>1198.04</v>
      </c>
      <c r="P16" s="310"/>
      <c r="Q16" s="310">
        <f t="shared" si="2"/>
        <v>1507.72</v>
      </c>
    </row>
    <row r="17" spans="1:17" s="44" customFormat="1" ht="14.45" customHeight="1">
      <c r="A17" s="758"/>
      <c r="B17" s="285"/>
      <c r="C17" s="763"/>
      <c r="D17" s="205"/>
      <c r="E17" s="205"/>
      <c r="F17" s="292"/>
      <c r="G17" s="292"/>
      <c r="H17" s="205"/>
      <c r="I17" s="205"/>
      <c r="J17" s="205"/>
      <c r="K17" s="205"/>
      <c r="L17" s="205"/>
      <c r="M17" s="205"/>
      <c r="N17" s="205"/>
      <c r="O17" s="205"/>
      <c r="P17" s="205"/>
      <c r="Q17" s="205"/>
    </row>
    <row r="18" spans="1:17" ht="14.45" customHeight="1">
      <c r="A18" s="759"/>
      <c r="B18" s="287" t="s">
        <v>137</v>
      </c>
      <c r="C18" s="764" t="s">
        <v>142</v>
      </c>
      <c r="D18" s="133">
        <v>1</v>
      </c>
      <c r="E18" s="133"/>
      <c r="F18" s="200">
        <f t="shared" ref="F18:G20" si="3">F11</f>
        <v>150000000</v>
      </c>
      <c r="G18" s="200">
        <f t="shared" si="3"/>
        <v>60000</v>
      </c>
      <c r="H18" s="293">
        <v>0.79</v>
      </c>
      <c r="I18" s="294">
        <f>G18*H18</f>
        <v>47400</v>
      </c>
      <c r="J18" s="293">
        <v>0.99</v>
      </c>
      <c r="K18" s="294">
        <f t="shared" si="0"/>
        <v>59400</v>
      </c>
      <c r="L18" s="293">
        <v>1.32</v>
      </c>
      <c r="M18" s="294">
        <f>G18*L18</f>
        <v>79200</v>
      </c>
      <c r="N18" s="293">
        <v>1.78</v>
      </c>
      <c r="O18" s="294">
        <f t="shared" si="1"/>
        <v>106800</v>
      </c>
      <c r="P18" s="293">
        <v>2.2400000000000002</v>
      </c>
      <c r="Q18" s="294">
        <f>G18*P18</f>
        <v>134400</v>
      </c>
    </row>
    <row r="19" spans="1:17" ht="14.45" customHeight="1">
      <c r="A19" s="759"/>
      <c r="B19" s="287" t="s">
        <v>139</v>
      </c>
      <c r="C19" s="764" t="s">
        <v>355</v>
      </c>
      <c r="D19" s="133"/>
      <c r="E19" s="133"/>
      <c r="F19" s="200">
        <f t="shared" si="3"/>
        <v>17000000</v>
      </c>
      <c r="G19" s="200">
        <f t="shared" si="3"/>
        <v>6800</v>
      </c>
      <c r="H19" s="293">
        <v>0.79</v>
      </c>
      <c r="I19" s="294">
        <f t="shared" ref="I19:I42" si="4">G19*H19</f>
        <v>5372</v>
      </c>
      <c r="J19" s="293">
        <v>0.99</v>
      </c>
      <c r="K19" s="294">
        <f t="shared" si="0"/>
        <v>6732</v>
      </c>
      <c r="L19" s="293">
        <v>1.32</v>
      </c>
      <c r="M19" s="294">
        <f>G19*L19</f>
        <v>8976</v>
      </c>
      <c r="N19" s="293">
        <v>1.78</v>
      </c>
      <c r="O19" s="294">
        <f t="shared" si="1"/>
        <v>12104</v>
      </c>
      <c r="P19" s="293">
        <v>2.2400000000000002</v>
      </c>
      <c r="Q19" s="294">
        <f t="shared" ref="Q19:Q28" si="5">G19*P19</f>
        <v>15232.000000000002</v>
      </c>
    </row>
    <row r="20" spans="1:17" ht="14.45" customHeight="1">
      <c r="A20" s="759"/>
      <c r="B20" s="287" t="s">
        <v>356</v>
      </c>
      <c r="C20" s="764" t="s">
        <v>147</v>
      </c>
      <c r="D20" s="133">
        <v>1</v>
      </c>
      <c r="E20" s="133">
        <v>0.35</v>
      </c>
      <c r="F20" s="200">
        <f t="shared" si="3"/>
        <v>15000000</v>
      </c>
      <c r="G20" s="200">
        <f t="shared" si="3"/>
        <v>6000</v>
      </c>
      <c r="H20" s="293">
        <v>7.0000000000000007E-2</v>
      </c>
      <c r="I20" s="294">
        <f t="shared" si="4"/>
        <v>420.00000000000006</v>
      </c>
      <c r="J20" s="293">
        <v>0.08</v>
      </c>
      <c r="K20" s="294">
        <f t="shared" si="0"/>
        <v>480</v>
      </c>
      <c r="L20" s="293">
        <v>0.11</v>
      </c>
      <c r="M20" s="294">
        <f>G20*L20</f>
        <v>660</v>
      </c>
      <c r="N20" s="293">
        <v>0.15</v>
      </c>
      <c r="O20" s="294">
        <f t="shared" si="1"/>
        <v>900</v>
      </c>
      <c r="P20" s="293">
        <v>0.19</v>
      </c>
      <c r="Q20" s="294">
        <f t="shared" si="5"/>
        <v>1140</v>
      </c>
    </row>
    <row r="21" spans="1:17" ht="14.45" customHeight="1">
      <c r="A21" s="760"/>
      <c r="B21" s="753" t="s">
        <v>186</v>
      </c>
      <c r="C21" s="765" t="s">
        <v>39</v>
      </c>
      <c r="D21" s="146"/>
      <c r="E21" s="146"/>
      <c r="F21" s="213"/>
      <c r="G21" s="213">
        <f>'Gia-DC'!E89</f>
        <v>1554</v>
      </c>
      <c r="H21" s="755">
        <v>0.2</v>
      </c>
      <c r="I21" s="756">
        <f t="shared" si="4"/>
        <v>310.8</v>
      </c>
      <c r="J21" s="755">
        <v>0.24</v>
      </c>
      <c r="K21" s="756">
        <f t="shared" si="0"/>
        <v>372.96</v>
      </c>
      <c r="L21" s="755">
        <v>0.32</v>
      </c>
      <c r="M21" s="756">
        <f>G21*L21</f>
        <v>497.28000000000003</v>
      </c>
      <c r="N21" s="146">
        <v>0.44</v>
      </c>
      <c r="O21" s="756">
        <f t="shared" si="1"/>
        <v>683.76</v>
      </c>
      <c r="P21" s="755">
        <v>0.56000000000000005</v>
      </c>
      <c r="Q21" s="756">
        <f t="shared" si="5"/>
        <v>870.24000000000012</v>
      </c>
    </row>
    <row r="22" spans="1:17" ht="14.45" customHeight="1">
      <c r="A22" s="749"/>
      <c r="B22" s="750"/>
      <c r="C22" s="749"/>
      <c r="D22" s="193"/>
      <c r="E22" s="193"/>
      <c r="F22" s="240"/>
      <c r="G22" s="240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7" s="44" customFormat="1" ht="14.45" customHeight="1">
      <c r="A23" s="757">
        <v>3</v>
      </c>
      <c r="B23" s="283" t="s">
        <v>358</v>
      </c>
      <c r="C23" s="762" t="s">
        <v>362</v>
      </c>
      <c r="D23" s="233"/>
      <c r="E23" s="233"/>
      <c r="F23" s="290"/>
      <c r="G23" s="290"/>
      <c r="H23" s="296"/>
      <c r="I23" s="291">
        <f>SUM(I25:I27)/100</f>
        <v>148.16</v>
      </c>
      <c r="J23" s="291"/>
      <c r="K23" s="291">
        <f t="shared" ref="K23:Q23" si="6">SUM(K25:K27)/100</f>
        <v>181.56000000000003</v>
      </c>
      <c r="L23" s="291"/>
      <c r="M23" s="291">
        <f t="shared" si="6"/>
        <v>242.28</v>
      </c>
      <c r="N23" s="291"/>
      <c r="O23" s="291">
        <f t="shared" si="6"/>
        <v>329.72</v>
      </c>
      <c r="P23" s="291"/>
      <c r="Q23" s="291">
        <f t="shared" si="6"/>
        <v>417.16</v>
      </c>
    </row>
    <row r="24" spans="1:17" s="44" customFormat="1" ht="14.45" customHeight="1">
      <c r="A24" s="758"/>
      <c r="B24" s="285"/>
      <c r="C24" s="763"/>
      <c r="D24" s="205"/>
      <c r="E24" s="205"/>
      <c r="F24" s="292"/>
      <c r="G24" s="292"/>
      <c r="H24" s="298"/>
      <c r="I24" s="298"/>
      <c r="J24" s="298"/>
      <c r="K24" s="298"/>
      <c r="L24" s="298"/>
      <c r="M24" s="298"/>
      <c r="N24" s="298"/>
      <c r="O24" s="298"/>
      <c r="P24" s="298"/>
      <c r="Q24" s="298"/>
    </row>
    <row r="25" spans="1:17" ht="14.45" customHeight="1">
      <c r="A25" s="759"/>
      <c r="B25" s="287" t="s">
        <v>137</v>
      </c>
      <c r="C25" s="764" t="s">
        <v>142</v>
      </c>
      <c r="D25" s="133">
        <v>1</v>
      </c>
      <c r="E25" s="133"/>
      <c r="F25" s="200">
        <f t="shared" ref="F25:G27" si="7">F18</f>
        <v>150000000</v>
      </c>
      <c r="G25" s="200">
        <f t="shared" si="7"/>
        <v>60000</v>
      </c>
      <c r="H25" s="293">
        <v>0.22</v>
      </c>
      <c r="I25" s="294">
        <f t="shared" si="4"/>
        <v>13200</v>
      </c>
      <c r="J25" s="293">
        <v>0.27</v>
      </c>
      <c r="K25" s="294">
        <f t="shared" si="0"/>
        <v>16200.000000000002</v>
      </c>
      <c r="L25" s="293">
        <v>0.36</v>
      </c>
      <c r="M25" s="294">
        <f>G25*L25</f>
        <v>21600</v>
      </c>
      <c r="N25" s="293">
        <v>0.49</v>
      </c>
      <c r="O25" s="294">
        <f t="shared" si="1"/>
        <v>29400</v>
      </c>
      <c r="P25" s="293">
        <v>0.62</v>
      </c>
      <c r="Q25" s="294">
        <f t="shared" si="5"/>
        <v>37200</v>
      </c>
    </row>
    <row r="26" spans="1:17" ht="14.45" customHeight="1">
      <c r="A26" s="759"/>
      <c r="B26" s="287" t="s">
        <v>139</v>
      </c>
      <c r="C26" s="764" t="s">
        <v>355</v>
      </c>
      <c r="D26" s="133"/>
      <c r="E26" s="133">
        <v>0.35</v>
      </c>
      <c r="F26" s="200">
        <f t="shared" si="7"/>
        <v>17000000</v>
      </c>
      <c r="G26" s="200">
        <f t="shared" si="7"/>
        <v>6800</v>
      </c>
      <c r="H26" s="293">
        <v>0.22</v>
      </c>
      <c r="I26" s="294">
        <f t="shared" si="4"/>
        <v>1496</v>
      </c>
      <c r="J26" s="293">
        <v>0.27</v>
      </c>
      <c r="K26" s="294">
        <f t="shared" si="0"/>
        <v>1836.0000000000002</v>
      </c>
      <c r="L26" s="293">
        <v>0.36</v>
      </c>
      <c r="M26" s="294">
        <f>G26*L26</f>
        <v>2448</v>
      </c>
      <c r="N26" s="293">
        <v>0.49</v>
      </c>
      <c r="O26" s="294">
        <f t="shared" si="1"/>
        <v>3332</v>
      </c>
      <c r="P26" s="293">
        <v>0.62</v>
      </c>
      <c r="Q26" s="294">
        <f t="shared" si="5"/>
        <v>4216</v>
      </c>
    </row>
    <row r="27" spans="1:17" ht="14.45" customHeight="1">
      <c r="A27" s="759"/>
      <c r="B27" s="287" t="s">
        <v>356</v>
      </c>
      <c r="C27" s="764" t="s">
        <v>147</v>
      </c>
      <c r="D27" s="133">
        <v>1</v>
      </c>
      <c r="E27" s="133"/>
      <c r="F27" s="200">
        <f t="shared" si="7"/>
        <v>15000000</v>
      </c>
      <c r="G27" s="200">
        <f t="shared" si="7"/>
        <v>6000</v>
      </c>
      <c r="H27" s="293">
        <v>0.02</v>
      </c>
      <c r="I27" s="294">
        <f t="shared" si="4"/>
        <v>120</v>
      </c>
      <c r="J27" s="293">
        <v>0.02</v>
      </c>
      <c r="K27" s="294">
        <f t="shared" si="0"/>
        <v>120</v>
      </c>
      <c r="L27" s="293">
        <v>0.03</v>
      </c>
      <c r="M27" s="294">
        <f>G27*L27</f>
        <v>180</v>
      </c>
      <c r="N27" s="293">
        <v>0.04</v>
      </c>
      <c r="O27" s="294">
        <f t="shared" si="1"/>
        <v>240</v>
      </c>
      <c r="P27" s="293">
        <v>0.05</v>
      </c>
      <c r="Q27" s="294">
        <f t="shared" si="5"/>
        <v>300</v>
      </c>
    </row>
    <row r="28" spans="1:17" ht="14.45" customHeight="1">
      <c r="A28" s="760"/>
      <c r="B28" s="753" t="s">
        <v>186</v>
      </c>
      <c r="C28" s="765" t="s">
        <v>39</v>
      </c>
      <c r="D28" s="146"/>
      <c r="E28" s="146"/>
      <c r="F28" s="213"/>
      <c r="G28" s="213">
        <f>'Gia-DC'!E89</f>
        <v>1554</v>
      </c>
      <c r="H28" s="754">
        <v>0.06</v>
      </c>
      <c r="I28" s="756">
        <f t="shared" si="4"/>
        <v>93.24</v>
      </c>
      <c r="J28" s="754">
        <v>0.06</v>
      </c>
      <c r="K28" s="756">
        <f t="shared" si="0"/>
        <v>93.24</v>
      </c>
      <c r="L28" s="754">
        <v>0.09</v>
      </c>
      <c r="M28" s="756">
        <f>G28*L28</f>
        <v>139.85999999999999</v>
      </c>
      <c r="N28" s="754">
        <v>0.12</v>
      </c>
      <c r="O28" s="756">
        <f t="shared" si="1"/>
        <v>186.48</v>
      </c>
      <c r="P28" s="754">
        <v>0.15</v>
      </c>
      <c r="Q28" s="756">
        <f t="shared" si="5"/>
        <v>233.1</v>
      </c>
    </row>
    <row r="29" spans="1:17" ht="14.45" customHeight="1">
      <c r="A29" s="749"/>
      <c r="B29" s="750"/>
      <c r="C29" s="749"/>
      <c r="D29" s="193"/>
      <c r="E29" s="193"/>
      <c r="F29" s="240"/>
      <c r="G29" s="240"/>
      <c r="H29" s="751"/>
      <c r="I29" s="751"/>
      <c r="J29" s="751"/>
      <c r="K29" s="751"/>
      <c r="L29" s="751"/>
      <c r="M29" s="751"/>
      <c r="N29" s="751"/>
      <c r="O29" s="751"/>
      <c r="P29" s="751"/>
      <c r="Q29" s="751"/>
    </row>
    <row r="30" spans="1:17" s="44" customFormat="1" ht="14.45" customHeight="1">
      <c r="A30" s="757">
        <v>4</v>
      </c>
      <c r="B30" s="283" t="s">
        <v>359</v>
      </c>
      <c r="C30" s="762" t="s">
        <v>362</v>
      </c>
      <c r="D30" s="233"/>
      <c r="E30" s="233"/>
      <c r="F30" s="290"/>
      <c r="G30" s="290"/>
      <c r="H30" s="290"/>
      <c r="I30" s="290">
        <f>SUM(I32:I34)/100</f>
        <v>128.12</v>
      </c>
      <c r="J30" s="290"/>
      <c r="K30" s="290">
        <f>SUM(K32:K34)/100</f>
        <v>168.2</v>
      </c>
      <c r="L30" s="290"/>
      <c r="M30" s="290">
        <f>SUM(M32:M34)/100</f>
        <v>208.88</v>
      </c>
      <c r="N30" s="290"/>
      <c r="O30" s="290">
        <f>SUM(O32:O34)/100</f>
        <v>262.32</v>
      </c>
      <c r="P30" s="290"/>
      <c r="Q30" s="290">
        <f>SUM(Q32:Q34)/100</f>
        <v>369.8</v>
      </c>
    </row>
    <row r="31" spans="1:17" s="44" customFormat="1" ht="14.45" customHeight="1">
      <c r="A31" s="758"/>
      <c r="B31" s="285"/>
      <c r="C31" s="763"/>
      <c r="D31" s="205"/>
      <c r="E31" s="205"/>
      <c r="F31" s="292"/>
      <c r="G31" s="292"/>
      <c r="H31" s="292"/>
      <c r="I31" s="292"/>
      <c r="J31" s="292"/>
      <c r="K31" s="298"/>
      <c r="L31" s="298"/>
      <c r="M31" s="298"/>
      <c r="N31" s="298"/>
      <c r="O31" s="298"/>
      <c r="P31" s="298"/>
      <c r="Q31" s="298"/>
    </row>
    <row r="32" spans="1:17" ht="14.45" customHeight="1">
      <c r="A32" s="759"/>
      <c r="B32" s="287" t="s">
        <v>137</v>
      </c>
      <c r="C32" s="764" t="s">
        <v>142</v>
      </c>
      <c r="D32" s="133">
        <v>1</v>
      </c>
      <c r="E32" s="133"/>
      <c r="F32" s="200">
        <f t="shared" ref="F32:G34" si="8">F25</f>
        <v>150000000</v>
      </c>
      <c r="G32" s="200">
        <f t="shared" si="8"/>
        <v>60000</v>
      </c>
      <c r="H32" s="293">
        <v>0.19</v>
      </c>
      <c r="I32" s="294">
        <f t="shared" si="4"/>
        <v>11400</v>
      </c>
      <c r="J32" s="293">
        <v>0.25</v>
      </c>
      <c r="K32" s="294">
        <f t="shared" si="0"/>
        <v>15000</v>
      </c>
      <c r="L32" s="293">
        <v>0.31</v>
      </c>
      <c r="M32" s="294">
        <f>G32*L32</f>
        <v>18600</v>
      </c>
      <c r="N32" s="293">
        <v>0.39</v>
      </c>
      <c r="O32" s="294">
        <f>G32*N32</f>
        <v>23400</v>
      </c>
      <c r="P32" s="293">
        <v>0.55000000000000004</v>
      </c>
      <c r="Q32" s="294">
        <f>P32*G32</f>
        <v>33000</v>
      </c>
    </row>
    <row r="33" spans="1:17" ht="14.45" customHeight="1">
      <c r="A33" s="759"/>
      <c r="B33" s="287" t="s">
        <v>139</v>
      </c>
      <c r="C33" s="764" t="s">
        <v>355</v>
      </c>
      <c r="D33" s="133"/>
      <c r="E33" s="133"/>
      <c r="F33" s="200">
        <f t="shared" si="8"/>
        <v>17000000</v>
      </c>
      <c r="G33" s="200">
        <f t="shared" si="8"/>
        <v>6800</v>
      </c>
      <c r="H33" s="293">
        <v>0.19</v>
      </c>
      <c r="I33" s="294">
        <f t="shared" si="4"/>
        <v>1292</v>
      </c>
      <c r="J33" s="293">
        <v>0.25</v>
      </c>
      <c r="K33" s="294">
        <f t="shared" si="0"/>
        <v>1700</v>
      </c>
      <c r="L33" s="293">
        <v>0.31</v>
      </c>
      <c r="M33" s="294">
        <f>G33*L33</f>
        <v>2108</v>
      </c>
      <c r="N33" s="293">
        <v>0.39</v>
      </c>
      <c r="O33" s="294">
        <f t="shared" si="1"/>
        <v>2652</v>
      </c>
      <c r="P33" s="293">
        <v>0.55000000000000004</v>
      </c>
      <c r="Q33" s="294">
        <f>P33*G33</f>
        <v>3740.0000000000005</v>
      </c>
    </row>
    <row r="34" spans="1:17" ht="14.45" customHeight="1">
      <c r="A34" s="759"/>
      <c r="B34" s="287" t="s">
        <v>356</v>
      </c>
      <c r="C34" s="764" t="s">
        <v>147</v>
      </c>
      <c r="D34" s="133">
        <v>1</v>
      </c>
      <c r="E34" s="133">
        <v>0.35</v>
      </c>
      <c r="F34" s="200">
        <f t="shared" si="8"/>
        <v>15000000</v>
      </c>
      <c r="G34" s="200">
        <f t="shared" si="8"/>
        <v>6000</v>
      </c>
      <c r="H34" s="293">
        <v>0.02</v>
      </c>
      <c r="I34" s="294">
        <f t="shared" si="4"/>
        <v>120</v>
      </c>
      <c r="J34" s="293">
        <v>0.02</v>
      </c>
      <c r="K34" s="294">
        <f t="shared" si="0"/>
        <v>120</v>
      </c>
      <c r="L34" s="293">
        <v>0.03</v>
      </c>
      <c r="M34" s="294">
        <f>G34*L34</f>
        <v>180</v>
      </c>
      <c r="N34" s="293">
        <v>0.03</v>
      </c>
      <c r="O34" s="294">
        <f t="shared" si="1"/>
        <v>180</v>
      </c>
      <c r="P34" s="293">
        <v>0.04</v>
      </c>
      <c r="Q34" s="294">
        <f>P34*G34</f>
        <v>240</v>
      </c>
    </row>
    <row r="35" spans="1:17" ht="14.45" customHeight="1">
      <c r="A35" s="760"/>
      <c r="B35" s="753" t="s">
        <v>186</v>
      </c>
      <c r="C35" s="765" t="s">
        <v>39</v>
      </c>
      <c r="D35" s="146"/>
      <c r="E35" s="146"/>
      <c r="F35" s="213"/>
      <c r="G35" s="213">
        <f>'Gia-DC'!E89</f>
        <v>1554</v>
      </c>
      <c r="H35" s="754">
        <v>0.06</v>
      </c>
      <c r="I35" s="756">
        <f t="shared" si="4"/>
        <v>93.24</v>
      </c>
      <c r="J35" s="754">
        <v>0.08</v>
      </c>
      <c r="K35" s="756">
        <f t="shared" si="0"/>
        <v>124.32000000000001</v>
      </c>
      <c r="L35" s="754">
        <v>0.09</v>
      </c>
      <c r="M35" s="756">
        <f>G35*L35</f>
        <v>139.85999999999999</v>
      </c>
      <c r="N35" s="754">
        <v>0.1</v>
      </c>
      <c r="O35" s="756">
        <f t="shared" si="1"/>
        <v>155.4</v>
      </c>
      <c r="P35" s="754">
        <v>0.12</v>
      </c>
      <c r="Q35" s="756">
        <f>P35*G35</f>
        <v>186.48</v>
      </c>
    </row>
    <row r="36" spans="1:17" ht="14.45" customHeight="1">
      <c r="A36" s="749"/>
      <c r="B36" s="750"/>
      <c r="C36" s="749"/>
      <c r="D36" s="193"/>
      <c r="E36" s="193"/>
      <c r="F36" s="240"/>
      <c r="G36" s="240"/>
      <c r="H36" s="751"/>
      <c r="I36" s="751"/>
      <c r="J36" s="751"/>
      <c r="K36" s="751"/>
      <c r="L36" s="751"/>
      <c r="M36" s="751"/>
      <c r="N36" s="751"/>
      <c r="O36" s="751"/>
      <c r="P36" s="751"/>
      <c r="Q36" s="751"/>
    </row>
    <row r="37" spans="1:17" s="44" customFormat="1" ht="14.45" customHeight="1">
      <c r="A37" s="757">
        <v>5</v>
      </c>
      <c r="B37" s="283" t="s">
        <v>360</v>
      </c>
      <c r="C37" s="762" t="s">
        <v>362</v>
      </c>
      <c r="D37" s="233"/>
      <c r="E37" s="233"/>
      <c r="F37" s="290"/>
      <c r="G37" s="290"/>
      <c r="H37" s="301"/>
      <c r="I37" s="291">
        <f>SUM(I39:I41)/100</f>
        <v>329.72</v>
      </c>
      <c r="J37" s="291"/>
      <c r="K37" s="291">
        <f>SUM(K39:K41)/100</f>
        <v>377.08</v>
      </c>
      <c r="L37" s="301"/>
      <c r="M37" s="291">
        <f>SUM(M39:M41)/100</f>
        <v>497.92</v>
      </c>
      <c r="N37" s="291"/>
      <c r="O37" s="291">
        <f>SUM(O39:O41)/100</f>
        <v>551.96</v>
      </c>
      <c r="P37" s="301"/>
      <c r="Q37" s="301"/>
    </row>
    <row r="38" spans="1:17" s="44" customFormat="1" ht="14.45" customHeight="1">
      <c r="A38" s="758"/>
      <c r="B38" s="285"/>
      <c r="C38" s="763"/>
      <c r="D38" s="205"/>
      <c r="E38" s="205"/>
      <c r="F38" s="292"/>
      <c r="G38" s="292"/>
      <c r="H38" s="298"/>
      <c r="I38" s="298"/>
      <c r="J38" s="298"/>
      <c r="K38" s="298"/>
      <c r="L38" s="298"/>
      <c r="M38" s="298"/>
      <c r="N38" s="298"/>
      <c r="O38" s="298"/>
      <c r="P38" s="298"/>
      <c r="Q38" s="298"/>
    </row>
    <row r="39" spans="1:17" ht="14.45" customHeight="1">
      <c r="A39" s="759"/>
      <c r="B39" s="287" t="s">
        <v>137</v>
      </c>
      <c r="C39" s="764" t="s">
        <v>142</v>
      </c>
      <c r="D39" s="133">
        <v>1</v>
      </c>
      <c r="E39" s="133"/>
      <c r="F39" s="200">
        <f t="shared" ref="F39:G41" si="9">F32</f>
        <v>150000000</v>
      </c>
      <c r="G39" s="200">
        <f t="shared" si="9"/>
        <v>60000</v>
      </c>
      <c r="H39" s="293">
        <v>0.49</v>
      </c>
      <c r="I39" s="294">
        <f t="shared" si="4"/>
        <v>29400</v>
      </c>
      <c r="J39" s="293">
        <v>0.56000000000000005</v>
      </c>
      <c r="K39" s="294">
        <f t="shared" si="0"/>
        <v>33600</v>
      </c>
      <c r="L39" s="293">
        <v>0.74</v>
      </c>
      <c r="M39" s="294">
        <f>G39*L39</f>
        <v>44400</v>
      </c>
      <c r="N39" s="293">
        <v>0.82</v>
      </c>
      <c r="O39" s="294">
        <f t="shared" si="1"/>
        <v>49200</v>
      </c>
      <c r="P39" s="293"/>
      <c r="Q39" s="293"/>
    </row>
    <row r="40" spans="1:17" ht="14.45" customHeight="1">
      <c r="A40" s="759"/>
      <c r="B40" s="287" t="s">
        <v>139</v>
      </c>
      <c r="C40" s="764" t="s">
        <v>355</v>
      </c>
      <c r="D40" s="133"/>
      <c r="E40" s="133"/>
      <c r="F40" s="200">
        <f t="shared" si="9"/>
        <v>17000000</v>
      </c>
      <c r="G40" s="200">
        <f t="shared" si="9"/>
        <v>6800</v>
      </c>
      <c r="H40" s="293">
        <v>0.49</v>
      </c>
      <c r="I40" s="294">
        <f t="shared" si="4"/>
        <v>3332</v>
      </c>
      <c r="J40" s="293">
        <v>0.56000000000000005</v>
      </c>
      <c r="K40" s="294">
        <f t="shared" si="0"/>
        <v>3808.0000000000005</v>
      </c>
      <c r="L40" s="293">
        <v>0.74</v>
      </c>
      <c r="M40" s="294">
        <f>G40*L40</f>
        <v>5032</v>
      </c>
      <c r="N40" s="293">
        <v>0.82</v>
      </c>
      <c r="O40" s="294">
        <f t="shared" si="1"/>
        <v>5576</v>
      </c>
      <c r="P40" s="293"/>
      <c r="Q40" s="293"/>
    </row>
    <row r="41" spans="1:17" ht="14.45" customHeight="1">
      <c r="A41" s="759"/>
      <c r="B41" s="287" t="s">
        <v>356</v>
      </c>
      <c r="C41" s="764" t="s">
        <v>147</v>
      </c>
      <c r="D41" s="133">
        <v>1</v>
      </c>
      <c r="E41" s="133">
        <v>0.35</v>
      </c>
      <c r="F41" s="200">
        <f t="shared" si="9"/>
        <v>15000000</v>
      </c>
      <c r="G41" s="200">
        <f t="shared" si="9"/>
        <v>6000</v>
      </c>
      <c r="H41" s="293">
        <v>0.04</v>
      </c>
      <c r="I41" s="294">
        <f t="shared" si="4"/>
        <v>240</v>
      </c>
      <c r="J41" s="293">
        <v>0.05</v>
      </c>
      <c r="K41" s="294">
        <f t="shared" si="0"/>
        <v>300</v>
      </c>
      <c r="L41" s="293">
        <v>0.06</v>
      </c>
      <c r="M41" s="294">
        <f>G41*L41</f>
        <v>360</v>
      </c>
      <c r="N41" s="293">
        <v>7.0000000000000007E-2</v>
      </c>
      <c r="O41" s="294">
        <f t="shared" si="1"/>
        <v>420.00000000000006</v>
      </c>
      <c r="P41" s="293"/>
      <c r="Q41" s="293"/>
    </row>
    <row r="42" spans="1:17" ht="14.45" customHeight="1">
      <c r="A42" s="760"/>
      <c r="B42" s="753" t="s">
        <v>186</v>
      </c>
      <c r="C42" s="765" t="s">
        <v>39</v>
      </c>
      <c r="D42" s="146"/>
      <c r="E42" s="146"/>
      <c r="F42" s="768"/>
      <c r="G42" s="213">
        <f>'Gia-DC'!E89</f>
        <v>1554</v>
      </c>
      <c r="H42" s="754">
        <v>0.12</v>
      </c>
      <c r="I42" s="756">
        <f t="shared" si="4"/>
        <v>186.48</v>
      </c>
      <c r="J42" s="754">
        <v>0.15</v>
      </c>
      <c r="K42" s="756">
        <f t="shared" si="0"/>
        <v>233.1</v>
      </c>
      <c r="L42" s="754">
        <v>0.18</v>
      </c>
      <c r="M42" s="756">
        <f>G42*L42</f>
        <v>279.71999999999997</v>
      </c>
      <c r="N42" s="754">
        <v>0.21</v>
      </c>
      <c r="O42" s="756">
        <f t="shared" si="1"/>
        <v>326.33999999999997</v>
      </c>
      <c r="P42" s="754"/>
      <c r="Q42" s="754"/>
    </row>
    <row r="43" spans="1:17" ht="14.45" customHeight="1">
      <c r="A43" s="749"/>
      <c r="B43" s="750"/>
      <c r="C43" s="749"/>
      <c r="D43" s="193"/>
      <c r="E43" s="193"/>
      <c r="F43" s="767"/>
      <c r="G43" s="240"/>
      <c r="H43" s="751"/>
      <c r="I43" s="751"/>
      <c r="J43" s="751"/>
      <c r="K43" s="751"/>
      <c r="L43" s="751"/>
      <c r="M43" s="751"/>
      <c r="N43" s="751"/>
      <c r="O43" s="751"/>
      <c r="P43" s="751"/>
      <c r="Q43" s="751"/>
    </row>
    <row r="44" spans="1:17" s="44" customFormat="1" ht="14.45" customHeight="1">
      <c r="A44" s="757">
        <v>6</v>
      </c>
      <c r="B44" s="283" t="s">
        <v>487</v>
      </c>
      <c r="C44" s="762" t="s">
        <v>362</v>
      </c>
      <c r="D44" s="233"/>
      <c r="E44" s="233"/>
      <c r="F44" s="290"/>
      <c r="G44" s="290"/>
      <c r="H44" s="301"/>
      <c r="I44" s="291">
        <f>SUM(I46:I48)/100</f>
        <v>497.92</v>
      </c>
      <c r="J44" s="291"/>
      <c r="K44" s="291">
        <f>SUM(K46:K48)/100</f>
        <v>565.91999999999996</v>
      </c>
      <c r="L44" s="301"/>
      <c r="M44" s="291">
        <f>SUM(M46:M48)/100</f>
        <v>746.88</v>
      </c>
      <c r="N44" s="291"/>
      <c r="O44" s="291">
        <f>SUM(O46:O48)/100</f>
        <v>828.24</v>
      </c>
      <c r="P44" s="301"/>
      <c r="Q44" s="301"/>
    </row>
    <row r="45" spans="1:17" s="44" customFormat="1" ht="14.45" customHeight="1">
      <c r="A45" s="758"/>
      <c r="B45" s="285"/>
      <c r="C45" s="763"/>
      <c r="D45" s="205"/>
      <c r="E45" s="205"/>
      <c r="F45" s="292"/>
      <c r="G45" s="292"/>
      <c r="H45" s="298"/>
      <c r="I45" s="298"/>
      <c r="J45" s="298"/>
      <c r="K45" s="298"/>
      <c r="L45" s="298"/>
      <c r="M45" s="298"/>
      <c r="N45" s="298"/>
      <c r="O45" s="298"/>
      <c r="P45" s="298"/>
      <c r="Q45" s="298"/>
    </row>
    <row r="46" spans="1:17" ht="14.45" customHeight="1">
      <c r="A46" s="759"/>
      <c r="B46" s="287" t="s">
        <v>137</v>
      </c>
      <c r="C46" s="764" t="s">
        <v>142</v>
      </c>
      <c r="D46" s="133">
        <v>1</v>
      </c>
      <c r="E46" s="133"/>
      <c r="F46" s="200">
        <f t="shared" ref="F46:G48" si="10">F39</f>
        <v>150000000</v>
      </c>
      <c r="G46" s="200">
        <f t="shared" si="10"/>
        <v>60000</v>
      </c>
      <c r="H46" s="293">
        <v>0.74</v>
      </c>
      <c r="I46" s="294">
        <f>G46*H46</f>
        <v>44400</v>
      </c>
      <c r="J46" s="293">
        <v>0.84</v>
      </c>
      <c r="K46" s="294">
        <f>G46*J46</f>
        <v>50400</v>
      </c>
      <c r="L46" s="293">
        <v>1.1100000000000001</v>
      </c>
      <c r="M46" s="294">
        <f>G46*L46</f>
        <v>66600</v>
      </c>
      <c r="N46" s="293">
        <v>1.23</v>
      </c>
      <c r="O46" s="294">
        <f>G46*N46</f>
        <v>73800</v>
      </c>
      <c r="P46" s="293"/>
      <c r="Q46" s="293"/>
    </row>
    <row r="47" spans="1:17" ht="14.45" customHeight="1">
      <c r="A47" s="759"/>
      <c r="B47" s="287" t="s">
        <v>139</v>
      </c>
      <c r="C47" s="764" t="s">
        <v>355</v>
      </c>
      <c r="D47" s="133"/>
      <c r="E47" s="133"/>
      <c r="F47" s="200">
        <f t="shared" si="10"/>
        <v>17000000</v>
      </c>
      <c r="G47" s="200">
        <f t="shared" si="10"/>
        <v>6800</v>
      </c>
      <c r="H47" s="293">
        <v>0.74</v>
      </c>
      <c r="I47" s="294">
        <f>G47*H47</f>
        <v>5032</v>
      </c>
      <c r="J47" s="293">
        <v>0.84</v>
      </c>
      <c r="K47" s="294">
        <f>G47*J47</f>
        <v>5712</v>
      </c>
      <c r="L47" s="293">
        <v>1.1100000000000001</v>
      </c>
      <c r="M47" s="294">
        <f>G47*L47</f>
        <v>7548.0000000000009</v>
      </c>
      <c r="N47" s="293">
        <v>1.23</v>
      </c>
      <c r="O47" s="294">
        <f>G47*N47</f>
        <v>8364</v>
      </c>
      <c r="P47" s="293"/>
      <c r="Q47" s="293"/>
    </row>
    <row r="48" spans="1:17" ht="14.45" customHeight="1">
      <c r="A48" s="759"/>
      <c r="B48" s="287" t="s">
        <v>356</v>
      </c>
      <c r="C48" s="764" t="s">
        <v>147</v>
      </c>
      <c r="D48" s="133">
        <v>1</v>
      </c>
      <c r="E48" s="133">
        <v>0.35</v>
      </c>
      <c r="F48" s="200">
        <f t="shared" si="10"/>
        <v>15000000</v>
      </c>
      <c r="G48" s="200">
        <f t="shared" si="10"/>
        <v>6000</v>
      </c>
      <c r="H48" s="293">
        <v>0.06</v>
      </c>
      <c r="I48" s="294">
        <f>G48*H48</f>
        <v>360</v>
      </c>
      <c r="J48" s="293">
        <v>0.08</v>
      </c>
      <c r="K48" s="294">
        <f>G48*J48</f>
        <v>480</v>
      </c>
      <c r="L48" s="293">
        <v>0.09</v>
      </c>
      <c r="M48" s="294">
        <f>G48*L48</f>
        <v>540</v>
      </c>
      <c r="N48" s="293">
        <v>0.11</v>
      </c>
      <c r="O48" s="294">
        <f>G48*N48</f>
        <v>660</v>
      </c>
      <c r="P48" s="293"/>
      <c r="Q48" s="293"/>
    </row>
    <row r="49" spans="1:17" ht="14.45" customHeight="1">
      <c r="A49" s="761"/>
      <c r="B49" s="289" t="s">
        <v>186</v>
      </c>
      <c r="C49" s="766" t="s">
        <v>39</v>
      </c>
      <c r="D49" s="140"/>
      <c r="E49" s="140"/>
      <c r="F49" s="299"/>
      <c r="G49" s="258">
        <f>'Gia-DC'!E89</f>
        <v>1554</v>
      </c>
      <c r="H49" s="300">
        <v>0.16</v>
      </c>
      <c r="I49" s="748">
        <f>G49*H49</f>
        <v>248.64000000000001</v>
      </c>
      <c r="J49" s="300">
        <v>0.2</v>
      </c>
      <c r="K49" s="748">
        <f>G49*J49</f>
        <v>310.8</v>
      </c>
      <c r="L49" s="300">
        <v>0.23</v>
      </c>
      <c r="M49" s="748">
        <f>G49*L49</f>
        <v>357.42</v>
      </c>
      <c r="N49" s="300">
        <v>0.27</v>
      </c>
      <c r="O49" s="748">
        <f>G49*N49</f>
        <v>419.58000000000004</v>
      </c>
      <c r="P49" s="300"/>
      <c r="Q49" s="300"/>
    </row>
    <row r="50" spans="1:17" ht="14.45" customHeight="1">
      <c r="A50" s="1045" t="s">
        <v>539</v>
      </c>
      <c r="B50" s="1051"/>
      <c r="C50" s="305"/>
      <c r="D50" s="157"/>
      <c r="E50" s="157"/>
      <c r="F50" s="548"/>
      <c r="G50" s="280"/>
      <c r="H50" s="549"/>
      <c r="I50" s="779"/>
      <c r="J50" s="549"/>
      <c r="K50" s="779"/>
      <c r="L50" s="549"/>
      <c r="M50" s="779"/>
      <c r="N50" s="549"/>
      <c r="O50" s="779"/>
      <c r="P50" s="549"/>
      <c r="Q50" s="549"/>
    </row>
    <row r="51" spans="1:17">
      <c r="A51" s="1052" t="s">
        <v>551</v>
      </c>
      <c r="B51" s="1052"/>
      <c r="C51" s="1052"/>
      <c r="D51" s="1052"/>
      <c r="E51" s="1052"/>
      <c r="F51" s="1052"/>
      <c r="G51" s="1052"/>
      <c r="H51" s="1052"/>
      <c r="I51" s="1052"/>
      <c r="J51" s="549"/>
      <c r="K51" s="779"/>
      <c r="L51" s="549"/>
      <c r="M51" s="779"/>
      <c r="N51" s="549"/>
      <c r="O51" s="779"/>
      <c r="P51" s="549"/>
      <c r="Q51" s="549"/>
    </row>
    <row r="52" spans="1:17" ht="34.9" customHeight="1">
      <c r="A52" s="1046" t="s">
        <v>550</v>
      </c>
      <c r="B52" s="1046"/>
      <c r="C52" s="1046"/>
      <c r="D52" s="1046"/>
      <c r="E52" s="1046"/>
      <c r="F52" s="1046"/>
      <c r="G52" s="1046"/>
      <c r="H52" s="1046"/>
      <c r="I52" s="1046"/>
      <c r="J52" s="1046"/>
      <c r="K52" s="1046"/>
      <c r="L52" s="1046"/>
      <c r="M52" s="1046"/>
      <c r="N52" s="1046"/>
      <c r="O52" s="1046"/>
      <c r="P52" s="1046"/>
      <c r="Q52" s="1046"/>
    </row>
    <row r="53" spans="1:17" ht="14.45" customHeight="1">
      <c r="A53" s="305"/>
      <c r="B53" s="304"/>
      <c r="C53" s="305"/>
      <c r="D53" s="157"/>
      <c r="E53" s="157"/>
      <c r="F53" s="548"/>
      <c r="G53" s="280"/>
      <c r="H53" s="549"/>
      <c r="I53" s="779"/>
      <c r="J53" s="549"/>
      <c r="K53" s="779"/>
      <c r="L53" s="549"/>
      <c r="M53" s="779"/>
      <c r="N53" s="549"/>
      <c r="O53" s="779"/>
      <c r="P53" s="549"/>
      <c r="Q53" s="549"/>
    </row>
    <row r="54" spans="1:17" ht="18" customHeight="1">
      <c r="A54" s="45"/>
      <c r="B54" s="46"/>
      <c r="C54" s="45"/>
      <c r="D54" s="6"/>
      <c r="E54" s="6"/>
      <c r="F54" s="37"/>
      <c r="G54" s="37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22.5" customHeight="1">
      <c r="A55" s="227" t="s">
        <v>279</v>
      </c>
      <c r="B55" s="780"/>
      <c r="C55" s="157"/>
      <c r="D55" s="164"/>
      <c r="E55" s="164"/>
      <c r="F55" s="280"/>
      <c r="G55" s="280"/>
      <c r="H55" s="159"/>
      <c r="I55" s="160"/>
      <c r="J55" s="159"/>
      <c r="K55" s="160"/>
      <c r="L55" s="159"/>
      <c r="M55" s="160"/>
      <c r="N55" s="159"/>
      <c r="O55" s="160"/>
      <c r="P55" s="1022" t="s">
        <v>350</v>
      </c>
      <c r="Q55" s="1022"/>
    </row>
    <row r="56" spans="1:17">
      <c r="A56" s="40"/>
      <c r="B56" s="781"/>
      <c r="C56" s="6"/>
      <c r="D56" s="6"/>
      <c r="E56" s="6"/>
      <c r="F56" s="37"/>
      <c r="G56" s="37"/>
      <c r="H56" s="3"/>
      <c r="I56" s="38"/>
      <c r="J56" s="3"/>
      <c r="K56" s="38"/>
      <c r="L56" s="3"/>
      <c r="M56" s="38"/>
      <c r="N56" s="3"/>
      <c r="O56" s="38"/>
      <c r="P56" s="3"/>
    </row>
    <row r="57" spans="1:17" ht="18.75" customHeight="1">
      <c r="A57" s="1048" t="s">
        <v>0</v>
      </c>
      <c r="B57" s="1018" t="s">
        <v>351</v>
      </c>
      <c r="C57" s="1041" t="s">
        <v>116</v>
      </c>
      <c r="D57" s="1043" t="s">
        <v>352</v>
      </c>
      <c r="E57" s="1018" t="s">
        <v>537</v>
      </c>
      <c r="F57" s="1023" t="s">
        <v>353</v>
      </c>
      <c r="G57" s="1023" t="s">
        <v>308</v>
      </c>
      <c r="H57" s="1025" t="s">
        <v>41</v>
      </c>
      <c r="I57" s="1026"/>
      <c r="J57" s="1025" t="s">
        <v>42</v>
      </c>
      <c r="K57" s="1026"/>
      <c r="L57" s="1025" t="s">
        <v>43</v>
      </c>
      <c r="M57" s="1026"/>
      <c r="N57" s="1025" t="s">
        <v>44</v>
      </c>
      <c r="O57" s="1026"/>
      <c r="P57" s="1025" t="s">
        <v>45</v>
      </c>
      <c r="Q57" s="1026"/>
    </row>
    <row r="58" spans="1:17" ht="33" customHeight="1">
      <c r="A58" s="1049"/>
      <c r="B58" s="1019"/>
      <c r="C58" s="1042"/>
      <c r="D58" s="1044"/>
      <c r="E58" s="1019"/>
      <c r="F58" s="1024"/>
      <c r="G58" s="1024"/>
      <c r="H58" s="247" t="s">
        <v>305</v>
      </c>
      <c r="I58" s="247" t="s">
        <v>306</v>
      </c>
      <c r="J58" s="247" t="s">
        <v>305</v>
      </c>
      <c r="K58" s="247" t="s">
        <v>306</v>
      </c>
      <c r="L58" s="247" t="s">
        <v>305</v>
      </c>
      <c r="M58" s="247" t="s">
        <v>306</v>
      </c>
      <c r="N58" s="247" t="s">
        <v>305</v>
      </c>
      <c r="O58" s="247" t="s">
        <v>306</v>
      </c>
      <c r="P58" s="247" t="s">
        <v>305</v>
      </c>
      <c r="Q58" s="247" t="s">
        <v>306</v>
      </c>
    </row>
    <row r="59" spans="1:17" ht="15" customHeight="1">
      <c r="A59" s="757">
        <v>1</v>
      </c>
      <c r="B59" s="283" t="s">
        <v>354</v>
      </c>
      <c r="C59" s="762" t="s">
        <v>362</v>
      </c>
      <c r="D59" s="233"/>
      <c r="E59" s="233"/>
      <c r="F59" s="290"/>
      <c r="G59" s="290"/>
      <c r="H59" s="233"/>
      <c r="I59" s="291">
        <f>SUM(I61:I63)/100</f>
        <v>9546</v>
      </c>
      <c r="J59" s="291"/>
      <c r="K59" s="291">
        <f>SUM(K61:K63)/100</f>
        <v>11928.52</v>
      </c>
      <c r="L59" s="291"/>
      <c r="M59" s="291">
        <f>SUM(M61:M63)/100</f>
        <v>15909.32</v>
      </c>
      <c r="N59" s="291"/>
      <c r="O59" s="291">
        <f>SUM(O61:O63)/100</f>
        <v>19091.32</v>
      </c>
      <c r="P59" s="233"/>
      <c r="Q59" s="233"/>
    </row>
    <row r="60" spans="1:17" ht="15" customHeight="1">
      <c r="A60" s="758"/>
      <c r="B60" s="285"/>
      <c r="C60" s="763"/>
      <c r="D60" s="205"/>
      <c r="E60" s="205"/>
      <c r="F60" s="292"/>
      <c r="G60" s="292"/>
      <c r="H60" s="205"/>
      <c r="I60" s="205"/>
      <c r="J60" s="205"/>
      <c r="K60" s="205"/>
      <c r="L60" s="205"/>
      <c r="M60" s="205"/>
      <c r="N60" s="205"/>
      <c r="O60" s="205"/>
      <c r="P60" s="205"/>
      <c r="Q60" s="205"/>
    </row>
    <row r="61" spans="1:17" ht="15" customHeight="1">
      <c r="A61" s="759"/>
      <c r="B61" s="287" t="s">
        <v>137</v>
      </c>
      <c r="C61" s="764" t="s">
        <v>142</v>
      </c>
      <c r="D61" s="133">
        <v>1</v>
      </c>
      <c r="E61" s="133"/>
      <c r="F61" s="200">
        <f>'Gia-TB'!E4</f>
        <v>150000000</v>
      </c>
      <c r="G61" s="200">
        <f>'Gia-TB'!F4</f>
        <v>60000</v>
      </c>
      <c r="H61" s="823">
        <v>14.34</v>
      </c>
      <c r="I61" s="303">
        <f>G61*H61</f>
        <v>860400</v>
      </c>
      <c r="J61" s="823">
        <v>17.920000000000002</v>
      </c>
      <c r="K61" s="303">
        <f>G61*J61</f>
        <v>1075200</v>
      </c>
      <c r="L61" s="823">
        <v>23.9</v>
      </c>
      <c r="M61" s="303">
        <f>G61*L61</f>
        <v>1434000</v>
      </c>
      <c r="N61" s="823">
        <v>28.68</v>
      </c>
      <c r="O61" s="303">
        <f>G61*N61</f>
        <v>1720800</v>
      </c>
      <c r="P61" s="823"/>
      <c r="Q61" s="133"/>
    </row>
    <row r="62" spans="1:17" ht="15" customHeight="1">
      <c r="A62" s="759"/>
      <c r="B62" s="287" t="s">
        <v>139</v>
      </c>
      <c r="C62" s="764" t="s">
        <v>355</v>
      </c>
      <c r="D62" s="133"/>
      <c r="E62" s="133"/>
      <c r="F62" s="200">
        <f>'Gia-TB'!E6</f>
        <v>17000000</v>
      </c>
      <c r="G62" s="200">
        <f>'Gia-TB'!F6</f>
        <v>6800</v>
      </c>
      <c r="H62" s="823">
        <v>1.2</v>
      </c>
      <c r="I62" s="303">
        <f>G62*H62</f>
        <v>8160</v>
      </c>
      <c r="J62" s="823">
        <v>1.49</v>
      </c>
      <c r="K62" s="303">
        <f>G62*J62</f>
        <v>10132</v>
      </c>
      <c r="L62" s="823">
        <v>1.99</v>
      </c>
      <c r="M62" s="303">
        <f>G62*L62</f>
        <v>13532</v>
      </c>
      <c r="N62" s="823">
        <v>2.39</v>
      </c>
      <c r="O62" s="303">
        <f>G62*N62</f>
        <v>16252</v>
      </c>
      <c r="P62" s="823"/>
      <c r="Q62" s="133"/>
    </row>
    <row r="63" spans="1:17" ht="15" customHeight="1">
      <c r="A63" s="759"/>
      <c r="B63" s="287" t="s">
        <v>356</v>
      </c>
      <c r="C63" s="764" t="s">
        <v>147</v>
      </c>
      <c r="D63" s="133">
        <v>1</v>
      </c>
      <c r="E63" s="133">
        <v>0.35</v>
      </c>
      <c r="F63" s="200">
        <f>'Gia-TB'!E5</f>
        <v>15000000</v>
      </c>
      <c r="G63" s="200">
        <f>'Gia-TB'!F5</f>
        <v>6000</v>
      </c>
      <c r="H63" s="823">
        <v>14.34</v>
      </c>
      <c r="I63" s="303">
        <f>G63*H63</f>
        <v>86040</v>
      </c>
      <c r="J63" s="823">
        <v>17.920000000000002</v>
      </c>
      <c r="K63" s="303">
        <f>G63*J63</f>
        <v>107520.00000000001</v>
      </c>
      <c r="L63" s="823">
        <v>23.9</v>
      </c>
      <c r="M63" s="303">
        <f>G63*L63</f>
        <v>143400</v>
      </c>
      <c r="N63" s="823">
        <v>28.68</v>
      </c>
      <c r="O63" s="303">
        <f>G63*N63</f>
        <v>172080</v>
      </c>
      <c r="P63" s="823"/>
      <c r="Q63" s="133"/>
    </row>
    <row r="64" spans="1:17" ht="15" customHeight="1">
      <c r="A64" s="760"/>
      <c r="B64" s="753" t="s">
        <v>186</v>
      </c>
      <c r="C64" s="765" t="s">
        <v>39</v>
      </c>
      <c r="D64" s="146"/>
      <c r="E64" s="146"/>
      <c r="F64" s="213"/>
      <c r="G64" s="213">
        <f>'Gia-DC'!E89</f>
        <v>1554</v>
      </c>
      <c r="H64" s="823">
        <v>3.5</v>
      </c>
      <c r="I64" s="770">
        <f>G64*H64</f>
        <v>5439</v>
      </c>
      <c r="J64" s="823">
        <v>4.4000000000000004</v>
      </c>
      <c r="K64" s="770">
        <f>G64*J64</f>
        <v>6837.6</v>
      </c>
      <c r="L64" s="823">
        <v>5.9</v>
      </c>
      <c r="M64" s="770">
        <f>G64*L64</f>
        <v>9168.6</v>
      </c>
      <c r="N64" s="823">
        <v>7</v>
      </c>
      <c r="O64" s="770">
        <f>G64*N64</f>
        <v>10878</v>
      </c>
      <c r="P64" s="823"/>
      <c r="Q64" s="146"/>
    </row>
    <row r="65" spans="1:17" ht="15" customHeight="1">
      <c r="A65" s="749"/>
      <c r="B65" s="750"/>
      <c r="C65" s="749"/>
      <c r="D65" s="193"/>
      <c r="E65" s="193"/>
      <c r="F65" s="240"/>
      <c r="G65" s="240"/>
      <c r="H65" s="823"/>
      <c r="I65" s="769"/>
      <c r="J65" s="823"/>
      <c r="K65" s="769"/>
      <c r="L65" s="823"/>
      <c r="M65" s="769"/>
      <c r="N65" s="823"/>
      <c r="O65" s="769"/>
      <c r="P65" s="823"/>
      <c r="Q65" s="193"/>
    </row>
    <row r="66" spans="1:17" ht="15" customHeight="1">
      <c r="A66" s="757">
        <v>2</v>
      </c>
      <c r="B66" s="283" t="s">
        <v>357</v>
      </c>
      <c r="C66" s="762" t="s">
        <v>362</v>
      </c>
      <c r="D66" s="233"/>
      <c r="E66" s="233"/>
      <c r="F66" s="290"/>
      <c r="G66" s="290"/>
      <c r="H66" s="824"/>
      <c r="I66" s="291">
        <f>SUM(I68:I70)/100</f>
        <v>6663.04</v>
      </c>
      <c r="J66" s="824"/>
      <c r="K66" s="291">
        <f>SUM(K68:K70)/100</f>
        <v>8327.32</v>
      </c>
      <c r="L66" s="824"/>
      <c r="M66" s="291">
        <f>SUM(M68:M70)/100</f>
        <v>11103.32</v>
      </c>
      <c r="N66" s="824"/>
      <c r="O66" s="291">
        <f>SUM(O68:O70)/100</f>
        <v>14991.04</v>
      </c>
      <c r="P66" s="824"/>
      <c r="Q66" s="291">
        <f>SUM(Q68:Q70)/100</f>
        <v>18878.080000000002</v>
      </c>
    </row>
    <row r="67" spans="1:17" ht="15" customHeight="1">
      <c r="A67" s="758"/>
      <c r="B67" s="285"/>
      <c r="C67" s="763"/>
      <c r="D67" s="205"/>
      <c r="E67" s="205"/>
      <c r="F67" s="292"/>
      <c r="G67" s="292"/>
      <c r="H67" s="824"/>
      <c r="I67" s="205"/>
      <c r="J67" s="824"/>
      <c r="K67" s="205"/>
      <c r="L67" s="824"/>
      <c r="M67" s="205"/>
      <c r="N67" s="824"/>
      <c r="O67" s="205"/>
      <c r="P67" s="824"/>
      <c r="Q67" s="205"/>
    </row>
    <row r="68" spans="1:17" ht="15" customHeight="1">
      <c r="A68" s="759"/>
      <c r="B68" s="287" t="s">
        <v>137</v>
      </c>
      <c r="C68" s="764" t="s">
        <v>142</v>
      </c>
      <c r="D68" s="133">
        <v>1</v>
      </c>
      <c r="E68" s="133"/>
      <c r="F68" s="200">
        <f t="shared" ref="F68:G70" si="11">F61</f>
        <v>150000000</v>
      </c>
      <c r="G68" s="200">
        <f t="shared" si="11"/>
        <v>60000</v>
      </c>
      <c r="H68" s="823">
        <v>10.01</v>
      </c>
      <c r="I68" s="294">
        <f>G68*H68</f>
        <v>600600</v>
      </c>
      <c r="J68" s="823">
        <v>12.51</v>
      </c>
      <c r="K68" s="294">
        <f>G68*J68</f>
        <v>750600</v>
      </c>
      <c r="L68" s="823">
        <v>16.68</v>
      </c>
      <c r="M68" s="294">
        <f>G68*L68</f>
        <v>1000800</v>
      </c>
      <c r="N68" s="823">
        <v>22.52</v>
      </c>
      <c r="O68" s="294">
        <f>G68*N68</f>
        <v>1351200</v>
      </c>
      <c r="P68" s="823">
        <v>28.36</v>
      </c>
      <c r="Q68" s="294">
        <f>G68*P68</f>
        <v>1701600</v>
      </c>
    </row>
    <row r="69" spans="1:17" ht="15" customHeight="1">
      <c r="A69" s="759"/>
      <c r="B69" s="287" t="s">
        <v>139</v>
      </c>
      <c r="C69" s="764" t="s">
        <v>355</v>
      </c>
      <c r="D69" s="133"/>
      <c r="E69" s="133"/>
      <c r="F69" s="200">
        <f t="shared" si="11"/>
        <v>17000000</v>
      </c>
      <c r="G69" s="200">
        <f t="shared" si="11"/>
        <v>6800</v>
      </c>
      <c r="H69" s="823">
        <v>0.83</v>
      </c>
      <c r="I69" s="294">
        <f>G69*H69</f>
        <v>5644</v>
      </c>
      <c r="J69" s="823">
        <v>1.04</v>
      </c>
      <c r="K69" s="294">
        <f>G69*J69</f>
        <v>7072</v>
      </c>
      <c r="L69" s="823">
        <v>1.39</v>
      </c>
      <c r="M69" s="294">
        <f>G69*L69</f>
        <v>9452</v>
      </c>
      <c r="N69" s="823">
        <v>1.88</v>
      </c>
      <c r="O69" s="294">
        <f>G69*N69</f>
        <v>12784</v>
      </c>
      <c r="P69" s="823">
        <v>2.36</v>
      </c>
      <c r="Q69" s="294">
        <f>G69*P69</f>
        <v>16048</v>
      </c>
    </row>
    <row r="70" spans="1:17" ht="15" customHeight="1">
      <c r="A70" s="759"/>
      <c r="B70" s="287" t="s">
        <v>356</v>
      </c>
      <c r="C70" s="764" t="s">
        <v>147</v>
      </c>
      <c r="D70" s="133">
        <v>1</v>
      </c>
      <c r="E70" s="133">
        <v>0.35</v>
      </c>
      <c r="F70" s="200">
        <f t="shared" si="11"/>
        <v>15000000</v>
      </c>
      <c r="G70" s="200">
        <f t="shared" si="11"/>
        <v>6000</v>
      </c>
      <c r="H70" s="823">
        <v>10.01</v>
      </c>
      <c r="I70" s="294">
        <f>G70*H70</f>
        <v>60060</v>
      </c>
      <c r="J70" s="823">
        <v>12.51</v>
      </c>
      <c r="K70" s="294">
        <f>G70*J70</f>
        <v>75060</v>
      </c>
      <c r="L70" s="823">
        <v>16.68</v>
      </c>
      <c r="M70" s="294">
        <f>G70*L70</f>
        <v>100080</v>
      </c>
      <c r="N70" s="823">
        <v>22.52</v>
      </c>
      <c r="O70" s="294">
        <f>G70*N70</f>
        <v>135120</v>
      </c>
      <c r="P70" s="823">
        <v>28.36</v>
      </c>
      <c r="Q70" s="294">
        <f>G70*P70</f>
        <v>170160</v>
      </c>
    </row>
    <row r="71" spans="1:17" ht="15" customHeight="1">
      <c r="A71" s="760"/>
      <c r="B71" s="753" t="s">
        <v>186</v>
      </c>
      <c r="C71" s="765" t="s">
        <v>39</v>
      </c>
      <c r="D71" s="146"/>
      <c r="E71" s="146"/>
      <c r="F71" s="213"/>
      <c r="G71" s="213">
        <f>'Gia-DC'!E89</f>
        <v>1554</v>
      </c>
      <c r="H71" s="823">
        <v>2.5</v>
      </c>
      <c r="I71" s="756">
        <f>G71*H71</f>
        <v>3885</v>
      </c>
      <c r="J71" s="823">
        <v>3.1</v>
      </c>
      <c r="K71" s="756">
        <f>G71*J71</f>
        <v>4817.4000000000005</v>
      </c>
      <c r="L71" s="823">
        <v>4.0999999999999996</v>
      </c>
      <c r="M71" s="756">
        <f>G71*L71</f>
        <v>6371.4</v>
      </c>
      <c r="N71" s="823">
        <v>5.5</v>
      </c>
      <c r="O71" s="756">
        <f>G71*N71</f>
        <v>8547</v>
      </c>
      <c r="P71" s="823">
        <v>6.9</v>
      </c>
      <c r="Q71" s="756">
        <f>G71*P71</f>
        <v>10722.6</v>
      </c>
    </row>
    <row r="72" spans="1:17" ht="15" customHeight="1">
      <c r="A72" s="749"/>
      <c r="B72" s="750"/>
      <c r="C72" s="749"/>
      <c r="D72" s="193"/>
      <c r="E72" s="193"/>
      <c r="F72" s="240"/>
      <c r="G72" s="240"/>
      <c r="H72" s="823"/>
      <c r="I72" s="771"/>
      <c r="J72" s="823"/>
      <c r="K72" s="771"/>
      <c r="L72" s="823"/>
      <c r="M72" s="771"/>
      <c r="N72" s="823"/>
      <c r="O72" s="771"/>
      <c r="P72" s="823"/>
      <c r="Q72" s="771"/>
    </row>
    <row r="73" spans="1:17" ht="15" customHeight="1">
      <c r="A73" s="757">
        <v>3</v>
      </c>
      <c r="B73" s="283" t="s">
        <v>358</v>
      </c>
      <c r="C73" s="762" t="s">
        <v>362</v>
      </c>
      <c r="D73" s="233"/>
      <c r="E73" s="233"/>
      <c r="F73" s="295"/>
      <c r="G73" s="290"/>
      <c r="H73" s="824"/>
      <c r="I73" s="291">
        <f>SUM(I75:I77)/100</f>
        <v>2689.52</v>
      </c>
      <c r="J73" s="824"/>
      <c r="K73" s="291">
        <f>SUM(K75:K77)/100</f>
        <v>3361.56</v>
      </c>
      <c r="L73" s="824"/>
      <c r="M73" s="291">
        <f>SUM(M75:M77)/100</f>
        <v>4473.96</v>
      </c>
      <c r="N73" s="824"/>
      <c r="O73" s="291">
        <f>SUM(O75:O77)/100</f>
        <v>6051.08</v>
      </c>
      <c r="P73" s="824"/>
      <c r="Q73" s="291">
        <f>SUM(Q75:Q77)/100</f>
        <v>7835.52</v>
      </c>
    </row>
    <row r="74" spans="1:17" ht="15" customHeight="1">
      <c r="A74" s="758"/>
      <c r="B74" s="285"/>
      <c r="C74" s="763"/>
      <c r="D74" s="205"/>
      <c r="E74" s="205"/>
      <c r="F74" s="297"/>
      <c r="G74" s="292"/>
      <c r="H74" s="824"/>
      <c r="I74" s="298"/>
      <c r="J74" s="824"/>
      <c r="K74" s="298"/>
      <c r="L74" s="824"/>
      <c r="M74" s="298"/>
      <c r="N74" s="824"/>
      <c r="O74" s="298"/>
      <c r="P74" s="824"/>
      <c r="Q74" s="298"/>
    </row>
    <row r="75" spans="1:17" ht="15" customHeight="1">
      <c r="A75" s="759"/>
      <c r="B75" s="287" t="s">
        <v>137</v>
      </c>
      <c r="C75" s="764" t="s">
        <v>142</v>
      </c>
      <c r="D75" s="133">
        <v>1</v>
      </c>
      <c r="E75" s="133"/>
      <c r="F75" s="200">
        <f t="shared" ref="F75:G77" si="12">F68</f>
        <v>150000000</v>
      </c>
      <c r="G75" s="200">
        <f t="shared" si="12"/>
        <v>60000</v>
      </c>
      <c r="H75" s="823">
        <v>4.04</v>
      </c>
      <c r="I75" s="294">
        <f>G75*H75</f>
        <v>242400</v>
      </c>
      <c r="J75" s="823">
        <v>5.05</v>
      </c>
      <c r="K75" s="294">
        <f>G75*J75</f>
        <v>303000</v>
      </c>
      <c r="L75" s="823">
        <v>6.72</v>
      </c>
      <c r="M75" s="294">
        <f>G75*L75</f>
        <v>403200</v>
      </c>
      <c r="N75" s="823">
        <v>9.09</v>
      </c>
      <c r="O75" s="294">
        <f>G75*N75</f>
        <v>545400</v>
      </c>
      <c r="P75" s="823">
        <v>11.77</v>
      </c>
      <c r="Q75" s="294">
        <f>G75*P75</f>
        <v>706200</v>
      </c>
    </row>
    <row r="76" spans="1:17" ht="15" customHeight="1">
      <c r="A76" s="759"/>
      <c r="B76" s="287" t="s">
        <v>139</v>
      </c>
      <c r="C76" s="764" t="s">
        <v>355</v>
      </c>
      <c r="D76" s="133"/>
      <c r="E76" s="133"/>
      <c r="F76" s="200">
        <f t="shared" si="12"/>
        <v>17000000</v>
      </c>
      <c r="G76" s="200">
        <f t="shared" si="12"/>
        <v>6800</v>
      </c>
      <c r="H76" s="823">
        <v>0.34</v>
      </c>
      <c r="I76" s="294">
        <f>G76*H76</f>
        <v>2312</v>
      </c>
      <c r="J76" s="823">
        <v>0.42</v>
      </c>
      <c r="K76" s="294">
        <f>G76*J76</f>
        <v>2856</v>
      </c>
      <c r="L76" s="823">
        <v>0.56999999999999995</v>
      </c>
      <c r="M76" s="294">
        <f>G76*L76</f>
        <v>3875.9999999999995</v>
      </c>
      <c r="N76" s="823">
        <v>0.76</v>
      </c>
      <c r="O76" s="294">
        <f>G76*N76</f>
        <v>5168</v>
      </c>
      <c r="P76" s="823">
        <v>0.99</v>
      </c>
      <c r="Q76" s="294">
        <f>G76*P76</f>
        <v>6732</v>
      </c>
    </row>
    <row r="77" spans="1:17" ht="15" customHeight="1">
      <c r="A77" s="759"/>
      <c r="B77" s="287" t="s">
        <v>356</v>
      </c>
      <c r="C77" s="764" t="s">
        <v>147</v>
      </c>
      <c r="D77" s="133">
        <v>1</v>
      </c>
      <c r="E77" s="133">
        <v>0.35</v>
      </c>
      <c r="F77" s="200">
        <f t="shared" si="12"/>
        <v>15000000</v>
      </c>
      <c r="G77" s="200">
        <f t="shared" si="12"/>
        <v>6000</v>
      </c>
      <c r="H77" s="823">
        <v>4.04</v>
      </c>
      <c r="I77" s="294">
        <f>G77*H77</f>
        <v>24240</v>
      </c>
      <c r="J77" s="823">
        <v>5.05</v>
      </c>
      <c r="K77" s="294">
        <f>G77*J77</f>
        <v>30300</v>
      </c>
      <c r="L77" s="823">
        <v>6.72</v>
      </c>
      <c r="M77" s="294">
        <f>G77*L77</f>
        <v>40320</v>
      </c>
      <c r="N77" s="823">
        <v>9.09</v>
      </c>
      <c r="O77" s="294">
        <f>G77*N77</f>
        <v>54540</v>
      </c>
      <c r="P77" s="823">
        <v>11.77</v>
      </c>
      <c r="Q77" s="294">
        <f>G77*P77</f>
        <v>70620</v>
      </c>
    </row>
    <row r="78" spans="1:17" ht="15" customHeight="1">
      <c r="A78" s="760"/>
      <c r="B78" s="753" t="s">
        <v>186</v>
      </c>
      <c r="C78" s="765" t="s">
        <v>39</v>
      </c>
      <c r="D78" s="146"/>
      <c r="E78" s="146"/>
      <c r="F78" s="213"/>
      <c r="G78" s="213">
        <f>'Gia-DC'!E89</f>
        <v>1554</v>
      </c>
      <c r="H78" s="823">
        <v>0.95</v>
      </c>
      <c r="I78" s="756">
        <f>G78*H78</f>
        <v>1476.3</v>
      </c>
      <c r="J78" s="823">
        <v>1.22</v>
      </c>
      <c r="K78" s="756">
        <f>G78*J78</f>
        <v>1895.8799999999999</v>
      </c>
      <c r="L78" s="823">
        <v>1.62</v>
      </c>
      <c r="M78" s="756">
        <f>G78*L78</f>
        <v>2517.48</v>
      </c>
      <c r="N78" s="823">
        <v>2.16</v>
      </c>
      <c r="O78" s="756">
        <f>G78*N78</f>
        <v>3356.6400000000003</v>
      </c>
      <c r="P78" s="823">
        <v>2.84</v>
      </c>
      <c r="Q78" s="756">
        <f>G78*P78</f>
        <v>4413.3599999999997</v>
      </c>
    </row>
    <row r="79" spans="1:17" ht="15" customHeight="1">
      <c r="A79" s="749"/>
      <c r="B79" s="750"/>
      <c r="C79" s="749"/>
      <c r="D79" s="193"/>
      <c r="E79" s="193"/>
      <c r="F79" s="240"/>
      <c r="G79" s="240"/>
      <c r="H79" s="823"/>
      <c r="I79" s="771"/>
      <c r="J79" s="823"/>
      <c r="K79" s="771"/>
      <c r="L79" s="823"/>
      <c r="M79" s="771"/>
      <c r="N79" s="823"/>
      <c r="O79" s="771"/>
      <c r="P79" s="823"/>
      <c r="Q79" s="771"/>
    </row>
    <row r="80" spans="1:17" ht="15" customHeight="1">
      <c r="A80" s="757">
        <v>4</v>
      </c>
      <c r="B80" s="283" t="s">
        <v>359</v>
      </c>
      <c r="C80" s="762" t="s">
        <v>362</v>
      </c>
      <c r="D80" s="233"/>
      <c r="E80" s="233"/>
      <c r="F80" s="290"/>
      <c r="G80" s="290"/>
      <c r="H80" s="824"/>
      <c r="I80" s="290">
        <f>SUM(I82:I84)/100</f>
        <v>2789.2000000000007</v>
      </c>
      <c r="J80" s="824"/>
      <c r="K80" s="290">
        <f>SUM(K82:K84)/100</f>
        <v>3721.36</v>
      </c>
      <c r="L80" s="824"/>
      <c r="M80" s="290">
        <f>SUM(M82:M84)/100</f>
        <v>4646.24</v>
      </c>
      <c r="N80" s="824"/>
      <c r="O80" s="290">
        <f>SUM(O82:O84)/100</f>
        <v>5811.44</v>
      </c>
      <c r="P80" s="824"/>
      <c r="Q80" s="290">
        <f>SUM(Q82:Q84)/100</f>
        <v>7332</v>
      </c>
    </row>
    <row r="81" spans="1:17" ht="15" customHeight="1">
      <c r="A81" s="758"/>
      <c r="B81" s="285"/>
      <c r="C81" s="763"/>
      <c r="D81" s="205"/>
      <c r="E81" s="205"/>
      <c r="F81" s="292"/>
      <c r="G81" s="292"/>
      <c r="H81" s="824"/>
      <c r="I81" s="292"/>
      <c r="J81" s="824"/>
      <c r="K81" s="298"/>
      <c r="L81" s="824"/>
      <c r="M81" s="298"/>
      <c r="N81" s="824"/>
      <c r="O81" s="298"/>
      <c r="P81" s="824"/>
      <c r="Q81" s="298"/>
    </row>
    <row r="82" spans="1:17" ht="15" customHeight="1">
      <c r="A82" s="759"/>
      <c r="B82" s="287" t="s">
        <v>137</v>
      </c>
      <c r="C82" s="764" t="s">
        <v>142</v>
      </c>
      <c r="D82" s="133">
        <v>1</v>
      </c>
      <c r="E82" s="133"/>
      <c r="F82" s="200">
        <f t="shared" ref="F82:G84" si="13">F75</f>
        <v>150000000</v>
      </c>
      <c r="G82" s="200">
        <f t="shared" si="13"/>
        <v>60000</v>
      </c>
      <c r="H82" s="823">
        <v>4.1900000000000004</v>
      </c>
      <c r="I82" s="294">
        <f>G82*H82</f>
        <v>251400.00000000003</v>
      </c>
      <c r="J82" s="823">
        <v>5.59</v>
      </c>
      <c r="K82" s="294">
        <f>G82*J82</f>
        <v>335400</v>
      </c>
      <c r="L82" s="823">
        <v>6.98</v>
      </c>
      <c r="M82" s="294">
        <f>G82*L82</f>
        <v>418800</v>
      </c>
      <c r="N82" s="823">
        <v>8.73</v>
      </c>
      <c r="O82" s="294">
        <f>G82*N82</f>
        <v>523800</v>
      </c>
      <c r="P82" s="823">
        <v>12.22</v>
      </c>
      <c r="Q82" s="294">
        <f>P82*G82</f>
        <v>733200</v>
      </c>
    </row>
    <row r="83" spans="1:17" ht="15" customHeight="1">
      <c r="A83" s="759"/>
      <c r="B83" s="287" t="s">
        <v>139</v>
      </c>
      <c r="C83" s="764" t="s">
        <v>355</v>
      </c>
      <c r="D83" s="133"/>
      <c r="E83" s="133"/>
      <c r="F83" s="200">
        <f t="shared" si="13"/>
        <v>17000000</v>
      </c>
      <c r="G83" s="200">
        <f t="shared" si="13"/>
        <v>6800</v>
      </c>
      <c r="H83" s="823">
        <v>0.35</v>
      </c>
      <c r="I83" s="294">
        <f>G83*H83</f>
        <v>2380</v>
      </c>
      <c r="J83" s="823">
        <v>0.47</v>
      </c>
      <c r="K83" s="294">
        <f>G83*J83</f>
        <v>3196</v>
      </c>
      <c r="L83" s="823">
        <v>0.57999999999999996</v>
      </c>
      <c r="M83" s="294">
        <f>G83*L83</f>
        <v>3943.9999999999995</v>
      </c>
      <c r="N83" s="823">
        <v>0.73</v>
      </c>
      <c r="O83" s="294">
        <f>G83*N83</f>
        <v>4964</v>
      </c>
      <c r="P83" s="823"/>
      <c r="Q83" s="294">
        <f>P83*G83</f>
        <v>0</v>
      </c>
    </row>
    <row r="84" spans="1:17" ht="15" customHeight="1">
      <c r="A84" s="759"/>
      <c r="B84" s="287" t="s">
        <v>356</v>
      </c>
      <c r="C84" s="764" t="s">
        <v>147</v>
      </c>
      <c r="D84" s="133">
        <v>1</v>
      </c>
      <c r="E84" s="133">
        <v>0.35</v>
      </c>
      <c r="F84" s="200">
        <f t="shared" si="13"/>
        <v>15000000</v>
      </c>
      <c r="G84" s="200">
        <f t="shared" si="13"/>
        <v>6000</v>
      </c>
      <c r="H84" s="823">
        <v>4.1900000000000004</v>
      </c>
      <c r="I84" s="294">
        <f>G84*H84</f>
        <v>25140.000000000004</v>
      </c>
      <c r="J84" s="823">
        <v>5.59</v>
      </c>
      <c r="K84" s="294">
        <f>G84*J84</f>
        <v>33540</v>
      </c>
      <c r="L84" s="823">
        <v>6.98</v>
      </c>
      <c r="M84" s="294">
        <f>G84*L84</f>
        <v>41880</v>
      </c>
      <c r="N84" s="823">
        <v>8.73</v>
      </c>
      <c r="O84" s="294">
        <f>G84*N84</f>
        <v>52380</v>
      </c>
      <c r="P84" s="823">
        <v>12.22</v>
      </c>
      <c r="Q84" s="294"/>
    </row>
    <row r="85" spans="1:17" ht="15" customHeight="1">
      <c r="A85" s="760"/>
      <c r="B85" s="753" t="s">
        <v>186</v>
      </c>
      <c r="C85" s="765" t="s">
        <v>39</v>
      </c>
      <c r="D85" s="146"/>
      <c r="E85" s="146"/>
      <c r="F85" s="213"/>
      <c r="G85" s="213">
        <f>'Gia-DC'!E89</f>
        <v>1554</v>
      </c>
      <c r="H85" s="823">
        <v>1.08</v>
      </c>
      <c r="I85" s="756">
        <f>G85*H85</f>
        <v>1678.3200000000002</v>
      </c>
      <c r="J85" s="823">
        <v>1.35</v>
      </c>
      <c r="K85" s="756">
        <f>G85*J85</f>
        <v>2097.9</v>
      </c>
      <c r="L85" s="823">
        <v>1.76</v>
      </c>
      <c r="M85" s="756">
        <f>G85*L85</f>
        <v>2735.04</v>
      </c>
      <c r="N85" s="823">
        <v>2.16</v>
      </c>
      <c r="O85" s="756">
        <f>G85*N85</f>
        <v>3356.6400000000003</v>
      </c>
      <c r="P85" s="823"/>
      <c r="Q85" s="754"/>
    </row>
    <row r="86" spans="1:17" ht="15" customHeight="1">
      <c r="A86" s="749"/>
      <c r="B86" s="750"/>
      <c r="C86" s="749"/>
      <c r="D86" s="193"/>
      <c r="E86" s="193"/>
      <c r="F86" s="240"/>
      <c r="G86" s="240"/>
      <c r="H86" s="823"/>
      <c r="I86" s="751"/>
      <c r="J86" s="823"/>
      <c r="K86" s="751"/>
      <c r="L86" s="823"/>
      <c r="M86" s="751"/>
      <c r="N86" s="823"/>
      <c r="O86" s="751"/>
      <c r="P86" s="823"/>
      <c r="Q86" s="751"/>
    </row>
    <row r="87" spans="1:17" ht="15" customHeight="1">
      <c r="A87" s="758">
        <v>5</v>
      </c>
      <c r="B87" s="285" t="s">
        <v>360</v>
      </c>
      <c r="C87" s="763" t="s">
        <v>362</v>
      </c>
      <c r="D87" s="205"/>
      <c r="E87" s="205"/>
      <c r="F87" s="292"/>
      <c r="G87" s="292"/>
      <c r="H87" s="824"/>
      <c r="I87" s="310">
        <f>SUM(I89:I91)/100</f>
        <v>3994</v>
      </c>
      <c r="J87" s="824"/>
      <c r="K87" s="310">
        <f>SUM(K89:K91)/100</f>
        <v>4606.6400000000003</v>
      </c>
      <c r="L87" s="824"/>
      <c r="M87" s="310">
        <f>SUM(M89:M91)/100</f>
        <v>6144.16</v>
      </c>
      <c r="N87" s="824"/>
      <c r="O87" s="310">
        <f>SUM(O89:O91)/100</f>
        <v>6763.4</v>
      </c>
      <c r="P87" s="824"/>
      <c r="Q87" s="298"/>
    </row>
    <row r="88" spans="1:17" ht="15" customHeight="1">
      <c r="A88" s="758"/>
      <c r="B88" s="285"/>
      <c r="C88" s="763"/>
      <c r="D88" s="205"/>
      <c r="E88" s="205"/>
      <c r="F88" s="292"/>
      <c r="G88" s="292"/>
      <c r="H88" s="824"/>
      <c r="I88" s="298"/>
      <c r="J88" s="824"/>
      <c r="K88" s="298"/>
      <c r="L88" s="824"/>
      <c r="M88" s="298"/>
      <c r="N88" s="824"/>
      <c r="O88" s="298"/>
      <c r="P88" s="824"/>
      <c r="Q88" s="298"/>
    </row>
    <row r="89" spans="1:17" ht="15" customHeight="1">
      <c r="A89" s="759"/>
      <c r="B89" s="287" t="s">
        <v>137</v>
      </c>
      <c r="C89" s="764" t="s">
        <v>142</v>
      </c>
      <c r="D89" s="133">
        <v>1</v>
      </c>
      <c r="E89" s="133"/>
      <c r="F89" s="200">
        <f t="shared" ref="F89:G91" si="14">F82</f>
        <v>150000000</v>
      </c>
      <c r="G89" s="200">
        <f t="shared" si="14"/>
        <v>60000</v>
      </c>
      <c r="H89" s="823">
        <v>6</v>
      </c>
      <c r="I89" s="294">
        <f>G89*H89</f>
        <v>360000</v>
      </c>
      <c r="J89" s="823">
        <v>6.92</v>
      </c>
      <c r="K89" s="294">
        <f>G89*J89</f>
        <v>415200</v>
      </c>
      <c r="L89" s="823">
        <v>9.23</v>
      </c>
      <c r="M89" s="294">
        <f>G89*L89</f>
        <v>553800</v>
      </c>
      <c r="N89" s="823">
        <v>10.16</v>
      </c>
      <c r="O89" s="294">
        <f>G89*N89</f>
        <v>609600</v>
      </c>
      <c r="P89" s="823"/>
      <c r="Q89" s="293"/>
    </row>
    <row r="90" spans="1:17" ht="15" customHeight="1">
      <c r="A90" s="759"/>
      <c r="B90" s="287" t="s">
        <v>139</v>
      </c>
      <c r="C90" s="764" t="s">
        <v>355</v>
      </c>
      <c r="D90" s="133"/>
      <c r="E90" s="133"/>
      <c r="F90" s="200">
        <f t="shared" si="14"/>
        <v>17000000</v>
      </c>
      <c r="G90" s="200">
        <f t="shared" si="14"/>
        <v>6800</v>
      </c>
      <c r="H90" s="823">
        <v>0.5</v>
      </c>
      <c r="I90" s="294">
        <f>G90*H90</f>
        <v>3400</v>
      </c>
      <c r="J90" s="823">
        <v>0.57999999999999996</v>
      </c>
      <c r="K90" s="294">
        <f>G90*J90</f>
        <v>3943.9999999999995</v>
      </c>
      <c r="L90" s="823">
        <v>0.77</v>
      </c>
      <c r="M90" s="294">
        <f>G90*L90</f>
        <v>5236</v>
      </c>
      <c r="N90" s="823">
        <v>0.85</v>
      </c>
      <c r="O90" s="294">
        <f>G90*N90</f>
        <v>5780</v>
      </c>
      <c r="P90" s="823"/>
      <c r="Q90" s="293"/>
    </row>
    <row r="91" spans="1:17" ht="15" customHeight="1">
      <c r="A91" s="759"/>
      <c r="B91" s="287" t="s">
        <v>356</v>
      </c>
      <c r="C91" s="764" t="s">
        <v>147</v>
      </c>
      <c r="D91" s="133">
        <v>1</v>
      </c>
      <c r="E91" s="133">
        <v>0.35</v>
      </c>
      <c r="F91" s="200">
        <f t="shared" si="14"/>
        <v>15000000</v>
      </c>
      <c r="G91" s="200">
        <f t="shared" si="14"/>
        <v>6000</v>
      </c>
      <c r="H91" s="823">
        <v>6</v>
      </c>
      <c r="I91" s="294">
        <f>G91*H91</f>
        <v>36000</v>
      </c>
      <c r="J91" s="823">
        <v>6.92</v>
      </c>
      <c r="K91" s="294">
        <f>G91*J91</f>
        <v>41520</v>
      </c>
      <c r="L91" s="823">
        <v>9.23</v>
      </c>
      <c r="M91" s="294">
        <f>G91*L91</f>
        <v>55380</v>
      </c>
      <c r="N91" s="823">
        <v>10.16</v>
      </c>
      <c r="O91" s="294">
        <f>G91*N91</f>
        <v>60960</v>
      </c>
      <c r="P91" s="823"/>
      <c r="Q91" s="293"/>
    </row>
    <row r="92" spans="1:17" ht="15" customHeight="1">
      <c r="A92" s="760"/>
      <c r="B92" s="753" t="s">
        <v>186</v>
      </c>
      <c r="C92" s="765" t="s">
        <v>39</v>
      </c>
      <c r="D92" s="146"/>
      <c r="E92" s="146"/>
      <c r="F92" s="768"/>
      <c r="G92" s="213">
        <f>'Gia-DC'!E89</f>
        <v>1554</v>
      </c>
      <c r="H92" s="823">
        <v>1.5</v>
      </c>
      <c r="I92" s="756">
        <f>G92*H92</f>
        <v>2331</v>
      </c>
      <c r="J92" s="823">
        <v>1.7</v>
      </c>
      <c r="K92" s="756">
        <f>G92*J92</f>
        <v>2641.7999999999997</v>
      </c>
      <c r="L92" s="823">
        <v>2.2999999999999998</v>
      </c>
      <c r="M92" s="756">
        <f>G92*L92</f>
        <v>3574.2</v>
      </c>
      <c r="N92" s="823">
        <v>2.5</v>
      </c>
      <c r="O92" s="756">
        <f>G92*N92</f>
        <v>3885</v>
      </c>
      <c r="P92" s="823"/>
      <c r="Q92" s="754"/>
    </row>
    <row r="93" spans="1:17" ht="15" customHeight="1">
      <c r="A93" s="749"/>
      <c r="B93" s="750"/>
      <c r="C93" s="749"/>
      <c r="D93" s="193"/>
      <c r="E93" s="193"/>
      <c r="F93" s="767"/>
      <c r="G93" s="240"/>
      <c r="H93" s="823"/>
      <c r="I93" s="771"/>
      <c r="J93" s="823"/>
      <c r="K93" s="771"/>
      <c r="L93" s="823"/>
      <c r="M93" s="771"/>
      <c r="N93" s="823"/>
      <c r="O93" s="771"/>
      <c r="P93" s="823"/>
      <c r="Q93" s="751"/>
    </row>
    <row r="94" spans="1:17" ht="15" customHeight="1">
      <c r="A94" s="757">
        <v>6</v>
      </c>
      <c r="B94" s="283" t="s">
        <v>487</v>
      </c>
      <c r="C94" s="762" t="s">
        <v>362</v>
      </c>
      <c r="D94" s="233"/>
      <c r="E94" s="233"/>
      <c r="F94" s="290"/>
      <c r="G94" s="290"/>
      <c r="H94" s="824"/>
      <c r="I94" s="291">
        <f>SUM(I96:I98)/100</f>
        <v>5991</v>
      </c>
      <c r="J94" s="824"/>
      <c r="K94" s="291">
        <f>SUM(K96:K98)/100</f>
        <v>6909.96</v>
      </c>
      <c r="L94" s="824"/>
      <c r="M94" s="291">
        <f>SUM(M96:M98)/100</f>
        <v>9219.8799999999992</v>
      </c>
      <c r="N94" s="824"/>
      <c r="O94" s="291">
        <f>SUM(O96:O98)/100</f>
        <v>10145.44</v>
      </c>
      <c r="P94" s="824"/>
      <c r="Q94" s="301"/>
    </row>
    <row r="95" spans="1:17" ht="15" customHeight="1">
      <c r="A95" s="758"/>
      <c r="B95" s="285"/>
      <c r="C95" s="763"/>
      <c r="D95" s="205"/>
      <c r="E95" s="205"/>
      <c r="F95" s="292"/>
      <c r="G95" s="292"/>
      <c r="H95" s="824"/>
      <c r="I95" s="298"/>
      <c r="J95" s="824"/>
      <c r="K95" s="298"/>
      <c r="L95" s="824"/>
      <c r="M95" s="298"/>
      <c r="N95" s="824"/>
      <c r="O95" s="298"/>
      <c r="P95" s="824"/>
      <c r="Q95" s="298"/>
    </row>
    <row r="96" spans="1:17">
      <c r="A96" s="759"/>
      <c r="B96" s="287" t="s">
        <v>137</v>
      </c>
      <c r="C96" s="764" t="s">
        <v>142</v>
      </c>
      <c r="D96" s="133">
        <v>1</v>
      </c>
      <c r="E96" s="133"/>
      <c r="F96" s="200">
        <f t="shared" ref="F96:G98" si="15">F89</f>
        <v>150000000</v>
      </c>
      <c r="G96" s="200">
        <f t="shared" si="15"/>
        <v>60000</v>
      </c>
      <c r="H96" s="823">
        <v>9</v>
      </c>
      <c r="I96" s="294">
        <f>G96*H96</f>
        <v>540000</v>
      </c>
      <c r="J96" s="823">
        <v>10.38</v>
      </c>
      <c r="K96" s="294">
        <f>G96*J96</f>
        <v>622800</v>
      </c>
      <c r="L96" s="823">
        <v>13.85</v>
      </c>
      <c r="M96" s="294">
        <f>G96*L96</f>
        <v>831000</v>
      </c>
      <c r="N96" s="823">
        <v>15.24</v>
      </c>
      <c r="O96" s="294">
        <f>G96*N96</f>
        <v>914400</v>
      </c>
      <c r="P96" s="823"/>
      <c r="Q96" s="293"/>
    </row>
    <row r="97" spans="1:18" ht="26.25" customHeight="1">
      <c r="A97" s="759"/>
      <c r="B97" s="287" t="s">
        <v>139</v>
      </c>
      <c r="C97" s="764" t="s">
        <v>355</v>
      </c>
      <c r="D97" s="133"/>
      <c r="E97" s="133"/>
      <c r="F97" s="200">
        <f t="shared" si="15"/>
        <v>17000000</v>
      </c>
      <c r="G97" s="200">
        <f t="shared" si="15"/>
        <v>6800</v>
      </c>
      <c r="H97" s="823">
        <v>0.75</v>
      </c>
      <c r="I97" s="294">
        <f>G97*H97</f>
        <v>5100</v>
      </c>
      <c r="J97" s="823">
        <v>0.87</v>
      </c>
      <c r="K97" s="294">
        <f>G97*J97</f>
        <v>5916</v>
      </c>
      <c r="L97" s="823">
        <v>1.1599999999999999</v>
      </c>
      <c r="M97" s="294">
        <f>G97*L97</f>
        <v>7887.9999999999991</v>
      </c>
      <c r="N97" s="823">
        <v>1.28</v>
      </c>
      <c r="O97" s="294">
        <f>G97*N97</f>
        <v>8704</v>
      </c>
      <c r="P97" s="823"/>
      <c r="Q97" s="293"/>
    </row>
    <row r="98" spans="1:18" ht="25.5" customHeight="1">
      <c r="A98" s="760"/>
      <c r="B98" s="753" t="s">
        <v>356</v>
      </c>
      <c r="C98" s="765" t="s">
        <v>147</v>
      </c>
      <c r="D98" s="146">
        <v>1</v>
      </c>
      <c r="E98" s="146">
        <v>0.35</v>
      </c>
      <c r="F98" s="213">
        <f t="shared" si="15"/>
        <v>15000000</v>
      </c>
      <c r="G98" s="213">
        <f t="shared" si="15"/>
        <v>6000</v>
      </c>
      <c r="H98" s="823">
        <v>9</v>
      </c>
      <c r="I98" s="756">
        <f>G98*H98</f>
        <v>54000</v>
      </c>
      <c r="J98" s="823">
        <v>10.38</v>
      </c>
      <c r="K98" s="756">
        <f>G98*J98</f>
        <v>62280.000000000007</v>
      </c>
      <c r="L98" s="823">
        <v>13.85</v>
      </c>
      <c r="M98" s="756">
        <f>G98*L98</f>
        <v>83100</v>
      </c>
      <c r="N98" s="823">
        <v>15.24</v>
      </c>
      <c r="O98" s="756">
        <f>G98*N98</f>
        <v>91440</v>
      </c>
      <c r="P98" s="823"/>
      <c r="Q98" s="754"/>
    </row>
    <row r="99" spans="1:18" ht="18" customHeight="1">
      <c r="A99" s="749"/>
      <c r="B99" s="750" t="s">
        <v>186</v>
      </c>
      <c r="C99" s="749" t="s">
        <v>39</v>
      </c>
      <c r="D99" s="193"/>
      <c r="E99" s="193"/>
      <c r="F99" s="767"/>
      <c r="G99" s="240">
        <f>'Gia-DC'!E89</f>
        <v>1554</v>
      </c>
      <c r="H99" s="823">
        <v>1.95</v>
      </c>
      <c r="I99" s="771">
        <f>G99*H99</f>
        <v>3030.2999999999997</v>
      </c>
      <c r="J99" s="823">
        <v>2.21</v>
      </c>
      <c r="K99" s="771">
        <f>G99*J99</f>
        <v>3434.34</v>
      </c>
      <c r="L99" s="823">
        <v>2.99</v>
      </c>
      <c r="M99" s="771">
        <f>G99*L99</f>
        <v>4646.46</v>
      </c>
      <c r="N99" s="823">
        <v>3.25</v>
      </c>
      <c r="O99" s="771">
        <f>G99*N99</f>
        <v>5050.5</v>
      </c>
      <c r="P99" s="823"/>
      <c r="Q99" s="751"/>
    </row>
    <row r="100" spans="1:18" ht="18" customHeight="1">
      <c r="A100" s="1045" t="s">
        <v>539</v>
      </c>
      <c r="B100" s="1045"/>
      <c r="C100" s="305"/>
      <c r="D100" s="157"/>
      <c r="E100" s="157"/>
      <c r="F100" s="548"/>
      <c r="G100" s="280"/>
      <c r="H100" s="549"/>
      <c r="I100" s="779"/>
      <c r="J100" s="549"/>
      <c r="K100" s="779"/>
      <c r="L100" s="549"/>
      <c r="M100" s="779"/>
      <c r="N100" s="549"/>
      <c r="O100" s="779"/>
      <c r="P100" s="549"/>
      <c r="Q100" s="549"/>
    </row>
    <row r="101" spans="1:18" ht="28.15" customHeight="1">
      <c r="A101" s="1046" t="s">
        <v>543</v>
      </c>
      <c r="B101" s="1046"/>
      <c r="C101" s="1046"/>
      <c r="D101" s="1046"/>
      <c r="E101" s="1046"/>
      <c r="F101" s="1046"/>
      <c r="G101" s="1046"/>
      <c r="H101" s="1046"/>
      <c r="I101" s="1046"/>
      <c r="J101" s="1046"/>
      <c r="K101" s="1046"/>
      <c r="L101" s="1046"/>
      <c r="M101" s="1046"/>
      <c r="N101" s="1046"/>
      <c r="O101" s="1046"/>
      <c r="P101" s="1046"/>
      <c r="Q101" s="1046"/>
    </row>
    <row r="102" spans="1:18" ht="25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164"/>
    </row>
    <row r="103" spans="1:18" ht="16.5" customHeight="1">
      <c r="A103" s="129" t="s">
        <v>302</v>
      </c>
      <c r="B103" s="304"/>
      <c r="C103" s="305"/>
      <c r="D103" s="157"/>
      <c r="E103" s="157"/>
      <c r="F103" s="280"/>
      <c r="G103" s="280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64"/>
    </row>
    <row r="104" spans="1:18" ht="21.75" customHeight="1">
      <c r="A104" s="227" t="s">
        <v>303</v>
      </c>
      <c r="B104" s="246"/>
      <c r="C104" s="157"/>
      <c r="D104" s="246" t="s">
        <v>304</v>
      </c>
      <c r="E104" s="246"/>
      <c r="F104" s="280"/>
      <c r="G104" s="280"/>
      <c r="H104" s="159"/>
      <c r="I104" s="160"/>
      <c r="J104" s="159"/>
      <c r="K104" s="160"/>
      <c r="L104" s="159"/>
      <c r="M104" s="160"/>
      <c r="N104" s="159"/>
      <c r="O104" s="160"/>
      <c r="P104" s="159"/>
      <c r="Q104" s="164"/>
    </row>
    <row r="105" spans="1:18" ht="38.25" customHeight="1">
      <c r="A105" s="227"/>
      <c r="B105" s="246"/>
      <c r="C105" s="157"/>
      <c r="D105" s="164"/>
      <c r="E105" s="164"/>
      <c r="F105" s="280"/>
      <c r="G105" s="280"/>
      <c r="H105" s="159"/>
      <c r="I105" s="160"/>
      <c r="J105" s="159"/>
      <c r="K105" s="160"/>
      <c r="L105" s="159"/>
      <c r="M105" s="160"/>
      <c r="N105" s="159"/>
      <c r="O105" s="160"/>
      <c r="P105" s="159"/>
      <c r="Q105" s="281"/>
    </row>
    <row r="106" spans="1:18" ht="19.149999999999999" customHeight="1">
      <c r="A106" s="227" t="s">
        <v>483</v>
      </c>
      <c r="B106" s="246"/>
      <c r="C106" s="157"/>
      <c r="D106" s="164"/>
      <c r="E106" s="164"/>
      <c r="F106" s="280"/>
      <c r="G106" s="280"/>
      <c r="H106" s="159"/>
      <c r="I106" s="160"/>
      <c r="J106" s="159"/>
      <c r="K106" s="160"/>
      <c r="L106" s="159"/>
      <c r="M106" s="160"/>
      <c r="N106" s="159"/>
      <c r="O106" s="160"/>
      <c r="P106" s="1022" t="s">
        <v>350</v>
      </c>
      <c r="Q106" s="1022"/>
    </row>
    <row r="107" spans="1:18" ht="19.149999999999999" customHeight="1">
      <c r="A107" s="129"/>
      <c r="B107" s="246"/>
      <c r="C107" s="157"/>
      <c r="D107" s="157"/>
      <c r="E107" s="157"/>
      <c r="F107" s="280"/>
      <c r="G107" s="280"/>
      <c r="H107" s="159"/>
      <c r="I107" s="160"/>
      <c r="J107" s="159"/>
      <c r="K107" s="160"/>
      <c r="L107" s="159"/>
      <c r="M107" s="160"/>
      <c r="N107" s="159"/>
      <c r="O107" s="160"/>
      <c r="P107" s="159"/>
      <c r="Q107" s="164"/>
    </row>
    <row r="108" spans="1:18" ht="19.149999999999999" customHeight="1">
      <c r="A108" s="1018" t="s">
        <v>0</v>
      </c>
      <c r="B108" s="1018" t="s">
        <v>351</v>
      </c>
      <c r="C108" s="1018" t="s">
        <v>116</v>
      </c>
      <c r="D108" s="1043" t="s">
        <v>352</v>
      </c>
      <c r="E108" s="1018" t="s">
        <v>537</v>
      </c>
      <c r="F108" s="1023" t="s">
        <v>353</v>
      </c>
      <c r="G108" s="1023" t="s">
        <v>308</v>
      </c>
      <c r="H108" s="1025" t="s">
        <v>41</v>
      </c>
      <c r="I108" s="1026"/>
      <c r="J108" s="1025" t="s">
        <v>42</v>
      </c>
      <c r="K108" s="1026"/>
      <c r="L108" s="1025" t="s">
        <v>43</v>
      </c>
      <c r="M108" s="1026"/>
      <c r="N108" s="1025" t="s">
        <v>44</v>
      </c>
      <c r="O108" s="1026"/>
      <c r="P108" s="1025" t="s">
        <v>45</v>
      </c>
      <c r="Q108" s="1026"/>
    </row>
    <row r="109" spans="1:18" ht="19.149999999999999" customHeight="1">
      <c r="A109" s="1019"/>
      <c r="B109" s="1019"/>
      <c r="C109" s="1019"/>
      <c r="D109" s="1044"/>
      <c r="E109" s="1019"/>
      <c r="F109" s="1024"/>
      <c r="G109" s="1024"/>
      <c r="H109" s="247" t="s">
        <v>305</v>
      </c>
      <c r="I109" s="247" t="s">
        <v>306</v>
      </c>
      <c r="J109" s="247" t="s">
        <v>305</v>
      </c>
      <c r="K109" s="247" t="s">
        <v>306</v>
      </c>
      <c r="L109" s="247" t="s">
        <v>305</v>
      </c>
      <c r="M109" s="247" t="s">
        <v>306</v>
      </c>
      <c r="N109" s="247" t="s">
        <v>305</v>
      </c>
      <c r="O109" s="247" t="s">
        <v>306</v>
      </c>
      <c r="P109" s="247" t="s">
        <v>305</v>
      </c>
      <c r="Q109" s="247" t="s">
        <v>306</v>
      </c>
    </row>
    <row r="110" spans="1:18" ht="19.149999999999999" customHeight="1">
      <c r="A110" s="282">
        <v>1</v>
      </c>
      <c r="B110" s="283" t="s">
        <v>354</v>
      </c>
      <c r="C110" s="282" t="s">
        <v>362</v>
      </c>
      <c r="D110" s="233"/>
      <c r="E110" s="233"/>
      <c r="F110" s="290"/>
      <c r="G110" s="290"/>
      <c r="H110" s="233"/>
      <c r="I110" s="291">
        <f>SUM(I112:I114)/100</f>
        <v>246.58799999999999</v>
      </c>
      <c r="J110" s="291"/>
      <c r="K110" s="291">
        <f>SUM(K112:K114)/100</f>
        <v>277.67959999999994</v>
      </c>
      <c r="L110" s="291"/>
      <c r="M110" s="291">
        <f>SUM(M112:M114)/100</f>
        <v>329.99279999999999</v>
      </c>
      <c r="N110" s="291"/>
      <c r="O110" s="291">
        <f>SUM(O112:O114)/100</f>
        <v>371.25599999999997</v>
      </c>
      <c r="P110" s="233"/>
      <c r="Q110" s="233"/>
    </row>
    <row r="111" spans="1:18" ht="19.149999999999999" customHeight="1">
      <c r="A111" s="284"/>
      <c r="B111" s="285"/>
      <c r="C111" s="284"/>
      <c r="D111" s="205"/>
      <c r="E111" s="205"/>
      <c r="F111" s="292"/>
      <c r="G111" s="292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</row>
    <row r="112" spans="1:18" ht="19.149999999999999" customHeight="1">
      <c r="A112" s="286"/>
      <c r="B112" s="287" t="s">
        <v>361</v>
      </c>
      <c r="C112" s="286" t="s">
        <v>147</v>
      </c>
      <c r="D112" s="133">
        <v>1</v>
      </c>
      <c r="E112" s="133">
        <v>0.35</v>
      </c>
      <c r="F112" s="200">
        <f>'Gia-TB'!E7</f>
        <v>15000000</v>
      </c>
      <c r="G112" s="200">
        <f>'Gia-TB'!F7</f>
        <v>6000</v>
      </c>
      <c r="H112" s="772">
        <v>3.64</v>
      </c>
      <c r="I112" s="303">
        <f>G112*H112</f>
        <v>21840</v>
      </c>
      <c r="J112" s="302">
        <v>4.0999999999999996</v>
      </c>
      <c r="K112" s="303">
        <f>G112*J112</f>
        <v>24599.999999999996</v>
      </c>
      <c r="L112" s="302">
        <v>4.87</v>
      </c>
      <c r="M112" s="303">
        <f>G112*L112</f>
        <v>29220</v>
      </c>
      <c r="N112" s="302">
        <v>5.48</v>
      </c>
      <c r="O112" s="303">
        <f>G112*N112</f>
        <v>32880</v>
      </c>
      <c r="P112" s="133"/>
      <c r="Q112" s="133"/>
    </row>
    <row r="113" spans="1:17" ht="19.149999999999999" customHeight="1">
      <c r="A113" s="286"/>
      <c r="B113" s="287" t="s">
        <v>488</v>
      </c>
      <c r="C113" s="286" t="s">
        <v>147</v>
      </c>
      <c r="D113" s="133">
        <v>1</v>
      </c>
      <c r="E113" s="133"/>
      <c r="F113" s="200">
        <f>'Gia-TB'!E17</f>
        <v>5800000</v>
      </c>
      <c r="G113" s="200">
        <f>'Gia-TB'!F17</f>
        <v>1160</v>
      </c>
      <c r="H113" s="774">
        <v>5.0000000000000001E-3</v>
      </c>
      <c r="I113" s="294">
        <f>G113*H113</f>
        <v>5.8</v>
      </c>
      <c r="J113" s="775">
        <v>6.0000000000000001E-3</v>
      </c>
      <c r="K113" s="303">
        <f>G113*J113</f>
        <v>6.96</v>
      </c>
      <c r="L113" s="775">
        <v>8.0000000000000002E-3</v>
      </c>
      <c r="M113" s="303">
        <f>G113*L113</f>
        <v>9.2799999999999994</v>
      </c>
      <c r="N113" s="293">
        <v>0.01</v>
      </c>
      <c r="O113" s="303">
        <f>G113*N113</f>
        <v>11.6</v>
      </c>
      <c r="P113" s="293"/>
      <c r="Q113" s="293"/>
    </row>
    <row r="114" spans="1:17" ht="19.149999999999999" customHeight="1">
      <c r="A114" s="286"/>
      <c r="B114" s="287" t="s">
        <v>145</v>
      </c>
      <c r="C114" s="286" t="s">
        <v>147</v>
      </c>
      <c r="D114" s="133">
        <v>1</v>
      </c>
      <c r="E114" s="133">
        <v>2.2000000000000002</v>
      </c>
      <c r="F114" s="200">
        <f>'Gia-TB'!E9</f>
        <v>14500000</v>
      </c>
      <c r="G114" s="200">
        <f>'Gia-TB'!F9</f>
        <v>2900</v>
      </c>
      <c r="H114" s="772">
        <v>0.97</v>
      </c>
      <c r="I114" s="303">
        <f>G114*H114</f>
        <v>2813</v>
      </c>
      <c r="J114" s="302">
        <v>1.0900000000000001</v>
      </c>
      <c r="K114" s="303">
        <f>G114*J114</f>
        <v>3161.0000000000005</v>
      </c>
      <c r="L114" s="302">
        <v>1.3</v>
      </c>
      <c r="M114" s="303">
        <f>G114*L114</f>
        <v>3770</v>
      </c>
      <c r="N114" s="302">
        <v>1.46</v>
      </c>
      <c r="O114" s="303">
        <f>G114*N114</f>
        <v>4234</v>
      </c>
      <c r="P114" s="133"/>
      <c r="Q114" s="133"/>
    </row>
    <row r="115" spans="1:17" ht="19.149999999999999" customHeight="1">
      <c r="A115" s="288"/>
      <c r="B115" s="289" t="s">
        <v>186</v>
      </c>
      <c r="C115" s="288" t="s">
        <v>39</v>
      </c>
      <c r="D115" s="140"/>
      <c r="E115" s="140"/>
      <c r="F115" s="258"/>
      <c r="G115" s="307">
        <f>'Gia-DC'!E89</f>
        <v>1554</v>
      </c>
      <c r="H115" s="747">
        <v>28.72</v>
      </c>
      <c r="I115" s="140"/>
      <c r="J115" s="140">
        <v>32.33</v>
      </c>
      <c r="K115" s="303">
        <f>G115*J115</f>
        <v>50240.82</v>
      </c>
      <c r="L115" s="140">
        <v>38.340000000000003</v>
      </c>
      <c r="M115" s="303">
        <f>G115*L115</f>
        <v>59580.360000000008</v>
      </c>
      <c r="N115" s="140">
        <v>43.15</v>
      </c>
      <c r="O115" s="303">
        <f>G115*N115</f>
        <v>67055.099999999991</v>
      </c>
      <c r="P115" s="140"/>
      <c r="Q115" s="140"/>
    </row>
    <row r="116" spans="1:17" ht="19.149999999999999" customHeight="1">
      <c r="A116" s="282">
        <v>2</v>
      </c>
      <c r="B116" s="283" t="s">
        <v>357</v>
      </c>
      <c r="C116" s="282" t="s">
        <v>362</v>
      </c>
      <c r="D116" s="233"/>
      <c r="E116" s="233"/>
      <c r="F116" s="290"/>
      <c r="G116" s="290"/>
      <c r="H116" s="773"/>
      <c r="I116" s="291">
        <f>SUM(I118:I120)/100</f>
        <v>188.3064</v>
      </c>
      <c r="J116" s="291"/>
      <c r="K116" s="291">
        <f>SUM(K118:K120)/100</f>
        <v>204.458</v>
      </c>
      <c r="L116" s="291"/>
      <c r="M116" s="291">
        <f>SUM(M118:M120)/100</f>
        <v>232.25959999999998</v>
      </c>
      <c r="N116" s="291"/>
      <c r="O116" s="291">
        <f>SUM(O118:O120)/100</f>
        <v>271.1112</v>
      </c>
      <c r="P116" s="291"/>
      <c r="Q116" s="291">
        <f>SUM(Q118:Q120)/100</f>
        <v>309.6728</v>
      </c>
    </row>
    <row r="117" spans="1:17" ht="19.149999999999999" customHeight="1">
      <c r="A117" s="284"/>
      <c r="B117" s="285"/>
      <c r="C117" s="284"/>
      <c r="D117" s="205"/>
      <c r="E117" s="205"/>
      <c r="F117" s="292"/>
      <c r="G117" s="292"/>
      <c r="H117" s="746"/>
      <c r="I117" s="205"/>
      <c r="J117" s="205"/>
      <c r="K117" s="205"/>
      <c r="L117" s="205"/>
      <c r="M117" s="205"/>
      <c r="N117" s="205"/>
      <c r="O117" s="205"/>
      <c r="P117" s="205"/>
      <c r="Q117" s="205"/>
    </row>
    <row r="118" spans="1:17" ht="19.149999999999999" customHeight="1">
      <c r="A118" s="286"/>
      <c r="B118" s="287" t="s">
        <v>361</v>
      </c>
      <c r="C118" s="286" t="s">
        <v>147</v>
      </c>
      <c r="D118" s="133">
        <v>1</v>
      </c>
      <c r="E118" s="133">
        <v>0.35</v>
      </c>
      <c r="F118" s="200">
        <f t="shared" ref="F118:G120" si="16">F112</f>
        <v>15000000</v>
      </c>
      <c r="G118" s="200">
        <f t="shared" si="16"/>
        <v>6000</v>
      </c>
      <c r="H118" s="772">
        <v>2.78</v>
      </c>
      <c r="I118" s="294">
        <f>G118*H118</f>
        <v>16680</v>
      </c>
      <c r="J118" s="302">
        <v>3.02</v>
      </c>
      <c r="K118" s="294">
        <f>G118*J118</f>
        <v>18120</v>
      </c>
      <c r="L118" s="302">
        <v>3.43</v>
      </c>
      <c r="M118" s="294">
        <f>G118*L118</f>
        <v>20580</v>
      </c>
      <c r="N118" s="302">
        <v>4</v>
      </c>
      <c r="O118" s="294">
        <f>G118*N118</f>
        <v>24000</v>
      </c>
      <c r="P118" s="302">
        <v>4.57</v>
      </c>
      <c r="Q118" s="294">
        <f>G118*P118</f>
        <v>27420</v>
      </c>
    </row>
    <row r="119" spans="1:17" ht="19.149999999999999" customHeight="1">
      <c r="A119" s="286"/>
      <c r="B119" s="287" t="s">
        <v>488</v>
      </c>
      <c r="C119" s="286" t="s">
        <v>147</v>
      </c>
      <c r="D119" s="133">
        <v>1</v>
      </c>
      <c r="E119" s="133"/>
      <c r="F119" s="200">
        <f t="shared" si="16"/>
        <v>5800000</v>
      </c>
      <c r="G119" s="200">
        <f t="shared" si="16"/>
        <v>1160</v>
      </c>
      <c r="H119" s="774">
        <v>4.0000000000000001E-3</v>
      </c>
      <c r="I119" s="294">
        <f>G119*H119</f>
        <v>4.6399999999999997</v>
      </c>
      <c r="J119" s="775">
        <v>5.0000000000000001E-3</v>
      </c>
      <c r="K119" s="294">
        <f>G119*J119</f>
        <v>5.8</v>
      </c>
      <c r="L119" s="775">
        <v>6.0000000000000001E-3</v>
      </c>
      <c r="M119" s="294">
        <f>G119*L119</f>
        <v>6.96</v>
      </c>
      <c r="N119" s="775">
        <v>7.0000000000000001E-3</v>
      </c>
      <c r="O119" s="294">
        <f>G119*N119</f>
        <v>8.120000000000001</v>
      </c>
      <c r="P119" s="775">
        <v>8.0000000000000002E-3</v>
      </c>
      <c r="Q119" s="293">
        <f>G119*P119</f>
        <v>9.2799999999999994</v>
      </c>
    </row>
    <row r="120" spans="1:17" ht="19.149999999999999" customHeight="1">
      <c r="A120" s="286"/>
      <c r="B120" s="287" t="s">
        <v>145</v>
      </c>
      <c r="C120" s="286" t="s">
        <v>147</v>
      </c>
      <c r="D120" s="133">
        <v>1</v>
      </c>
      <c r="E120" s="133">
        <v>2.2000000000000002</v>
      </c>
      <c r="F120" s="200">
        <f t="shared" si="16"/>
        <v>14500000</v>
      </c>
      <c r="G120" s="200">
        <f t="shared" si="16"/>
        <v>2900</v>
      </c>
      <c r="H120" s="772">
        <v>0.74</v>
      </c>
      <c r="I120" s="294">
        <f>G120*H120</f>
        <v>2146</v>
      </c>
      <c r="J120" s="302">
        <v>0.8</v>
      </c>
      <c r="K120" s="294">
        <f>G120*J120</f>
        <v>2320</v>
      </c>
      <c r="L120" s="302">
        <v>0.91</v>
      </c>
      <c r="M120" s="294">
        <f>G120*L120</f>
        <v>2639</v>
      </c>
      <c r="N120" s="302">
        <v>1.07</v>
      </c>
      <c r="O120" s="294">
        <f>G120*N120</f>
        <v>3103</v>
      </c>
      <c r="P120" s="302">
        <v>1.22</v>
      </c>
      <c r="Q120" s="294">
        <f>G120*P120</f>
        <v>3538</v>
      </c>
    </row>
    <row r="121" spans="1:17" ht="19.149999999999999" customHeight="1">
      <c r="A121" s="288"/>
      <c r="B121" s="289" t="s">
        <v>186</v>
      </c>
      <c r="C121" s="288" t="s">
        <v>39</v>
      </c>
      <c r="D121" s="140"/>
      <c r="E121" s="140"/>
      <c r="F121" s="258"/>
      <c r="G121" s="258">
        <f>'Gia-DC'!E89</f>
        <v>1554</v>
      </c>
      <c r="H121" s="747">
        <v>21.92</v>
      </c>
      <c r="I121" s="294">
        <f>G121*H121</f>
        <v>34063.68</v>
      </c>
      <c r="J121" s="140">
        <v>23.72</v>
      </c>
      <c r="K121" s="294">
        <f>G121*J121</f>
        <v>36860.879999999997</v>
      </c>
      <c r="L121" s="140">
        <v>27.02</v>
      </c>
      <c r="M121" s="294">
        <f>G121*L121</f>
        <v>41989.08</v>
      </c>
      <c r="N121" s="140">
        <v>31.43</v>
      </c>
      <c r="O121" s="294">
        <f>G121*N121</f>
        <v>48842.22</v>
      </c>
      <c r="P121" s="140">
        <v>35.93</v>
      </c>
      <c r="Q121" s="294">
        <f>G121*P121</f>
        <v>55835.22</v>
      </c>
    </row>
    <row r="122" spans="1:17" ht="19.149999999999999" customHeight="1">
      <c r="A122" s="282">
        <v>3</v>
      </c>
      <c r="B122" s="283" t="s">
        <v>358</v>
      </c>
      <c r="C122" s="282" t="s">
        <v>362</v>
      </c>
      <c r="D122" s="233"/>
      <c r="E122" s="233"/>
      <c r="F122" s="295"/>
      <c r="G122" s="290"/>
      <c r="H122" s="296"/>
      <c r="I122" s="291">
        <f>SUM(I124:I126)/100</f>
        <v>144.35319999999999</v>
      </c>
      <c r="J122" s="291"/>
      <c r="K122" s="291">
        <f>SUM(K124:K126)/100</f>
        <v>149.7448</v>
      </c>
      <c r="L122" s="291"/>
      <c r="M122" s="291">
        <f>SUM(M124:M126)/100</f>
        <v>159.31639999999999</v>
      </c>
      <c r="N122" s="291"/>
      <c r="O122" s="291">
        <f>SUM(O124:O126)/100</f>
        <v>172.178</v>
      </c>
      <c r="P122" s="291"/>
      <c r="Q122" s="291">
        <f>SUM(Q124:Q126)/100</f>
        <v>187.7296</v>
      </c>
    </row>
    <row r="123" spans="1:17" ht="19.149999999999999" customHeight="1">
      <c r="A123" s="284"/>
      <c r="B123" s="285"/>
      <c r="C123" s="284"/>
      <c r="D123" s="205"/>
      <c r="E123" s="205"/>
      <c r="F123" s="297"/>
      <c r="G123" s="292"/>
      <c r="H123" s="298"/>
      <c r="I123" s="298"/>
      <c r="J123" s="298"/>
      <c r="K123" s="298"/>
      <c r="L123" s="298"/>
      <c r="M123" s="298" t="s">
        <v>527</v>
      </c>
      <c r="N123" s="298"/>
      <c r="O123" s="298"/>
      <c r="P123" s="298"/>
      <c r="Q123" s="298"/>
    </row>
    <row r="124" spans="1:17" ht="19.149999999999999" customHeight="1">
      <c r="A124" s="286"/>
      <c r="B124" s="287" t="s">
        <v>361</v>
      </c>
      <c r="C124" s="286" t="s">
        <v>147</v>
      </c>
      <c r="D124" s="133">
        <v>1</v>
      </c>
      <c r="E124" s="133">
        <v>0.35</v>
      </c>
      <c r="F124" s="200">
        <f t="shared" ref="F124:G126" si="17">F118</f>
        <v>15000000</v>
      </c>
      <c r="G124" s="200">
        <f t="shared" si="17"/>
        <v>6000</v>
      </c>
      <c r="H124" s="293">
        <v>2.13</v>
      </c>
      <c r="I124" s="294">
        <f>G124*H124</f>
        <v>12780</v>
      </c>
      <c r="J124" s="293">
        <v>2.21</v>
      </c>
      <c r="K124" s="294">
        <f>G124*J124</f>
        <v>13260</v>
      </c>
      <c r="L124" s="293">
        <v>2.35</v>
      </c>
      <c r="M124" s="294">
        <f>G124*L124</f>
        <v>14100</v>
      </c>
      <c r="N124" s="293">
        <v>2.54</v>
      </c>
      <c r="O124" s="294">
        <f>G124*N124</f>
        <v>15240</v>
      </c>
      <c r="P124" s="293">
        <v>2.77</v>
      </c>
      <c r="Q124" s="294">
        <f>G124*P124</f>
        <v>16620</v>
      </c>
    </row>
    <row r="125" spans="1:17" ht="19.149999999999999" customHeight="1">
      <c r="A125" s="286"/>
      <c r="B125" s="287" t="s">
        <v>488</v>
      </c>
      <c r="C125" s="286" t="s">
        <v>147</v>
      </c>
      <c r="D125" s="133">
        <v>1</v>
      </c>
      <c r="E125" s="133"/>
      <c r="F125" s="200">
        <f t="shared" si="17"/>
        <v>5800000</v>
      </c>
      <c r="G125" s="200">
        <f t="shared" si="17"/>
        <v>1160</v>
      </c>
      <c r="H125" s="775">
        <v>2E-3</v>
      </c>
      <c r="I125" s="294">
        <f>G125*H125</f>
        <v>2.3199999999999998</v>
      </c>
      <c r="J125" s="775">
        <v>3.0000000000000001E-3</v>
      </c>
      <c r="K125" s="294">
        <f>G125*J125</f>
        <v>3.48</v>
      </c>
      <c r="L125" s="775">
        <v>4.0000000000000001E-3</v>
      </c>
      <c r="M125" s="294">
        <f>G125*L125</f>
        <v>4.6399999999999997</v>
      </c>
      <c r="N125" s="775">
        <v>5.0000000000000001E-3</v>
      </c>
      <c r="O125" s="294">
        <f>G125*N125</f>
        <v>5.8</v>
      </c>
      <c r="P125" s="775">
        <v>6.0000000000000001E-3</v>
      </c>
      <c r="Q125" s="293">
        <f>G125*P125</f>
        <v>6.96</v>
      </c>
    </row>
    <row r="126" spans="1:17" ht="19.149999999999999" customHeight="1">
      <c r="A126" s="286"/>
      <c r="B126" s="287" t="s">
        <v>145</v>
      </c>
      <c r="C126" s="286" t="s">
        <v>147</v>
      </c>
      <c r="D126" s="133">
        <v>1</v>
      </c>
      <c r="E126" s="133">
        <v>2.2000000000000002</v>
      </c>
      <c r="F126" s="200">
        <f t="shared" si="17"/>
        <v>14500000</v>
      </c>
      <c r="G126" s="200">
        <f t="shared" si="17"/>
        <v>2900</v>
      </c>
      <c r="H126" s="293">
        <v>0.56999999999999995</v>
      </c>
      <c r="I126" s="294">
        <f>G126*H126</f>
        <v>1652.9999999999998</v>
      </c>
      <c r="J126" s="293">
        <v>0.59</v>
      </c>
      <c r="K126" s="294">
        <f>G126*J126</f>
        <v>1711</v>
      </c>
      <c r="L126" s="293">
        <v>0.63</v>
      </c>
      <c r="M126" s="294">
        <f>G126*L126</f>
        <v>1827</v>
      </c>
      <c r="N126" s="293">
        <v>0.68</v>
      </c>
      <c r="O126" s="294">
        <f>G126*N126</f>
        <v>1972.0000000000002</v>
      </c>
      <c r="P126" s="293">
        <v>0.74</v>
      </c>
      <c r="Q126" s="294">
        <f>G126*P126</f>
        <v>2146</v>
      </c>
    </row>
    <row r="127" spans="1:17" ht="19.149999999999999" customHeight="1">
      <c r="A127" s="288"/>
      <c r="B127" s="289" t="s">
        <v>186</v>
      </c>
      <c r="C127" s="288" t="s">
        <v>39</v>
      </c>
      <c r="D127" s="140"/>
      <c r="E127" s="140"/>
      <c r="F127" s="258"/>
      <c r="G127" s="258">
        <f>'Gia-DC'!E89</f>
        <v>1554</v>
      </c>
      <c r="H127" s="300">
        <v>16.809999999999999</v>
      </c>
      <c r="I127" s="294">
        <f>G127*H127</f>
        <v>26122.739999999998</v>
      </c>
      <c r="J127" s="300">
        <v>17.41</v>
      </c>
      <c r="K127" s="294">
        <f>G127*J127</f>
        <v>27055.14</v>
      </c>
      <c r="L127" s="300">
        <v>18.52</v>
      </c>
      <c r="M127" s="294">
        <f>G127*L127</f>
        <v>28780.079999999998</v>
      </c>
      <c r="N127" s="300">
        <v>20.02</v>
      </c>
      <c r="O127" s="294">
        <f>G127*N127</f>
        <v>31111.079999999998</v>
      </c>
      <c r="P127" s="300">
        <v>21.83</v>
      </c>
      <c r="Q127" s="294">
        <f>G127*P127</f>
        <v>33923.82</v>
      </c>
    </row>
    <row r="128" spans="1:17" ht="19.149999999999999" customHeight="1">
      <c r="A128" s="282">
        <v>4</v>
      </c>
      <c r="B128" s="283" t="s">
        <v>359</v>
      </c>
      <c r="C128" s="282" t="s">
        <v>362</v>
      </c>
      <c r="D128" s="233"/>
      <c r="E128" s="233"/>
      <c r="F128" s="290"/>
      <c r="G128" s="290"/>
      <c r="H128" s="290"/>
      <c r="I128" s="290">
        <f>SUM(I130:I132)/100</f>
        <v>149.13320000000002</v>
      </c>
      <c r="J128" s="290"/>
      <c r="K128" s="290">
        <f>SUM(K130:K132)/100</f>
        <v>157.81479999999999</v>
      </c>
      <c r="L128" s="290"/>
      <c r="M128" s="290">
        <f>SUM(M130:M132)/100</f>
        <v>167.38639999999998</v>
      </c>
      <c r="N128" s="290"/>
      <c r="O128" s="290">
        <f>SUM(O130:O132)/100</f>
        <v>178.15799999999999</v>
      </c>
      <c r="P128" s="290"/>
      <c r="Q128" s="290">
        <f>SUM(Q130:Q132)/100</f>
        <v>200.5796</v>
      </c>
    </row>
    <row r="129" spans="1:17" ht="19.149999999999999" customHeight="1">
      <c r="A129" s="284"/>
      <c r="B129" s="285"/>
      <c r="C129" s="284"/>
      <c r="D129" s="205"/>
      <c r="E129" s="205"/>
      <c r="F129" s="292"/>
      <c r="G129" s="292"/>
      <c r="H129" s="292"/>
      <c r="I129" s="292"/>
      <c r="J129" s="292"/>
      <c r="K129" s="298"/>
      <c r="L129" s="298"/>
      <c r="M129" s="298"/>
      <c r="N129" s="298"/>
      <c r="O129" s="298"/>
      <c r="P129" s="298"/>
      <c r="Q129" s="298"/>
    </row>
    <row r="130" spans="1:17" ht="21.75" customHeight="1">
      <c r="A130" s="286"/>
      <c r="B130" s="287" t="s">
        <v>361</v>
      </c>
      <c r="C130" s="286" t="s">
        <v>147</v>
      </c>
      <c r="D130" s="133">
        <v>1</v>
      </c>
      <c r="E130" s="133"/>
      <c r="F130" s="200">
        <f t="shared" ref="F130:G132" si="18">F124</f>
        <v>15000000</v>
      </c>
      <c r="G130" s="200">
        <f t="shared" si="18"/>
        <v>6000</v>
      </c>
      <c r="H130" s="293">
        <v>2.2000000000000002</v>
      </c>
      <c r="I130" s="294">
        <f>G130*H130</f>
        <v>13200.000000000002</v>
      </c>
      <c r="J130" s="293">
        <v>2.33</v>
      </c>
      <c r="K130" s="294">
        <f>G130*J130</f>
        <v>13980</v>
      </c>
      <c r="L130" s="293">
        <v>2.4700000000000002</v>
      </c>
      <c r="M130" s="294">
        <f>G130*L130</f>
        <v>14820.000000000002</v>
      </c>
      <c r="N130" s="293">
        <v>2.63</v>
      </c>
      <c r="O130" s="294">
        <f>G130*N130</f>
        <v>15780</v>
      </c>
      <c r="P130" s="293">
        <v>2.96</v>
      </c>
      <c r="Q130" s="294">
        <f>G130*P130</f>
        <v>17760</v>
      </c>
    </row>
    <row r="131" spans="1:17" ht="38.25" customHeight="1">
      <c r="A131" s="286"/>
      <c r="B131" s="287" t="s">
        <v>488</v>
      </c>
      <c r="C131" s="286" t="s">
        <v>147</v>
      </c>
      <c r="D131" s="133">
        <v>1</v>
      </c>
      <c r="E131" s="133"/>
      <c r="F131" s="200">
        <f t="shared" si="18"/>
        <v>5800000</v>
      </c>
      <c r="G131" s="200">
        <f t="shared" si="18"/>
        <v>1160</v>
      </c>
      <c r="H131" s="775">
        <v>2E-3</v>
      </c>
      <c r="I131" s="294">
        <f>G131*H131</f>
        <v>2.3199999999999998</v>
      </c>
      <c r="J131" s="775">
        <v>3.0000000000000001E-3</v>
      </c>
      <c r="K131" s="294">
        <f>G131*J131</f>
        <v>3.48</v>
      </c>
      <c r="L131" s="775">
        <v>4.0000000000000001E-3</v>
      </c>
      <c r="M131" s="294">
        <f>G131*L131</f>
        <v>4.6399999999999997</v>
      </c>
      <c r="N131" s="775">
        <v>5.0000000000000001E-3</v>
      </c>
      <c r="O131" s="294">
        <f>G131*N131</f>
        <v>5.8</v>
      </c>
      <c r="P131" s="775">
        <v>6.0000000000000001E-3</v>
      </c>
      <c r="Q131" s="293">
        <f>G131*P131</f>
        <v>6.96</v>
      </c>
    </row>
    <row r="132" spans="1:17" ht="21" customHeight="1">
      <c r="A132" s="286"/>
      <c r="B132" s="287" t="s">
        <v>145</v>
      </c>
      <c r="C132" s="286" t="s">
        <v>147</v>
      </c>
      <c r="D132" s="133">
        <v>1</v>
      </c>
      <c r="E132" s="133">
        <v>2.2000000000000002</v>
      </c>
      <c r="F132" s="200">
        <f t="shared" si="18"/>
        <v>14500000</v>
      </c>
      <c r="G132" s="200">
        <f t="shared" si="18"/>
        <v>2900</v>
      </c>
      <c r="H132" s="293">
        <v>0.59</v>
      </c>
      <c r="I132" s="294">
        <f>G132*H132</f>
        <v>1711</v>
      </c>
      <c r="J132" s="293">
        <v>0.62</v>
      </c>
      <c r="K132" s="294">
        <f>G132*J132</f>
        <v>1798</v>
      </c>
      <c r="L132" s="293">
        <v>0.66</v>
      </c>
      <c r="M132" s="294">
        <f>G132*L132</f>
        <v>1914</v>
      </c>
      <c r="N132" s="293">
        <v>0.7</v>
      </c>
      <c r="O132" s="294">
        <f>G132*N132</f>
        <v>2029.9999999999998</v>
      </c>
      <c r="P132" s="293">
        <v>0.79</v>
      </c>
      <c r="Q132" s="294">
        <f>G132*P132</f>
        <v>2291</v>
      </c>
    </row>
    <row r="133" spans="1:17" ht="21" customHeight="1">
      <c r="A133" s="288"/>
      <c r="B133" s="289" t="s">
        <v>186</v>
      </c>
      <c r="C133" s="288" t="s">
        <v>39</v>
      </c>
      <c r="D133" s="140"/>
      <c r="E133" s="140"/>
      <c r="F133" s="258"/>
      <c r="G133" s="258">
        <f>'Gia-DC'!E89</f>
        <v>1554</v>
      </c>
      <c r="H133" s="300">
        <v>17.309999999999999</v>
      </c>
      <c r="I133" s="294">
        <f>G133*H133</f>
        <v>26899.739999999998</v>
      </c>
      <c r="J133" s="300">
        <v>18.41</v>
      </c>
      <c r="K133" s="294">
        <f>G133*J133</f>
        <v>28609.14</v>
      </c>
      <c r="L133" s="300">
        <v>19.41</v>
      </c>
      <c r="M133" s="294">
        <f>G133*L133</f>
        <v>30163.14</v>
      </c>
      <c r="N133" s="300">
        <v>20.72</v>
      </c>
      <c r="O133" s="294">
        <f>G133*N133</f>
        <v>32198.879999999997</v>
      </c>
      <c r="P133" s="300">
        <v>21.93</v>
      </c>
      <c r="Q133" s="294">
        <f>G133*P133</f>
        <v>34079.22</v>
      </c>
    </row>
    <row r="134" spans="1:17" ht="21" customHeight="1">
      <c r="A134" s="282">
        <v>5</v>
      </c>
      <c r="B134" s="283" t="s">
        <v>360</v>
      </c>
      <c r="C134" s="282" t="s">
        <v>362</v>
      </c>
      <c r="D134" s="233"/>
      <c r="E134" s="233"/>
      <c r="F134" s="290"/>
      <c r="G134" s="290"/>
      <c r="H134" s="301"/>
      <c r="I134" s="291">
        <f>SUM(I136:I138)/100</f>
        <v>178.73480000000001</v>
      </c>
      <c r="J134" s="291"/>
      <c r="K134" s="291">
        <f>SUM(K136:K138)/100</f>
        <v>187.7064</v>
      </c>
      <c r="L134" s="301"/>
      <c r="M134" s="291">
        <f>SUM(M136:M138)/100</f>
        <v>210.12799999999999</v>
      </c>
      <c r="N134" s="291"/>
      <c r="O134" s="291">
        <f>SUM(O136:O138)/100</f>
        <v>218.798</v>
      </c>
      <c r="P134" s="301"/>
      <c r="Q134" s="301"/>
    </row>
    <row r="135" spans="1:17" ht="21" customHeight="1">
      <c r="A135" s="284"/>
      <c r="B135" s="285"/>
      <c r="C135" s="284"/>
      <c r="D135" s="205"/>
      <c r="E135" s="205"/>
      <c r="F135" s="292"/>
      <c r="G135" s="292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</row>
    <row r="136" spans="1:17" ht="21" customHeight="1">
      <c r="A136" s="286"/>
      <c r="B136" s="287" t="s">
        <v>361</v>
      </c>
      <c r="C136" s="286" t="s">
        <v>147</v>
      </c>
      <c r="D136" s="133">
        <v>1</v>
      </c>
      <c r="E136" s="133"/>
      <c r="F136" s="200">
        <f t="shared" ref="F136:G138" si="19">F130</f>
        <v>15000000</v>
      </c>
      <c r="G136" s="200">
        <f t="shared" si="19"/>
        <v>6000</v>
      </c>
      <c r="H136" s="293">
        <v>2.64</v>
      </c>
      <c r="I136" s="294">
        <f>G136*H136</f>
        <v>15840</v>
      </c>
      <c r="J136" s="293">
        <v>2.77</v>
      </c>
      <c r="K136" s="294">
        <f>G136*J136</f>
        <v>16620</v>
      </c>
      <c r="L136" s="293">
        <v>3.1</v>
      </c>
      <c r="M136" s="294">
        <f>G136*L136</f>
        <v>18600</v>
      </c>
      <c r="N136" s="293">
        <v>3.23</v>
      </c>
      <c r="O136" s="294">
        <f>G136*N136</f>
        <v>19380</v>
      </c>
      <c r="P136" s="293"/>
      <c r="Q136" s="293"/>
    </row>
    <row r="137" spans="1:17" ht="21" customHeight="1">
      <c r="A137" s="286"/>
      <c r="B137" s="287" t="s">
        <v>488</v>
      </c>
      <c r="C137" s="286" t="s">
        <v>147</v>
      </c>
      <c r="D137" s="133">
        <v>1</v>
      </c>
      <c r="E137" s="133"/>
      <c r="F137" s="200">
        <f t="shared" si="19"/>
        <v>5800000</v>
      </c>
      <c r="G137" s="200">
        <f t="shared" si="19"/>
        <v>1160</v>
      </c>
      <c r="H137" s="775">
        <v>3.0000000000000001E-3</v>
      </c>
      <c r="I137" s="294">
        <f>G137*H137</f>
        <v>3.48</v>
      </c>
      <c r="J137" s="775">
        <v>4.0000000000000001E-3</v>
      </c>
      <c r="K137" s="294">
        <f>G137*J137</f>
        <v>4.6399999999999997</v>
      </c>
      <c r="L137" s="775">
        <v>5.0000000000000001E-3</v>
      </c>
      <c r="M137" s="294">
        <f>G137*L137</f>
        <v>5.8</v>
      </c>
      <c r="N137" s="775">
        <v>5.0000000000000001E-3</v>
      </c>
      <c r="O137" s="294">
        <f>G137*N137</f>
        <v>5.8</v>
      </c>
      <c r="P137" s="293"/>
      <c r="Q137" s="293"/>
    </row>
    <row r="138" spans="1:17" ht="21" customHeight="1">
      <c r="A138" s="286"/>
      <c r="B138" s="287" t="s">
        <v>145</v>
      </c>
      <c r="C138" s="286" t="s">
        <v>147</v>
      </c>
      <c r="D138" s="133">
        <v>1</v>
      </c>
      <c r="E138" s="133">
        <v>2.2000000000000002</v>
      </c>
      <c r="F138" s="200">
        <f t="shared" si="19"/>
        <v>14500000</v>
      </c>
      <c r="G138" s="200">
        <f t="shared" si="19"/>
        <v>2900</v>
      </c>
      <c r="H138" s="293">
        <v>0.7</v>
      </c>
      <c r="I138" s="294">
        <f>G138*H138</f>
        <v>2029.9999999999998</v>
      </c>
      <c r="J138" s="293">
        <v>0.74</v>
      </c>
      <c r="K138" s="294">
        <f>G138*J138</f>
        <v>2146</v>
      </c>
      <c r="L138" s="293">
        <v>0.83</v>
      </c>
      <c r="M138" s="294">
        <f>G138*L138</f>
        <v>2407</v>
      </c>
      <c r="N138" s="293">
        <v>0.86</v>
      </c>
      <c r="O138" s="294">
        <f>G138*N138</f>
        <v>2494</v>
      </c>
      <c r="P138" s="293"/>
      <c r="Q138" s="293"/>
    </row>
    <row r="139" spans="1:17" ht="21" customHeight="1">
      <c r="A139" s="288"/>
      <c r="B139" s="289" t="s">
        <v>186</v>
      </c>
      <c r="C139" s="288" t="s">
        <v>39</v>
      </c>
      <c r="D139" s="140"/>
      <c r="E139" s="140"/>
      <c r="F139" s="299"/>
      <c r="G139" s="258">
        <f>'Gia-DC'!E89</f>
        <v>1554</v>
      </c>
      <c r="H139" s="300">
        <v>20.81</v>
      </c>
      <c r="I139" s="294">
        <f>G139*H139</f>
        <v>32338.739999999998</v>
      </c>
      <c r="J139" s="300">
        <v>21.82</v>
      </c>
      <c r="K139" s="294">
        <f>G139*J139</f>
        <v>33908.28</v>
      </c>
      <c r="L139" s="300">
        <v>24.42</v>
      </c>
      <c r="M139" s="294">
        <f>G139*L139</f>
        <v>37948.68</v>
      </c>
      <c r="N139" s="300">
        <v>25.42</v>
      </c>
      <c r="O139" s="294">
        <f>G139*N139</f>
        <v>39502.68</v>
      </c>
      <c r="P139" s="300"/>
      <c r="Q139" s="300"/>
    </row>
    <row r="140" spans="1:17" ht="21" customHeight="1">
      <c r="A140" s="282">
        <v>6</v>
      </c>
      <c r="B140" s="283" t="s">
        <v>487</v>
      </c>
      <c r="C140" s="282" t="s">
        <v>362</v>
      </c>
      <c r="D140" s="233"/>
      <c r="E140" s="233"/>
      <c r="F140" s="290"/>
      <c r="G140" s="290"/>
      <c r="H140" s="301"/>
      <c r="I140" s="291">
        <f>SUM(I142:I144)/100</f>
        <v>268.11959999999999</v>
      </c>
      <c r="J140" s="291"/>
      <c r="K140" s="291">
        <f>SUM(K142:K144)/100</f>
        <v>281.88279999999997</v>
      </c>
      <c r="L140" s="301"/>
      <c r="M140" s="291">
        <f>SUM(M142:M144)/100</f>
        <v>315.36600000000004</v>
      </c>
      <c r="N140" s="291"/>
      <c r="O140" s="291">
        <f>SUM(O142:O144)/100</f>
        <v>328.56080000000003</v>
      </c>
      <c r="P140" s="301"/>
      <c r="Q140" s="301"/>
    </row>
    <row r="141" spans="1:17" ht="21" customHeight="1">
      <c r="A141" s="284"/>
      <c r="B141" s="285"/>
      <c r="C141" s="284"/>
      <c r="D141" s="205"/>
      <c r="E141" s="205"/>
      <c r="F141" s="292"/>
      <c r="G141" s="292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</row>
    <row r="142" spans="1:17">
      <c r="A142" s="286"/>
      <c r="B142" s="287" t="s">
        <v>361</v>
      </c>
      <c r="C142" s="286" t="s">
        <v>147</v>
      </c>
      <c r="D142" s="133">
        <v>1</v>
      </c>
      <c r="E142" s="133"/>
      <c r="F142" s="200">
        <f t="shared" ref="F142:G144" si="20">F136</f>
        <v>15000000</v>
      </c>
      <c r="G142" s="200">
        <f t="shared" si="20"/>
        <v>6000</v>
      </c>
      <c r="H142" s="293">
        <v>3.96</v>
      </c>
      <c r="I142" s="294">
        <f>G142*H142</f>
        <v>23760</v>
      </c>
      <c r="J142" s="293">
        <v>4.16</v>
      </c>
      <c r="K142" s="294">
        <f>G142*J142</f>
        <v>24960</v>
      </c>
      <c r="L142" s="293">
        <v>4.6500000000000004</v>
      </c>
      <c r="M142" s="294">
        <f>G142*L142</f>
        <v>27900.000000000004</v>
      </c>
      <c r="N142" s="293">
        <v>4.8499999999999996</v>
      </c>
      <c r="O142" s="294">
        <f>G142*N142</f>
        <v>29099.999999999996</v>
      </c>
      <c r="P142" s="293"/>
      <c r="Q142" s="293"/>
    </row>
    <row r="143" spans="1:17" ht="20.45" customHeight="1">
      <c r="A143" s="286"/>
      <c r="B143" s="287" t="s">
        <v>488</v>
      </c>
      <c r="C143" s="286" t="s">
        <v>147</v>
      </c>
      <c r="D143" s="133">
        <v>1</v>
      </c>
      <c r="E143" s="133"/>
      <c r="F143" s="200">
        <f t="shared" si="20"/>
        <v>5800000</v>
      </c>
      <c r="G143" s="200">
        <f>G137</f>
        <v>1160</v>
      </c>
      <c r="H143" s="775">
        <v>6.0000000000000001E-3</v>
      </c>
      <c r="I143" s="294">
        <f>G143*H143</f>
        <v>6.96</v>
      </c>
      <c r="J143" s="775">
        <v>8.0000000000000002E-3</v>
      </c>
      <c r="K143" s="294">
        <f>G143*J143</f>
        <v>9.2799999999999994</v>
      </c>
      <c r="L143" s="775">
        <v>0.01</v>
      </c>
      <c r="M143" s="294">
        <f>G143*L143</f>
        <v>11.6</v>
      </c>
      <c r="N143" s="775">
        <v>1.2999999999999999E-2</v>
      </c>
      <c r="O143" s="294">
        <f>G143*N143</f>
        <v>15.08</v>
      </c>
      <c r="P143" s="133"/>
      <c r="Q143" s="294"/>
    </row>
    <row r="144" spans="1:17" ht="20.45" customHeight="1">
      <c r="A144" s="286"/>
      <c r="B144" s="287" t="s">
        <v>145</v>
      </c>
      <c r="C144" s="286" t="s">
        <v>147</v>
      </c>
      <c r="D144" s="133">
        <v>1</v>
      </c>
      <c r="E144" s="133">
        <v>2.2000000000000002</v>
      </c>
      <c r="F144" s="200">
        <f t="shared" si="20"/>
        <v>14500000</v>
      </c>
      <c r="G144" s="200">
        <f t="shared" si="20"/>
        <v>2900</v>
      </c>
      <c r="H144" s="293">
        <v>1.05</v>
      </c>
      <c r="I144" s="294">
        <f>G144*H144</f>
        <v>3045</v>
      </c>
      <c r="J144" s="293">
        <v>1.1100000000000001</v>
      </c>
      <c r="K144" s="294">
        <f>G144*J144</f>
        <v>3219.0000000000005</v>
      </c>
      <c r="L144" s="293">
        <v>1.25</v>
      </c>
      <c r="M144" s="294">
        <f>G144*L144</f>
        <v>3625</v>
      </c>
      <c r="N144" s="293">
        <v>1.29</v>
      </c>
      <c r="O144" s="294">
        <f>G144*N144</f>
        <v>3741</v>
      </c>
      <c r="P144" s="293"/>
      <c r="Q144" s="293"/>
    </row>
    <row r="145" spans="1:18" ht="20.45" customHeight="1">
      <c r="A145" s="288"/>
      <c r="B145" s="289" t="s">
        <v>186</v>
      </c>
      <c r="C145" s="288" t="s">
        <v>39</v>
      </c>
      <c r="D145" s="140"/>
      <c r="E145" s="140"/>
      <c r="F145" s="299"/>
      <c r="G145" s="258">
        <f>'Gia-DC'!E89</f>
        <v>1554</v>
      </c>
      <c r="H145" s="300">
        <v>31.22</v>
      </c>
      <c r="I145" s="294">
        <f>G145*H145</f>
        <v>48515.88</v>
      </c>
      <c r="J145" s="300">
        <v>32.770000000000003</v>
      </c>
      <c r="K145" s="294">
        <f>G145*J145</f>
        <v>50924.58</v>
      </c>
      <c r="L145" s="300">
        <v>36.64</v>
      </c>
      <c r="M145" s="294">
        <f>G145*L145</f>
        <v>56938.559999999998</v>
      </c>
      <c r="N145" s="300">
        <v>38.14</v>
      </c>
      <c r="O145" s="294">
        <f>G145*N145</f>
        <v>59269.56</v>
      </c>
      <c r="P145" s="300"/>
      <c r="Q145" s="300"/>
    </row>
    <row r="146" spans="1:18" ht="33.75" customHeight="1">
      <c r="A146" s="274" t="s">
        <v>539</v>
      </c>
      <c r="R146" s="164"/>
    </row>
    <row r="147" spans="1:18" ht="46.9" customHeight="1">
      <c r="A147" s="1050" t="s">
        <v>538</v>
      </c>
      <c r="B147" s="1050"/>
      <c r="C147" s="1050"/>
      <c r="D147" s="1050"/>
      <c r="E147" s="1050"/>
      <c r="F147" s="1050"/>
      <c r="G147" s="1050"/>
      <c r="H147" s="1050"/>
      <c r="I147" s="1050"/>
      <c r="J147" s="1050"/>
      <c r="K147" s="1050"/>
      <c r="L147" s="1050"/>
      <c r="M147" s="1050"/>
      <c r="N147" s="1050"/>
      <c r="O147" s="1050"/>
      <c r="P147" s="1050"/>
      <c r="Q147" s="1050"/>
      <c r="R147" s="164"/>
    </row>
    <row r="148" spans="1:18" ht="19.5" customHeight="1">
      <c r="A148" s="456"/>
    </row>
    <row r="149" spans="1:18" ht="45" customHeight="1">
      <c r="A149" s="456"/>
    </row>
    <row r="150" spans="1:18" ht="20.45" customHeight="1">
      <c r="A150" s="227" t="s">
        <v>484</v>
      </c>
      <c r="B150" s="246"/>
      <c r="C150" s="157"/>
      <c r="D150" s="164"/>
      <c r="E150" s="164"/>
      <c r="F150" s="280"/>
      <c r="G150" s="280"/>
      <c r="H150" s="159"/>
      <c r="I150" s="160"/>
      <c r="J150" s="159"/>
      <c r="K150" s="160"/>
      <c r="L150" s="159"/>
      <c r="M150" s="160"/>
      <c r="N150" s="159"/>
      <c r="O150" s="160"/>
      <c r="P150" s="1022" t="s">
        <v>350</v>
      </c>
      <c r="Q150" s="1022"/>
    </row>
    <row r="151" spans="1:18" ht="20.45" customHeight="1">
      <c r="A151" s="129"/>
      <c r="B151" s="246"/>
      <c r="C151" s="157"/>
      <c r="D151" s="157"/>
      <c r="E151" s="157"/>
      <c r="F151" s="280"/>
      <c r="G151" s="280"/>
      <c r="H151" s="159"/>
      <c r="I151" s="160"/>
      <c r="J151" s="159"/>
      <c r="K151" s="160"/>
      <c r="L151" s="159"/>
      <c r="M151" s="160"/>
      <c r="N151" s="159"/>
      <c r="O151" s="160"/>
      <c r="P151" s="159"/>
      <c r="Q151" s="164"/>
    </row>
    <row r="152" spans="1:18" ht="20.45" customHeight="1">
      <c r="A152" s="1018" t="s">
        <v>0</v>
      </c>
      <c r="B152" s="1018" t="s">
        <v>351</v>
      </c>
      <c r="C152" s="1018" t="s">
        <v>116</v>
      </c>
      <c r="D152" s="1043" t="s">
        <v>352</v>
      </c>
      <c r="E152" s="1018" t="s">
        <v>537</v>
      </c>
      <c r="F152" s="1023" t="s">
        <v>353</v>
      </c>
      <c r="G152" s="1023" t="s">
        <v>308</v>
      </c>
      <c r="H152" s="1025" t="s">
        <v>41</v>
      </c>
      <c r="I152" s="1026"/>
      <c r="J152" s="1025" t="s">
        <v>42</v>
      </c>
      <c r="K152" s="1026"/>
      <c r="L152" s="1025" t="s">
        <v>43</v>
      </c>
      <c r="M152" s="1026"/>
      <c r="N152" s="1025" t="s">
        <v>44</v>
      </c>
      <c r="O152" s="1026"/>
      <c r="P152" s="1025" t="s">
        <v>45</v>
      </c>
      <c r="Q152" s="1026"/>
    </row>
    <row r="153" spans="1:18" ht="25.5">
      <c r="A153" s="1019"/>
      <c r="B153" s="1019"/>
      <c r="C153" s="1019"/>
      <c r="D153" s="1044"/>
      <c r="E153" s="1019"/>
      <c r="F153" s="1024"/>
      <c r="G153" s="1024"/>
      <c r="H153" s="247" t="s">
        <v>305</v>
      </c>
      <c r="I153" s="247" t="s">
        <v>306</v>
      </c>
      <c r="J153" s="247" t="s">
        <v>305</v>
      </c>
      <c r="K153" s="247" t="s">
        <v>306</v>
      </c>
      <c r="L153" s="247" t="s">
        <v>305</v>
      </c>
      <c r="M153" s="247" t="s">
        <v>306</v>
      </c>
      <c r="N153" s="247" t="s">
        <v>305</v>
      </c>
      <c r="O153" s="247" t="s">
        <v>306</v>
      </c>
      <c r="P153" s="247" t="s">
        <v>305</v>
      </c>
      <c r="Q153" s="247" t="s">
        <v>306</v>
      </c>
    </row>
    <row r="154" spans="1:18" ht="20.45" customHeight="1">
      <c r="A154" s="282"/>
      <c r="B154" s="306" t="s">
        <v>489</v>
      </c>
      <c r="C154" s="282"/>
      <c r="D154" s="311"/>
      <c r="E154" s="311"/>
      <c r="F154" s="312"/>
      <c r="G154" s="31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</row>
    <row r="155" spans="1:18" ht="20.45" customHeight="1">
      <c r="A155" s="284"/>
      <c r="B155" s="309"/>
      <c r="C155" s="284" t="s">
        <v>362</v>
      </c>
      <c r="D155" s="205"/>
      <c r="E155" s="205"/>
      <c r="F155" s="292"/>
      <c r="G155" s="292"/>
      <c r="H155" s="205"/>
      <c r="I155" s="310">
        <f>SUM(I157:I158)/100</f>
        <v>105.78</v>
      </c>
      <c r="J155" s="310"/>
      <c r="K155" s="310">
        <f>SUM(K157:K158)/100</f>
        <v>105.78</v>
      </c>
      <c r="L155" s="310"/>
      <c r="M155" s="310">
        <f>SUM(M157:M158)/100</f>
        <v>105.78</v>
      </c>
      <c r="N155" s="310"/>
      <c r="O155" s="310">
        <f>SUM(O157:O158)/100</f>
        <v>105.78</v>
      </c>
      <c r="P155" s="310"/>
      <c r="Q155" s="310">
        <f>SUM(Q157:Q158)/100</f>
        <v>105.78</v>
      </c>
    </row>
    <row r="156" spans="1:18" ht="15.75" customHeight="1">
      <c r="A156" s="284"/>
      <c r="B156" s="285"/>
      <c r="C156" s="284"/>
      <c r="D156" s="205"/>
      <c r="E156" s="205"/>
      <c r="F156" s="292"/>
      <c r="G156" s="292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</row>
    <row r="157" spans="1:18" ht="16.899999999999999" customHeight="1">
      <c r="A157" s="286"/>
      <c r="B157" s="287" t="s">
        <v>361</v>
      </c>
      <c r="C157" s="286" t="s">
        <v>147</v>
      </c>
      <c r="D157" s="133">
        <v>1</v>
      </c>
      <c r="E157" s="133">
        <v>0.35</v>
      </c>
      <c r="F157" s="200">
        <f>'Gia-TB'!E7</f>
        <v>15000000</v>
      </c>
      <c r="G157" s="200">
        <f>'Gia-TB'!F7</f>
        <v>6000</v>
      </c>
      <c r="H157" s="302">
        <v>1.56</v>
      </c>
      <c r="I157" s="303">
        <f>G157*H157</f>
        <v>9360</v>
      </c>
      <c r="J157" s="302">
        <v>1.56</v>
      </c>
      <c r="K157" s="303">
        <f>G157*J157</f>
        <v>9360</v>
      </c>
      <c r="L157" s="302">
        <v>1.56</v>
      </c>
      <c r="M157" s="303">
        <f>G157*L157</f>
        <v>9360</v>
      </c>
      <c r="N157" s="302">
        <v>1.56</v>
      </c>
      <c r="O157" s="303">
        <f>G157*N157</f>
        <v>9360</v>
      </c>
      <c r="P157" s="302">
        <v>1.56</v>
      </c>
      <c r="Q157" s="294">
        <f>G157*P157</f>
        <v>9360</v>
      </c>
    </row>
    <row r="158" spans="1:18" ht="16.899999999999999" customHeight="1">
      <c r="A158" s="286"/>
      <c r="B158" s="287" t="s">
        <v>145</v>
      </c>
      <c r="C158" s="286" t="s">
        <v>147</v>
      </c>
      <c r="D158" s="133">
        <v>1</v>
      </c>
      <c r="E158" s="133"/>
      <c r="F158" s="200">
        <f>'Gia-TB'!E9</f>
        <v>14500000</v>
      </c>
      <c r="G158" s="200">
        <f>'Gia-TB'!F9</f>
        <v>2900</v>
      </c>
      <c r="H158" s="302">
        <v>0.42</v>
      </c>
      <c r="I158" s="303">
        <f>G158*H158</f>
        <v>1218</v>
      </c>
      <c r="J158" s="302">
        <v>0.42</v>
      </c>
      <c r="K158" s="303">
        <f>G158*J158</f>
        <v>1218</v>
      </c>
      <c r="L158" s="302">
        <v>0.42</v>
      </c>
      <c r="M158" s="303">
        <f>G158*L158</f>
        <v>1218</v>
      </c>
      <c r="N158" s="302">
        <v>0.42</v>
      </c>
      <c r="O158" s="303">
        <f>G158*N158</f>
        <v>1218</v>
      </c>
      <c r="P158" s="302">
        <v>0.42</v>
      </c>
      <c r="Q158" s="294">
        <f>G158*P158</f>
        <v>1218</v>
      </c>
    </row>
    <row r="159" spans="1:18" ht="16.899999999999999" customHeight="1">
      <c r="A159" s="752"/>
      <c r="B159" s="753" t="s">
        <v>186</v>
      </c>
      <c r="C159" s="752" t="s">
        <v>39</v>
      </c>
      <c r="D159" s="146"/>
      <c r="E159" s="146"/>
      <c r="F159" s="213"/>
      <c r="G159" s="213">
        <v>1154</v>
      </c>
      <c r="H159" s="776">
        <v>12.3</v>
      </c>
      <c r="I159" s="303">
        <f>G159*H159</f>
        <v>14194.2</v>
      </c>
      <c r="J159" s="776">
        <v>12.3</v>
      </c>
      <c r="K159" s="303">
        <f>G159*J159</f>
        <v>14194.2</v>
      </c>
      <c r="L159" s="776">
        <v>12.3</v>
      </c>
      <c r="M159" s="303">
        <f>G159*L159</f>
        <v>14194.2</v>
      </c>
      <c r="N159" s="776">
        <v>12.3</v>
      </c>
      <c r="O159" s="303">
        <f>G159*N159</f>
        <v>14194.2</v>
      </c>
      <c r="P159" s="776">
        <v>12.3</v>
      </c>
      <c r="Q159" s="294">
        <f>G159*P159</f>
        <v>14194.2</v>
      </c>
    </row>
    <row r="160" spans="1:18" ht="31.15" customHeight="1">
      <c r="A160" s="288"/>
      <c r="B160" s="289"/>
      <c r="C160" s="288"/>
      <c r="D160" s="140"/>
      <c r="E160" s="140"/>
      <c r="F160" s="258"/>
      <c r="G160" s="258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64"/>
    </row>
    <row r="161" spans="1:18" ht="21.6" customHeight="1">
      <c r="A161" s="1045" t="s">
        <v>539</v>
      </c>
      <c r="B161" s="1045"/>
      <c r="C161" s="305"/>
      <c r="D161" s="157"/>
      <c r="E161" s="157"/>
      <c r="F161" s="280"/>
      <c r="G161" s="280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64"/>
    </row>
    <row r="162" spans="1:18" s="777" customFormat="1" ht="28.15" customHeight="1">
      <c r="A162" s="777" t="s">
        <v>552</v>
      </c>
    </row>
    <row r="163" spans="1:18" s="778" customFormat="1" ht="43.9" customHeight="1">
      <c r="A163" s="1046" t="s">
        <v>543</v>
      </c>
      <c r="B163" s="1046"/>
      <c r="C163" s="1046"/>
      <c r="D163" s="1046"/>
      <c r="E163" s="1046"/>
      <c r="F163" s="1046"/>
      <c r="G163" s="1046"/>
      <c r="H163" s="1046"/>
      <c r="I163" s="1046"/>
      <c r="J163" s="1046"/>
      <c r="K163" s="1046"/>
      <c r="L163" s="1046"/>
      <c r="M163" s="1046"/>
      <c r="N163" s="1046"/>
      <c r="O163" s="1046"/>
      <c r="P163" s="1046"/>
      <c r="Q163" s="1046"/>
    </row>
    <row r="164" spans="1:18" ht="21.6" customHeight="1">
      <c r="A164" s="227" t="s">
        <v>485</v>
      </c>
      <c r="B164" s="246"/>
      <c r="C164" s="157"/>
      <c r="D164" s="164"/>
      <c r="E164" s="164"/>
      <c r="F164" s="280"/>
      <c r="G164" s="280"/>
      <c r="H164" s="159"/>
      <c r="I164" s="160" t="s">
        <v>115</v>
      </c>
      <c r="J164" s="159"/>
      <c r="K164" s="160"/>
      <c r="L164" s="159"/>
      <c r="M164" s="160"/>
      <c r="N164" s="159"/>
      <c r="O164" s="1027"/>
      <c r="P164" s="1027"/>
      <c r="Q164" s="1027"/>
    </row>
    <row r="165" spans="1:18" ht="21.6" customHeight="1">
      <c r="A165" s="129"/>
      <c r="B165" s="246"/>
      <c r="C165" s="157"/>
      <c r="D165" s="157"/>
      <c r="E165" s="157"/>
      <c r="F165" s="280"/>
      <c r="G165" s="280"/>
      <c r="H165" s="159"/>
      <c r="I165" s="160"/>
      <c r="J165" s="159"/>
      <c r="K165" s="160"/>
      <c r="L165" s="159"/>
      <c r="M165" s="160"/>
      <c r="N165" s="159"/>
      <c r="O165" s="160"/>
      <c r="P165" s="159"/>
      <c r="Q165" s="164"/>
    </row>
    <row r="166" spans="1:18" ht="21.6" customHeight="1">
      <c r="A166" s="1018" t="s">
        <v>0</v>
      </c>
      <c r="B166" s="1018" t="s">
        <v>351</v>
      </c>
      <c r="C166" s="1018" t="s">
        <v>116</v>
      </c>
      <c r="D166" s="1043" t="s">
        <v>352</v>
      </c>
      <c r="E166" s="1018" t="s">
        <v>537</v>
      </c>
      <c r="F166" s="1023" t="s">
        <v>353</v>
      </c>
      <c r="G166" s="1023" t="s">
        <v>308</v>
      </c>
      <c r="H166" s="1047" t="s">
        <v>305</v>
      </c>
      <c r="I166" s="1047" t="s">
        <v>306</v>
      </c>
    </row>
    <row r="167" spans="1:18" ht="26.45" customHeight="1">
      <c r="A167" s="1019"/>
      <c r="B167" s="1019"/>
      <c r="C167" s="1019"/>
      <c r="D167" s="1044"/>
      <c r="E167" s="1019"/>
      <c r="F167" s="1024"/>
      <c r="G167" s="1024"/>
      <c r="H167" s="1047"/>
      <c r="I167" s="1047"/>
    </row>
    <row r="168" spans="1:18" ht="21.6" customHeight="1">
      <c r="A168" s="282">
        <v>1</v>
      </c>
      <c r="B168" s="283" t="s">
        <v>354</v>
      </c>
      <c r="C168" s="282" t="s">
        <v>2</v>
      </c>
      <c r="D168" s="233"/>
      <c r="E168" s="233"/>
      <c r="F168" s="290"/>
      <c r="G168" s="290"/>
      <c r="H168" s="233"/>
      <c r="I168" s="291">
        <f>SUM(I170:I172)/1</f>
        <v>3142</v>
      </c>
    </row>
    <row r="169" spans="1:18" ht="21.6" customHeight="1">
      <c r="A169" s="284"/>
      <c r="B169" s="285"/>
      <c r="C169" s="284"/>
      <c r="D169" s="205"/>
      <c r="E169" s="205"/>
      <c r="F169" s="292"/>
      <c r="G169" s="292"/>
      <c r="H169" s="205"/>
      <c r="I169" s="205"/>
    </row>
    <row r="170" spans="1:18" ht="21.6" customHeight="1">
      <c r="A170" s="286"/>
      <c r="B170" s="287" t="s">
        <v>361</v>
      </c>
      <c r="C170" s="286" t="s">
        <v>147</v>
      </c>
      <c r="D170" s="133">
        <v>1</v>
      </c>
      <c r="E170" s="133">
        <v>0.35</v>
      </c>
      <c r="F170" s="200">
        <f>'Gia-TB'!E7</f>
        <v>15000000</v>
      </c>
      <c r="G170" s="200">
        <f>'Gia-TB'!F7</f>
        <v>6000</v>
      </c>
      <c r="H170" s="302">
        <v>0.31</v>
      </c>
      <c r="I170" s="303">
        <f>G170*H170</f>
        <v>1860</v>
      </c>
    </row>
    <row r="171" spans="1:18" ht="21.6" customHeight="1">
      <c r="A171" s="286"/>
      <c r="B171" s="287" t="s">
        <v>143</v>
      </c>
      <c r="C171" s="286" t="s">
        <v>147</v>
      </c>
      <c r="D171" s="133">
        <v>1</v>
      </c>
      <c r="E171" s="133">
        <v>0.4</v>
      </c>
      <c r="F171" s="200">
        <f>'Gia-TB'!E8</f>
        <v>105000000</v>
      </c>
      <c r="G171" s="200">
        <f>'Gia-TB'!F8</f>
        <v>21000</v>
      </c>
      <c r="H171" s="302">
        <v>0.05</v>
      </c>
      <c r="I171" s="303">
        <f>G171*H171</f>
        <v>1050</v>
      </c>
    </row>
    <row r="172" spans="1:18" ht="21.6" customHeight="1">
      <c r="A172" s="286"/>
      <c r="B172" s="287" t="s">
        <v>145</v>
      </c>
      <c r="C172" s="286" t="s">
        <v>147</v>
      </c>
      <c r="D172" s="133">
        <v>1</v>
      </c>
      <c r="E172" s="133">
        <v>2.2000000000000002</v>
      </c>
      <c r="F172" s="200">
        <f>'Gia-TB'!E9</f>
        <v>14500000</v>
      </c>
      <c r="G172" s="200">
        <f>'Gia-TB'!F9</f>
        <v>2900</v>
      </c>
      <c r="H172" s="302">
        <v>0.08</v>
      </c>
      <c r="I172" s="303">
        <f>G172*H172</f>
        <v>232</v>
      </c>
    </row>
    <row r="173" spans="1:18" ht="21.6" customHeight="1">
      <c r="A173" s="288"/>
      <c r="B173" s="289" t="s">
        <v>186</v>
      </c>
      <c r="C173" s="288" t="s">
        <v>39</v>
      </c>
      <c r="D173" s="140"/>
      <c r="E173" s="140"/>
      <c r="F173" s="258"/>
      <c r="G173" s="213">
        <v>1154</v>
      </c>
      <c r="H173" s="140">
        <v>2.6</v>
      </c>
      <c r="I173" s="303">
        <f>G173*H173</f>
        <v>3000.4</v>
      </c>
    </row>
    <row r="174" spans="1:18" ht="21.6" customHeight="1">
      <c r="A174" s="282">
        <v>2</v>
      </c>
      <c r="B174" s="283" t="s">
        <v>357</v>
      </c>
      <c r="C174" s="282" t="s">
        <v>2</v>
      </c>
      <c r="D174" s="233"/>
      <c r="E174" s="233"/>
      <c r="F174" s="290"/>
      <c r="G174" s="290"/>
      <c r="H174" s="233"/>
      <c r="I174" s="291">
        <f>SUM(I176:I178)/6.25</f>
        <v>560</v>
      </c>
    </row>
    <row r="175" spans="1:18" ht="21.6" customHeight="1">
      <c r="A175" s="284"/>
      <c r="B175" s="285"/>
      <c r="C175" s="284"/>
      <c r="D175" s="205"/>
      <c r="E175" s="205"/>
      <c r="F175" s="292"/>
      <c r="G175" s="292"/>
      <c r="H175" s="205"/>
      <c r="I175" s="205"/>
    </row>
    <row r="176" spans="1:18" ht="22.15" customHeight="1">
      <c r="A176" s="286"/>
      <c r="B176" s="287" t="s">
        <v>361</v>
      </c>
      <c r="C176" s="286" t="s">
        <v>147</v>
      </c>
      <c r="D176" s="133">
        <v>1</v>
      </c>
      <c r="E176" s="133">
        <v>0.35</v>
      </c>
      <c r="F176" s="200">
        <f t="shared" ref="F176:G178" si="21">F170</f>
        <v>15000000</v>
      </c>
      <c r="G176" s="200">
        <f t="shared" si="21"/>
        <v>6000</v>
      </c>
      <c r="H176" s="302">
        <v>0.36</v>
      </c>
      <c r="I176" s="294">
        <f>G176*H176</f>
        <v>2160</v>
      </c>
    </row>
    <row r="177" spans="1:9" ht="22.15" customHeight="1">
      <c r="A177" s="286"/>
      <c r="B177" s="287" t="s">
        <v>143</v>
      </c>
      <c r="C177" s="286" t="s">
        <v>147</v>
      </c>
      <c r="D177" s="133">
        <v>1</v>
      </c>
      <c r="E177" s="133">
        <v>0.4</v>
      </c>
      <c r="F177" s="200">
        <f t="shared" si="21"/>
        <v>105000000</v>
      </c>
      <c r="G177" s="200">
        <f t="shared" si="21"/>
        <v>21000</v>
      </c>
      <c r="H177" s="302">
        <v>0.05</v>
      </c>
      <c r="I177" s="294">
        <f>G177*H177</f>
        <v>1050</v>
      </c>
    </row>
    <row r="178" spans="1:9" ht="22.15" customHeight="1">
      <c r="A178" s="286"/>
      <c r="B178" s="287" t="s">
        <v>145</v>
      </c>
      <c r="C178" s="286" t="s">
        <v>147</v>
      </c>
      <c r="D178" s="133">
        <v>1</v>
      </c>
      <c r="E178" s="133">
        <v>2.2000000000000002</v>
      </c>
      <c r="F178" s="200">
        <f t="shared" si="21"/>
        <v>14500000</v>
      </c>
      <c r="G178" s="200">
        <f t="shared" si="21"/>
        <v>2900</v>
      </c>
      <c r="H178" s="302">
        <v>0.1</v>
      </c>
      <c r="I178" s="294">
        <f>G178*H178</f>
        <v>290</v>
      </c>
    </row>
    <row r="179" spans="1:9" ht="22.15" customHeight="1">
      <c r="A179" s="288"/>
      <c r="B179" s="289" t="s">
        <v>186</v>
      </c>
      <c r="C179" s="288" t="s">
        <v>39</v>
      </c>
      <c r="D179" s="140"/>
      <c r="E179" s="140"/>
      <c r="F179" s="258"/>
      <c r="G179" s="213">
        <v>1154</v>
      </c>
      <c r="H179" s="140">
        <v>3</v>
      </c>
      <c r="I179" s="294">
        <f>G179*H179</f>
        <v>3462</v>
      </c>
    </row>
    <row r="180" spans="1:9" ht="22.15" customHeight="1">
      <c r="A180" s="282">
        <v>3</v>
      </c>
      <c r="B180" s="283" t="s">
        <v>358</v>
      </c>
      <c r="C180" s="282" t="s">
        <v>2</v>
      </c>
      <c r="D180" s="233"/>
      <c r="E180" s="233"/>
      <c r="F180" s="295"/>
      <c r="G180" s="290"/>
      <c r="H180" s="296"/>
      <c r="I180" s="291">
        <f>SUM(I182:I184)/25</f>
        <v>153.16</v>
      </c>
    </row>
    <row r="181" spans="1:9" ht="22.15" customHeight="1">
      <c r="A181" s="284"/>
      <c r="B181" s="285"/>
      <c r="C181" s="284"/>
      <c r="D181" s="205"/>
      <c r="E181" s="205"/>
      <c r="F181" s="297"/>
      <c r="G181" s="292"/>
      <c r="H181" s="298"/>
      <c r="I181" s="298"/>
    </row>
    <row r="182" spans="1:9" ht="22.15" customHeight="1">
      <c r="A182" s="286"/>
      <c r="B182" s="287" t="s">
        <v>361</v>
      </c>
      <c r="C182" s="286" t="s">
        <v>147</v>
      </c>
      <c r="D182" s="133">
        <v>1</v>
      </c>
      <c r="E182" s="133">
        <v>0.35</v>
      </c>
      <c r="F182" s="200">
        <f t="shared" ref="F182:G184" si="22">F176</f>
        <v>15000000</v>
      </c>
      <c r="G182" s="200">
        <f t="shared" si="22"/>
        <v>6000</v>
      </c>
      <c r="H182" s="293">
        <v>0.41</v>
      </c>
      <c r="I182" s="294">
        <f>G182*H182</f>
        <v>2460</v>
      </c>
    </row>
    <row r="183" spans="1:9" ht="22.15" customHeight="1">
      <c r="A183" s="286"/>
      <c r="B183" s="287" t="s">
        <v>143</v>
      </c>
      <c r="C183" s="286" t="s">
        <v>147</v>
      </c>
      <c r="D183" s="133">
        <v>1</v>
      </c>
      <c r="E183" s="133">
        <v>0.4</v>
      </c>
      <c r="F183" s="200">
        <f t="shared" si="22"/>
        <v>105000000</v>
      </c>
      <c r="G183" s="200">
        <f t="shared" si="22"/>
        <v>21000</v>
      </c>
      <c r="H183" s="293">
        <v>0.05</v>
      </c>
      <c r="I183" s="294">
        <f>G183*H183</f>
        <v>1050</v>
      </c>
    </row>
    <row r="184" spans="1:9" ht="22.15" customHeight="1">
      <c r="A184" s="286"/>
      <c r="B184" s="287" t="s">
        <v>145</v>
      </c>
      <c r="C184" s="286" t="s">
        <v>147</v>
      </c>
      <c r="D184" s="133">
        <v>1</v>
      </c>
      <c r="E184" s="133">
        <v>2.2000000000000002</v>
      </c>
      <c r="F184" s="200">
        <f t="shared" si="22"/>
        <v>14500000</v>
      </c>
      <c r="G184" s="200">
        <f t="shared" si="22"/>
        <v>2900</v>
      </c>
      <c r="H184" s="293">
        <v>0.11</v>
      </c>
      <c r="I184" s="294">
        <f>G184*H184</f>
        <v>319</v>
      </c>
    </row>
    <row r="185" spans="1:9" ht="22.15" customHeight="1">
      <c r="A185" s="288"/>
      <c r="B185" s="289" t="s">
        <v>186</v>
      </c>
      <c r="C185" s="288" t="s">
        <v>39</v>
      </c>
      <c r="D185" s="140"/>
      <c r="E185" s="140"/>
      <c r="F185" s="258"/>
      <c r="G185" s="213">
        <v>1154</v>
      </c>
      <c r="H185" s="300">
        <v>3.4</v>
      </c>
      <c r="I185" s="294">
        <f>G185*H185</f>
        <v>3923.6</v>
      </c>
    </row>
    <row r="186" spans="1:9" ht="22.15" customHeight="1">
      <c r="A186" s="282">
        <v>4</v>
      </c>
      <c r="B186" s="283" t="s">
        <v>359</v>
      </c>
      <c r="C186" s="282" t="s">
        <v>2</v>
      </c>
      <c r="D186" s="233"/>
      <c r="E186" s="233"/>
      <c r="F186" s="290"/>
      <c r="G186" s="290"/>
      <c r="H186" s="290"/>
      <c r="I186" s="290">
        <f>SUM(I188:I190)/100</f>
        <v>41.58</v>
      </c>
    </row>
    <row r="187" spans="1:9" ht="21.6" customHeight="1">
      <c r="A187" s="284"/>
      <c r="B187" s="285"/>
      <c r="C187" s="284"/>
      <c r="D187" s="205"/>
      <c r="E187" s="205"/>
      <c r="F187" s="292"/>
      <c r="G187" s="292"/>
      <c r="H187" s="292"/>
      <c r="I187" s="292"/>
    </row>
    <row r="188" spans="1:9" ht="28.15" customHeight="1">
      <c r="A188" s="286"/>
      <c r="B188" s="287" t="s">
        <v>361</v>
      </c>
      <c r="C188" s="286" t="s">
        <v>147</v>
      </c>
      <c r="D188" s="133">
        <v>1</v>
      </c>
      <c r="E188" s="133">
        <v>0.35</v>
      </c>
      <c r="F188" s="200">
        <f t="shared" ref="F188:G190" si="23">F182</f>
        <v>15000000</v>
      </c>
      <c r="G188" s="200">
        <f t="shared" si="23"/>
        <v>6000</v>
      </c>
      <c r="H188" s="293">
        <v>0.46</v>
      </c>
      <c r="I188" s="294">
        <f>G188*H188</f>
        <v>2760</v>
      </c>
    </row>
    <row r="189" spans="1:9" ht="45.6" customHeight="1">
      <c r="A189" s="286"/>
      <c r="B189" s="287" t="s">
        <v>143</v>
      </c>
      <c r="C189" s="286" t="s">
        <v>147</v>
      </c>
      <c r="D189" s="133">
        <v>1</v>
      </c>
      <c r="E189" s="133">
        <v>0.4</v>
      </c>
      <c r="F189" s="200">
        <f t="shared" si="23"/>
        <v>105000000</v>
      </c>
      <c r="G189" s="200">
        <f t="shared" si="23"/>
        <v>21000</v>
      </c>
      <c r="H189" s="293">
        <v>0.05</v>
      </c>
      <c r="I189" s="294">
        <f>G189*H189</f>
        <v>1050</v>
      </c>
    </row>
    <row r="190" spans="1:9" ht="21.6" customHeight="1">
      <c r="A190" s="286"/>
      <c r="B190" s="287" t="s">
        <v>145</v>
      </c>
      <c r="C190" s="286" t="s">
        <v>147</v>
      </c>
      <c r="D190" s="133">
        <v>1</v>
      </c>
      <c r="E190" s="133">
        <v>2.2000000000000002</v>
      </c>
      <c r="F190" s="200">
        <f t="shared" si="23"/>
        <v>14500000</v>
      </c>
      <c r="G190" s="200">
        <f t="shared" si="23"/>
        <v>2900</v>
      </c>
      <c r="H190" s="293">
        <v>0.12</v>
      </c>
      <c r="I190" s="294">
        <f>G190*H190</f>
        <v>348</v>
      </c>
    </row>
    <row r="191" spans="1:9" ht="21.6" customHeight="1">
      <c r="A191" s="288"/>
      <c r="B191" s="289" t="s">
        <v>186</v>
      </c>
      <c r="C191" s="288" t="s">
        <v>39</v>
      </c>
      <c r="D191" s="140"/>
      <c r="E191" s="140"/>
      <c r="F191" s="258"/>
      <c r="G191" s="213">
        <v>1154</v>
      </c>
      <c r="H191" s="300">
        <v>3.8</v>
      </c>
      <c r="I191" s="300"/>
    </row>
    <row r="192" spans="1:9" ht="21.6" customHeight="1">
      <c r="A192" s="282">
        <v>5</v>
      </c>
      <c r="B192" s="283" t="s">
        <v>360</v>
      </c>
      <c r="C192" s="282" t="s">
        <v>2</v>
      </c>
      <c r="D192" s="233"/>
      <c r="E192" s="233"/>
      <c r="F192" s="290"/>
      <c r="G192" s="290"/>
      <c r="H192" s="301"/>
      <c r="I192" s="291">
        <f>SUM(I194:I196)/900</f>
        <v>5.0177777777777779</v>
      </c>
    </row>
    <row r="193" spans="1:17" ht="21.6" customHeight="1">
      <c r="A193" s="284"/>
      <c r="B193" s="285"/>
      <c r="C193" s="284"/>
      <c r="D193" s="205"/>
      <c r="E193" s="205"/>
      <c r="F193" s="292"/>
      <c r="G193" s="292"/>
      <c r="H193" s="298"/>
      <c r="I193" s="298"/>
    </row>
    <row r="194" spans="1:17" ht="21.6" customHeight="1">
      <c r="A194" s="286"/>
      <c r="B194" s="287" t="s">
        <v>361</v>
      </c>
      <c r="C194" s="286" t="s">
        <v>147</v>
      </c>
      <c r="D194" s="133">
        <v>1</v>
      </c>
      <c r="E194" s="133">
        <v>0.35</v>
      </c>
      <c r="F194" s="200">
        <f t="shared" ref="F194:G196" si="24">F188</f>
        <v>15000000</v>
      </c>
      <c r="G194" s="200">
        <f t="shared" si="24"/>
        <v>6000</v>
      </c>
      <c r="H194" s="293">
        <v>0.51</v>
      </c>
      <c r="I194" s="294">
        <f>G194*H194</f>
        <v>3060</v>
      </c>
    </row>
    <row r="195" spans="1:17" ht="21.6" customHeight="1">
      <c r="A195" s="286"/>
      <c r="B195" s="287" t="s">
        <v>143</v>
      </c>
      <c r="C195" s="286" t="s">
        <v>147</v>
      </c>
      <c r="D195" s="133">
        <v>1</v>
      </c>
      <c r="E195" s="133">
        <v>0.4</v>
      </c>
      <c r="F195" s="200">
        <f t="shared" si="24"/>
        <v>105000000</v>
      </c>
      <c r="G195" s="200">
        <f t="shared" si="24"/>
        <v>21000</v>
      </c>
      <c r="H195" s="293">
        <v>0.05</v>
      </c>
      <c r="I195" s="294">
        <f>G195*H195</f>
        <v>1050</v>
      </c>
    </row>
    <row r="196" spans="1:17" ht="21.6" customHeight="1">
      <c r="A196" s="286"/>
      <c r="B196" s="287" t="s">
        <v>145</v>
      </c>
      <c r="C196" s="286" t="s">
        <v>147</v>
      </c>
      <c r="D196" s="133">
        <v>1</v>
      </c>
      <c r="E196" s="133">
        <v>2.2000000000000002</v>
      </c>
      <c r="F196" s="200">
        <f t="shared" si="24"/>
        <v>14500000</v>
      </c>
      <c r="G196" s="200">
        <f t="shared" si="24"/>
        <v>2900</v>
      </c>
      <c r="H196" s="293">
        <v>0.14000000000000001</v>
      </c>
      <c r="I196" s="294">
        <f>G196*H196</f>
        <v>406.00000000000006</v>
      </c>
    </row>
    <row r="197" spans="1:17" ht="21.6" customHeight="1">
      <c r="A197" s="288"/>
      <c r="B197" s="289" t="s">
        <v>186</v>
      </c>
      <c r="C197" s="288" t="s">
        <v>39</v>
      </c>
      <c r="D197" s="140"/>
      <c r="E197" s="140"/>
      <c r="F197" s="299"/>
      <c r="G197" s="213">
        <v>1154</v>
      </c>
      <c r="H197" s="300">
        <v>4.2</v>
      </c>
      <c r="I197" s="294">
        <f>G197*H197</f>
        <v>4846.8</v>
      </c>
    </row>
    <row r="198" spans="1:17" ht="21.6" customHeight="1">
      <c r="A198" s="282">
        <v>6</v>
      </c>
      <c r="B198" s="283" t="s">
        <v>487</v>
      </c>
      <c r="C198" s="282" t="s">
        <v>2</v>
      </c>
      <c r="D198" s="233"/>
      <c r="E198" s="233"/>
      <c r="F198" s="290"/>
      <c r="G198" s="290"/>
      <c r="H198" s="301"/>
      <c r="I198" s="291">
        <f>SUM(I200:I202)/3600</f>
        <v>1.6863888888888889</v>
      </c>
    </row>
    <row r="199" spans="1:17" ht="21.6" customHeight="1">
      <c r="A199" s="284"/>
      <c r="B199" s="285"/>
      <c r="C199" s="284"/>
      <c r="D199" s="205"/>
      <c r="E199" s="205"/>
      <c r="F199" s="292"/>
      <c r="G199" s="292"/>
      <c r="H199" s="298"/>
      <c r="I199" s="298"/>
    </row>
    <row r="200" spans="1:17" ht="21.6" customHeight="1">
      <c r="A200" s="286"/>
      <c r="B200" s="287" t="s">
        <v>361</v>
      </c>
      <c r="C200" s="286" t="s">
        <v>147</v>
      </c>
      <c r="D200" s="133">
        <v>1</v>
      </c>
      <c r="E200" s="133">
        <v>0.35</v>
      </c>
      <c r="F200" s="200">
        <f t="shared" ref="F200:G202" si="25">F194</f>
        <v>15000000</v>
      </c>
      <c r="G200" s="200">
        <f t="shared" si="25"/>
        <v>6000</v>
      </c>
      <c r="H200" s="293">
        <v>0.56999999999999995</v>
      </c>
      <c r="I200" s="294">
        <f>G200*H200</f>
        <v>3419.9999999999995</v>
      </c>
    </row>
    <row r="201" spans="1:17" s="16" customFormat="1" ht="17.45" customHeight="1">
      <c r="A201" s="286"/>
      <c r="B201" s="287" t="s">
        <v>143</v>
      </c>
      <c r="C201" s="286" t="s">
        <v>147</v>
      </c>
      <c r="D201" s="133">
        <v>1</v>
      </c>
      <c r="E201" s="133">
        <v>0.4</v>
      </c>
      <c r="F201" s="200">
        <f t="shared" si="25"/>
        <v>105000000</v>
      </c>
      <c r="G201" s="200">
        <f t="shared" si="25"/>
        <v>21000</v>
      </c>
      <c r="H201" s="293">
        <v>0.1</v>
      </c>
      <c r="I201" s="294">
        <f>G201*H201</f>
        <v>2100</v>
      </c>
    </row>
    <row r="202" spans="1:17" s="16" customFormat="1" ht="17.45" customHeight="1">
      <c r="A202" s="286"/>
      <c r="B202" s="287" t="s">
        <v>145</v>
      </c>
      <c r="C202" s="286" t="s">
        <v>147</v>
      </c>
      <c r="D202" s="133">
        <v>1</v>
      </c>
      <c r="E202" s="133">
        <v>2.2000000000000002</v>
      </c>
      <c r="F202" s="200">
        <f t="shared" si="25"/>
        <v>14500000</v>
      </c>
      <c r="G202" s="200">
        <f t="shared" si="25"/>
        <v>2900</v>
      </c>
      <c r="H202" s="293">
        <v>0.19</v>
      </c>
      <c r="I202" s="294">
        <f>G202*H202</f>
        <v>551</v>
      </c>
    </row>
    <row r="203" spans="1:17" s="16" customFormat="1" ht="17.45" customHeight="1">
      <c r="A203" s="288"/>
      <c r="B203" s="289" t="s">
        <v>186</v>
      </c>
      <c r="C203" s="288" t="s">
        <v>39</v>
      </c>
      <c r="D203" s="140"/>
      <c r="E203" s="140"/>
      <c r="F203" s="299"/>
      <c r="G203" s="258">
        <v>1154</v>
      </c>
      <c r="H203" s="300">
        <v>4.25</v>
      </c>
      <c r="I203" s="294">
        <f>G203*H203</f>
        <v>4904.5</v>
      </c>
    </row>
    <row r="204" spans="1:17" s="16" customFormat="1" ht="17.45" customHeight="1">
      <c r="A204" s="305"/>
      <c r="B204" s="304"/>
      <c r="C204" s="305"/>
      <c r="D204" s="157"/>
      <c r="E204" s="157"/>
      <c r="F204" s="548"/>
      <c r="G204" s="280"/>
      <c r="H204" s="549"/>
      <c r="I204" s="549"/>
      <c r="J204" s="549"/>
      <c r="K204" s="549"/>
      <c r="L204" s="549"/>
      <c r="M204" s="549"/>
      <c r="N204" s="549"/>
      <c r="O204" s="549"/>
      <c r="P204" s="549"/>
      <c r="Q204" s="549"/>
    </row>
    <row r="205" spans="1:17">
      <c r="A205" s="455" t="s">
        <v>323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>
      <c r="A206" s="784" t="s">
        <v>553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16"/>
      <c r="P206" s="16"/>
      <c r="Q206" s="16"/>
    </row>
    <row r="207" spans="1:17" ht="42" customHeight="1">
      <c r="A207" s="1050" t="s">
        <v>549</v>
      </c>
      <c r="B207" s="1050"/>
      <c r="C207" s="1050"/>
      <c r="D207" s="1050"/>
      <c r="E207" s="1050"/>
      <c r="F207" s="1050"/>
      <c r="G207" s="1050"/>
      <c r="H207" s="1050"/>
      <c r="I207" s="1050"/>
      <c r="J207" s="1050"/>
      <c r="K207" s="1050"/>
      <c r="L207" s="1050"/>
      <c r="M207" s="1050"/>
      <c r="N207" s="1050"/>
      <c r="O207" s="16"/>
      <c r="P207" s="16"/>
      <c r="Q207" s="16"/>
    </row>
    <row r="208" spans="1:17">
      <c r="A208" s="45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</sheetData>
  <mergeCells count="72">
    <mergeCell ref="A207:N207"/>
    <mergeCell ref="A50:B50"/>
    <mergeCell ref="A51:I51"/>
    <mergeCell ref="A52:Q52"/>
    <mergeCell ref="A100:B100"/>
    <mergeCell ref="A101:Q101"/>
    <mergeCell ref="A147:Q147"/>
    <mergeCell ref="P108:Q108"/>
    <mergeCell ref="O164:Q164"/>
    <mergeCell ref="A166:A167"/>
    <mergeCell ref="E166:E167"/>
    <mergeCell ref="P5:Q5"/>
    <mergeCell ref="P55:Q55"/>
    <mergeCell ref="P106:Q106"/>
    <mergeCell ref="P150:Q150"/>
    <mergeCell ref="P57:Q57"/>
    <mergeCell ref="J57:K57"/>
    <mergeCell ref="J108:K108"/>
    <mergeCell ref="E7:E8"/>
    <mergeCell ref="E152:E153"/>
    <mergeCell ref="L7:M7"/>
    <mergeCell ref="A57:A58"/>
    <mergeCell ref="N7:O7"/>
    <mergeCell ref="N152:O152"/>
    <mergeCell ref="B57:B58"/>
    <mergeCell ref="C57:C58"/>
    <mergeCell ref="D108:D109"/>
    <mergeCell ref="F108:F109"/>
    <mergeCell ref="A7:A8"/>
    <mergeCell ref="B7:B8"/>
    <mergeCell ref="P152:Q152"/>
    <mergeCell ref="F152:F153"/>
    <mergeCell ref="G152:G153"/>
    <mergeCell ref="J152:K152"/>
    <mergeCell ref="H152:I152"/>
    <mergeCell ref="L152:M152"/>
    <mergeCell ref="G166:G167"/>
    <mergeCell ref="H166:H167"/>
    <mergeCell ref="A1:Q1"/>
    <mergeCell ref="F7:F8"/>
    <mergeCell ref="G7:G8"/>
    <mergeCell ref="D57:D58"/>
    <mergeCell ref="F57:F58"/>
    <mergeCell ref="P7:Q7"/>
    <mergeCell ref="G57:G58"/>
    <mergeCell ref="J7:K7"/>
    <mergeCell ref="B166:B167"/>
    <mergeCell ref="C166:C167"/>
    <mergeCell ref="A152:A153"/>
    <mergeCell ref="B152:B153"/>
    <mergeCell ref="C152:C153"/>
    <mergeCell ref="A163:Q163"/>
    <mergeCell ref="D152:D153"/>
    <mergeCell ref="I166:I167"/>
    <mergeCell ref="D166:D167"/>
    <mergeCell ref="F166:F167"/>
    <mergeCell ref="A161:B161"/>
    <mergeCell ref="N57:O57"/>
    <mergeCell ref="N108:O108"/>
    <mergeCell ref="L108:M108"/>
    <mergeCell ref="L57:M57"/>
    <mergeCell ref="G108:G109"/>
    <mergeCell ref="E108:E109"/>
    <mergeCell ref="E57:E58"/>
    <mergeCell ref="C7:C8"/>
    <mergeCell ref="H7:I7"/>
    <mergeCell ref="D7:D8"/>
    <mergeCell ref="A108:A109"/>
    <mergeCell ref="H108:I108"/>
    <mergeCell ref="B108:B109"/>
    <mergeCell ref="C108:C109"/>
    <mergeCell ref="H57:I57"/>
  </mergeCells>
  <phoneticPr fontId="9" type="noConversion"/>
  <printOptions horizontalCentered="1"/>
  <pageMargins left="0.55118110236220497" right="0.55118110236220497" top="0.59055118110236204" bottom="0.59055118110236204" header="0.31496062992126" footer="0.39370078740157499"/>
  <pageSetup paperSize="9" scale="85" firstPageNumber="72" orientation="landscape" useFirstPageNumber="1" r:id="rId1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K52"/>
  <sheetViews>
    <sheetView zoomScale="90" workbookViewId="0">
      <selection activeCell="K17" sqref="K17"/>
    </sheetView>
  </sheetViews>
  <sheetFormatPr defaultRowHeight="16.5"/>
  <cols>
    <col min="1" max="1" width="5.33203125" customWidth="1"/>
    <col min="2" max="2" width="19.44140625" customWidth="1"/>
    <col min="3" max="3" width="7.21875" customWidth="1"/>
    <col min="4" max="4" width="10.6640625" customWidth="1"/>
    <col min="5" max="5" width="9.44140625" customWidth="1"/>
    <col min="6" max="6" width="9.109375" customWidth="1"/>
    <col min="7" max="7" width="10" customWidth="1"/>
    <col min="8" max="8" width="9.33203125" customWidth="1"/>
    <col min="9" max="9" width="11.88671875" customWidth="1"/>
    <col min="10" max="11" width="10" customWidth="1"/>
  </cols>
  <sheetData>
    <row r="1" spans="1:11" ht="28.5" customHeight="1">
      <c r="A1" s="954" t="s">
        <v>568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</row>
    <row r="2" spans="1:11" ht="18.75" customHeight="1">
      <c r="C2" s="17"/>
      <c r="D2" s="17"/>
      <c r="E2" s="17"/>
      <c r="F2" s="17"/>
      <c r="G2" s="17"/>
      <c r="H2" s="17"/>
      <c r="I2" s="475" t="s">
        <v>409</v>
      </c>
      <c r="J2" s="476">
        <f>'He so chung'!D4</f>
        <v>1390000</v>
      </c>
      <c r="K2" s="51" t="s">
        <v>569</v>
      </c>
    </row>
    <row r="3" spans="1:11" ht="6" customHeight="1">
      <c r="C3" s="17"/>
      <c r="D3" s="17"/>
      <c r="E3" s="17"/>
      <c r="F3" s="17"/>
      <c r="G3" s="17"/>
      <c r="H3" s="17"/>
      <c r="I3" s="475"/>
      <c r="J3" s="476"/>
      <c r="K3" s="51"/>
    </row>
    <row r="4" spans="1:11" ht="48" customHeight="1">
      <c r="A4" s="460" t="s">
        <v>404</v>
      </c>
      <c r="B4" s="460" t="s">
        <v>405</v>
      </c>
      <c r="C4" s="460" t="s">
        <v>406</v>
      </c>
      <c r="D4" s="460" t="s">
        <v>494</v>
      </c>
      <c r="E4" s="460" t="s">
        <v>495</v>
      </c>
      <c r="F4" s="460" t="s">
        <v>496</v>
      </c>
      <c r="G4" s="460" t="s">
        <v>497</v>
      </c>
      <c r="H4" s="460" t="s">
        <v>498</v>
      </c>
      <c r="I4" s="460" t="s">
        <v>499</v>
      </c>
      <c r="J4" s="460" t="s">
        <v>500</v>
      </c>
      <c r="K4" s="460" t="s">
        <v>501</v>
      </c>
    </row>
    <row r="5" spans="1:11">
      <c r="A5" s="461" t="s">
        <v>3</v>
      </c>
      <c r="B5" s="462" t="s">
        <v>407</v>
      </c>
      <c r="C5" s="12"/>
      <c r="D5" s="12"/>
      <c r="E5" s="12"/>
      <c r="F5" s="12"/>
      <c r="G5" s="12"/>
      <c r="H5" s="12"/>
      <c r="I5" s="12"/>
      <c r="J5" s="12"/>
      <c r="K5" s="12"/>
    </row>
    <row r="6" spans="1:11">
      <c r="A6" s="13" t="s">
        <v>5</v>
      </c>
      <c r="B6" s="18" t="s">
        <v>566</v>
      </c>
      <c r="C6" s="19"/>
      <c r="D6" s="20"/>
      <c r="E6" s="20"/>
      <c r="F6" s="20"/>
      <c r="G6" s="20"/>
      <c r="H6" s="20"/>
      <c r="I6" s="20"/>
      <c r="J6" s="20"/>
      <c r="K6" s="20"/>
    </row>
    <row r="7" spans="1:11">
      <c r="A7" s="2"/>
      <c r="B7" s="21">
        <v>1</v>
      </c>
      <c r="C7" s="465" t="s">
        <v>23</v>
      </c>
      <c r="D7" s="466" t="e">
        <f t="shared" ref="D7:D14" si="0">$J$2*C7</f>
        <v>#VALUE!</v>
      </c>
      <c r="E7" s="466" t="e">
        <f>D7*'He so chung'!$D$5/100</f>
        <v>#VALUE!</v>
      </c>
      <c r="F7" s="466">
        <f>$J$2*'He so chung'!$D$6</f>
        <v>556000</v>
      </c>
      <c r="G7" s="466">
        <f>$J$2*'He so chung'!$D$7/5</f>
        <v>55600</v>
      </c>
      <c r="H7" s="466">
        <v>0</v>
      </c>
      <c r="I7" s="466" t="e">
        <f>D7*'He so chung'!$D$9/100</f>
        <v>#VALUE!</v>
      </c>
      <c r="J7" s="466" t="e">
        <f>D7+E7+F7+G7+H7+I7</f>
        <v>#VALUE!</v>
      </c>
      <c r="K7" s="467" t="e">
        <f>J7/'He so chung'!$D$10</f>
        <v>#VALUE!</v>
      </c>
    </row>
    <row r="8" spans="1:11">
      <c r="A8" s="2"/>
      <c r="B8" s="21">
        <v>2</v>
      </c>
      <c r="C8" s="465" t="s">
        <v>447</v>
      </c>
      <c r="D8" s="466" t="e">
        <f t="shared" si="0"/>
        <v>#VALUE!</v>
      </c>
      <c r="E8" s="466" t="e">
        <f>D8*'He so chung'!$D$5/100</f>
        <v>#VALUE!</v>
      </c>
      <c r="F8" s="466">
        <f>$J$2*'He so chung'!$D$6</f>
        <v>556000</v>
      </c>
      <c r="G8" s="466">
        <f>$J$2*'He so chung'!$D$7/5</f>
        <v>55600</v>
      </c>
      <c r="H8" s="466">
        <v>0</v>
      </c>
      <c r="I8" s="466" t="e">
        <f>D8*'He so chung'!$D$9/100</f>
        <v>#VALUE!</v>
      </c>
      <c r="J8" s="466" t="e">
        <f t="shared" ref="J8:J14" si="1">D8+E8+F8+G8+H8+I8</f>
        <v>#VALUE!</v>
      </c>
      <c r="K8" s="467" t="e">
        <f>J8/'He so chung'!$D$10</f>
        <v>#VALUE!</v>
      </c>
    </row>
    <row r="9" spans="1:11">
      <c r="A9" s="2"/>
      <c r="B9" s="21">
        <v>3</v>
      </c>
      <c r="C9" s="465" t="s">
        <v>448</v>
      </c>
      <c r="D9" s="466" t="e">
        <f t="shared" si="0"/>
        <v>#VALUE!</v>
      </c>
      <c r="E9" s="466" t="e">
        <f>D9*'He so chung'!$D$5/100</f>
        <v>#VALUE!</v>
      </c>
      <c r="F9" s="466">
        <f>$J$2*'He so chung'!$D$6</f>
        <v>556000</v>
      </c>
      <c r="G9" s="466">
        <f>$J$2*'He so chung'!$D$7/5</f>
        <v>55600</v>
      </c>
      <c r="H9" s="466">
        <v>0</v>
      </c>
      <c r="I9" s="466" t="e">
        <f>D9*'He so chung'!$D$9/100</f>
        <v>#VALUE!</v>
      </c>
      <c r="J9" s="466" t="e">
        <f t="shared" si="1"/>
        <v>#VALUE!</v>
      </c>
      <c r="K9" s="467" t="e">
        <f>J9/'He so chung'!$D$10</f>
        <v>#VALUE!</v>
      </c>
    </row>
    <row r="10" spans="1:11">
      <c r="A10" s="2"/>
      <c r="B10" s="21">
        <v>4</v>
      </c>
      <c r="C10" s="465" t="s">
        <v>449</v>
      </c>
      <c r="D10" s="466" t="e">
        <f t="shared" si="0"/>
        <v>#VALUE!</v>
      </c>
      <c r="E10" s="466" t="e">
        <f>D10*'He so chung'!$D$5/100</f>
        <v>#VALUE!</v>
      </c>
      <c r="F10" s="466">
        <f>$J$2*'He so chung'!$D$6</f>
        <v>556000</v>
      </c>
      <c r="G10" s="466">
        <f>$J$2*'He so chung'!$D$7/5</f>
        <v>55600</v>
      </c>
      <c r="H10" s="466">
        <v>0</v>
      </c>
      <c r="I10" s="466" t="e">
        <f>D10*'He so chung'!$D$9/100</f>
        <v>#VALUE!</v>
      </c>
      <c r="J10" s="466" t="e">
        <f t="shared" si="1"/>
        <v>#VALUE!</v>
      </c>
      <c r="K10" s="467" t="e">
        <f>J10/'He so chung'!$D$10</f>
        <v>#VALUE!</v>
      </c>
    </row>
    <row r="11" spans="1:11">
      <c r="A11" s="2"/>
      <c r="B11" s="21">
        <v>5</v>
      </c>
      <c r="C11" s="465" t="s">
        <v>450</v>
      </c>
      <c r="D11" s="466" t="e">
        <f t="shared" si="0"/>
        <v>#VALUE!</v>
      </c>
      <c r="E11" s="466" t="e">
        <f>D11*'He so chung'!$D$5/100</f>
        <v>#VALUE!</v>
      </c>
      <c r="F11" s="466">
        <f>$J$2*'He so chung'!$D$6</f>
        <v>556000</v>
      </c>
      <c r="G11" s="466">
        <f>$J$2*'He so chung'!$D$7/5</f>
        <v>55600</v>
      </c>
      <c r="H11" s="466">
        <v>0</v>
      </c>
      <c r="I11" s="466" t="e">
        <f>D11*'He so chung'!$D$9/100</f>
        <v>#VALUE!</v>
      </c>
      <c r="J11" s="466" t="e">
        <f t="shared" si="1"/>
        <v>#VALUE!</v>
      </c>
      <c r="K11" s="467" t="e">
        <f>J11/'He so chung'!$D$10</f>
        <v>#VALUE!</v>
      </c>
    </row>
    <row r="12" spans="1:11">
      <c r="A12" s="2"/>
      <c r="B12" s="21">
        <v>6</v>
      </c>
      <c r="C12" s="465" t="s">
        <v>451</v>
      </c>
      <c r="D12" s="466" t="e">
        <f t="shared" si="0"/>
        <v>#VALUE!</v>
      </c>
      <c r="E12" s="466" t="e">
        <f>D12*'He so chung'!$D$5/100</f>
        <v>#VALUE!</v>
      </c>
      <c r="F12" s="466">
        <f>$J$2*'He so chung'!$D$6</f>
        <v>556000</v>
      </c>
      <c r="G12" s="466">
        <f>$J$2*'He so chung'!$D$7/5</f>
        <v>55600</v>
      </c>
      <c r="H12" s="466">
        <v>0</v>
      </c>
      <c r="I12" s="466" t="e">
        <f>D12*'He so chung'!$D$9/100</f>
        <v>#VALUE!</v>
      </c>
      <c r="J12" s="466" t="e">
        <f t="shared" si="1"/>
        <v>#VALUE!</v>
      </c>
      <c r="K12" s="467" t="e">
        <f>J12/'He so chung'!$D$10</f>
        <v>#VALUE!</v>
      </c>
    </row>
    <row r="13" spans="1:11">
      <c r="A13" s="2"/>
      <c r="B13" s="21">
        <v>7</v>
      </c>
      <c r="C13" s="465" t="s">
        <v>452</v>
      </c>
      <c r="D13" s="466" t="e">
        <f t="shared" si="0"/>
        <v>#VALUE!</v>
      </c>
      <c r="E13" s="466" t="e">
        <f>D13*'He so chung'!$D$5/100</f>
        <v>#VALUE!</v>
      </c>
      <c r="F13" s="466">
        <f>$J$2*'He so chung'!$D$6</f>
        <v>556000</v>
      </c>
      <c r="G13" s="466">
        <f>$J$2*'He so chung'!$D$7/5</f>
        <v>55600</v>
      </c>
      <c r="H13" s="466">
        <v>0</v>
      </c>
      <c r="I13" s="466" t="e">
        <f>D13*'He so chung'!$D$9/100</f>
        <v>#VALUE!</v>
      </c>
      <c r="J13" s="466" t="e">
        <f t="shared" si="1"/>
        <v>#VALUE!</v>
      </c>
      <c r="K13" s="467" t="e">
        <f>J13/'He so chung'!$D$10</f>
        <v>#VALUE!</v>
      </c>
    </row>
    <row r="14" spans="1:11">
      <c r="A14" s="2"/>
      <c r="B14" s="21">
        <v>8</v>
      </c>
      <c r="C14" s="465" t="s">
        <v>453</v>
      </c>
      <c r="D14" s="466" t="e">
        <f t="shared" si="0"/>
        <v>#VALUE!</v>
      </c>
      <c r="E14" s="466" t="e">
        <f>D14*'He so chung'!$D$5/100</f>
        <v>#VALUE!</v>
      </c>
      <c r="F14" s="466">
        <f>$J$2*'He so chung'!$D$6</f>
        <v>556000</v>
      </c>
      <c r="G14" s="466">
        <f>$J$2*'He so chung'!$D$7/5</f>
        <v>55600</v>
      </c>
      <c r="H14" s="466">
        <v>0</v>
      </c>
      <c r="I14" s="466" t="e">
        <f>D14*'He so chung'!$D$9/100</f>
        <v>#VALUE!</v>
      </c>
      <c r="J14" s="466" t="e">
        <f t="shared" si="1"/>
        <v>#VALUE!</v>
      </c>
      <c r="K14" s="467" t="e">
        <f>J14/'He so chung'!$D$10</f>
        <v>#VALUE!</v>
      </c>
    </row>
    <row r="15" spans="1:11">
      <c r="A15" s="5" t="s">
        <v>6</v>
      </c>
      <c r="B15" s="24" t="s">
        <v>567</v>
      </c>
      <c r="C15" s="465"/>
      <c r="D15" s="466"/>
      <c r="E15" s="466">
        <f>D15*'He so chung'!$D$5/100</f>
        <v>0</v>
      </c>
      <c r="F15" s="466"/>
      <c r="G15" s="466"/>
      <c r="H15" s="466"/>
      <c r="I15" s="466">
        <f>D15*'He so chung'!$D$9/100</f>
        <v>0</v>
      </c>
      <c r="J15" s="466"/>
      <c r="K15" s="467">
        <f>J15/'He so chung'!$D$10</f>
        <v>0</v>
      </c>
    </row>
    <row r="16" spans="1:11">
      <c r="A16" s="2"/>
      <c r="B16" s="21">
        <v>3</v>
      </c>
      <c r="C16" s="465" t="s">
        <v>454</v>
      </c>
      <c r="D16" s="466" t="e">
        <f t="shared" ref="D16:D25" si="2">$J$2*C16</f>
        <v>#VALUE!</v>
      </c>
      <c r="E16" s="466" t="e">
        <f>D16*'He so chung'!$D$5/100</f>
        <v>#VALUE!</v>
      </c>
      <c r="F16" s="466">
        <f>$J$2*'He so chung'!$D$6</f>
        <v>556000</v>
      </c>
      <c r="G16" s="466">
        <f>$J$2*'He so chung'!$D$7/5</f>
        <v>55600</v>
      </c>
      <c r="H16" s="466">
        <v>0</v>
      </c>
      <c r="I16" s="466" t="e">
        <f>D16*'He so chung'!$D$9/100</f>
        <v>#VALUE!</v>
      </c>
      <c r="J16" s="466" t="e">
        <f t="shared" ref="J16:J25" si="3">D16+E16+F16+G16+H16+I16</f>
        <v>#VALUE!</v>
      </c>
      <c r="K16" s="467" t="e">
        <f>J16/'He so chung'!$D$10</f>
        <v>#VALUE!</v>
      </c>
    </row>
    <row r="17" spans="1:11">
      <c r="A17" s="2"/>
      <c r="B17" s="21">
        <v>4</v>
      </c>
      <c r="C17" s="465" t="s">
        <v>455</v>
      </c>
      <c r="D17" s="466" t="e">
        <f t="shared" si="2"/>
        <v>#VALUE!</v>
      </c>
      <c r="E17" s="466" t="e">
        <f>D17*'He so chung'!$D$5/100</f>
        <v>#VALUE!</v>
      </c>
      <c r="F17" s="466">
        <f>$J$2*'He so chung'!$D$6</f>
        <v>556000</v>
      </c>
      <c r="G17" s="466">
        <f>$J$2*'He so chung'!$D$7/5</f>
        <v>55600</v>
      </c>
      <c r="H17" s="466">
        <v>0</v>
      </c>
      <c r="I17" s="466" t="e">
        <f>D17*'He so chung'!$D$9/100</f>
        <v>#VALUE!</v>
      </c>
      <c r="J17" s="466" t="e">
        <f t="shared" si="3"/>
        <v>#VALUE!</v>
      </c>
      <c r="K17" s="467" t="e">
        <f>J17/'He so chung'!$D$10</f>
        <v>#VALUE!</v>
      </c>
    </row>
    <row r="18" spans="1:11">
      <c r="A18" s="2"/>
      <c r="B18" s="21">
        <v>5</v>
      </c>
      <c r="C18" s="465" t="s">
        <v>456</v>
      </c>
      <c r="D18" s="466" t="e">
        <f t="shared" si="2"/>
        <v>#VALUE!</v>
      </c>
      <c r="E18" s="466" t="e">
        <f>D18*'He so chung'!$D$5/100</f>
        <v>#VALUE!</v>
      </c>
      <c r="F18" s="466">
        <f>$J$2*'He so chung'!$D$6</f>
        <v>556000</v>
      </c>
      <c r="G18" s="466">
        <f>$J$2*'He so chung'!$D$7/5</f>
        <v>55600</v>
      </c>
      <c r="H18" s="466">
        <v>0</v>
      </c>
      <c r="I18" s="466" t="e">
        <f>D18*'He so chung'!$D$9/100</f>
        <v>#VALUE!</v>
      </c>
      <c r="J18" s="466" t="e">
        <f t="shared" si="3"/>
        <v>#VALUE!</v>
      </c>
      <c r="K18" s="467" t="e">
        <f>J18/'He so chung'!$D$10</f>
        <v>#VALUE!</v>
      </c>
    </row>
    <row r="19" spans="1:11">
      <c r="A19" s="2"/>
      <c r="B19" s="21">
        <v>6</v>
      </c>
      <c r="C19" s="465" t="s">
        <v>457</v>
      </c>
      <c r="D19" s="466" t="e">
        <f t="shared" si="2"/>
        <v>#VALUE!</v>
      </c>
      <c r="E19" s="466" t="e">
        <f>D19*'He so chung'!$D$5/100</f>
        <v>#VALUE!</v>
      </c>
      <c r="F19" s="466">
        <f>$J$2*'He so chung'!$D$6</f>
        <v>556000</v>
      </c>
      <c r="G19" s="466">
        <f>$J$2*'He so chung'!$D$7/5</f>
        <v>55600</v>
      </c>
      <c r="H19" s="466">
        <v>0</v>
      </c>
      <c r="I19" s="466" t="e">
        <f>D19*'He so chung'!$D$9/100</f>
        <v>#VALUE!</v>
      </c>
      <c r="J19" s="466" t="e">
        <f t="shared" si="3"/>
        <v>#VALUE!</v>
      </c>
      <c r="K19" s="467" t="e">
        <f>J19/'He so chung'!$D$10</f>
        <v>#VALUE!</v>
      </c>
    </row>
    <row r="20" spans="1:11">
      <c r="A20" s="2"/>
      <c r="B20" s="21">
        <v>7</v>
      </c>
      <c r="C20" s="465" t="s">
        <v>458</v>
      </c>
      <c r="D20" s="466" t="e">
        <f t="shared" si="2"/>
        <v>#VALUE!</v>
      </c>
      <c r="E20" s="466" t="e">
        <f>D20*'He so chung'!$D$5/100</f>
        <v>#VALUE!</v>
      </c>
      <c r="F20" s="466">
        <f>$J$2*'He so chung'!$D$6</f>
        <v>556000</v>
      </c>
      <c r="G20" s="466">
        <f>$J$2*'He so chung'!$D$7/5</f>
        <v>55600</v>
      </c>
      <c r="H20" s="466">
        <v>0</v>
      </c>
      <c r="I20" s="466" t="e">
        <f>D20*'He so chung'!$D$9/100</f>
        <v>#VALUE!</v>
      </c>
      <c r="J20" s="466" t="e">
        <f t="shared" si="3"/>
        <v>#VALUE!</v>
      </c>
      <c r="K20" s="467" t="e">
        <f>J20/'He so chung'!$D$10</f>
        <v>#VALUE!</v>
      </c>
    </row>
    <row r="21" spans="1:11">
      <c r="A21" s="2"/>
      <c r="B21" s="21">
        <v>8</v>
      </c>
      <c r="C21" s="465" t="s">
        <v>459</v>
      </c>
      <c r="D21" s="466" t="e">
        <f t="shared" si="2"/>
        <v>#VALUE!</v>
      </c>
      <c r="E21" s="466" t="e">
        <f>D21*'He so chung'!$D$5/100</f>
        <v>#VALUE!</v>
      </c>
      <c r="F21" s="466">
        <f>$J$2*'He so chung'!$D$6</f>
        <v>556000</v>
      </c>
      <c r="G21" s="466">
        <f>$J$2*'He so chung'!$D$7/5</f>
        <v>55600</v>
      </c>
      <c r="H21" s="466">
        <v>0</v>
      </c>
      <c r="I21" s="466" t="e">
        <f>D21*'He so chung'!$D$9/100</f>
        <v>#VALUE!</v>
      </c>
      <c r="J21" s="466" t="e">
        <f t="shared" si="3"/>
        <v>#VALUE!</v>
      </c>
      <c r="K21" s="467" t="e">
        <f>J21/'He so chung'!$D$10</f>
        <v>#VALUE!</v>
      </c>
    </row>
    <row r="22" spans="1:11">
      <c r="A22" s="2"/>
      <c r="B22" s="21">
        <v>9</v>
      </c>
      <c r="C22" s="465" t="s">
        <v>460</v>
      </c>
      <c r="D22" s="466" t="e">
        <f t="shared" si="2"/>
        <v>#VALUE!</v>
      </c>
      <c r="E22" s="466" t="e">
        <f>D22*'He so chung'!$D$5/100</f>
        <v>#VALUE!</v>
      </c>
      <c r="F22" s="466">
        <f>$J$2*'He so chung'!$D$6</f>
        <v>556000</v>
      </c>
      <c r="G22" s="466">
        <f>$J$2*'He so chung'!$D$7/5</f>
        <v>55600</v>
      </c>
      <c r="H22" s="466">
        <v>0</v>
      </c>
      <c r="I22" s="466" t="e">
        <f>D22*'He so chung'!$D$9/100</f>
        <v>#VALUE!</v>
      </c>
      <c r="J22" s="466" t="e">
        <f t="shared" si="3"/>
        <v>#VALUE!</v>
      </c>
      <c r="K22" s="467" t="e">
        <f>J22/'He so chung'!$D$10</f>
        <v>#VALUE!</v>
      </c>
    </row>
    <row r="23" spans="1:11">
      <c r="A23" s="2"/>
      <c r="B23" s="21">
        <v>10</v>
      </c>
      <c r="C23" s="465" t="s">
        <v>450</v>
      </c>
      <c r="D23" s="466" t="e">
        <f t="shared" si="2"/>
        <v>#VALUE!</v>
      </c>
      <c r="E23" s="466" t="e">
        <f>D23*'He so chung'!$D$5/100</f>
        <v>#VALUE!</v>
      </c>
      <c r="F23" s="466">
        <f>$J$2*'He so chung'!$D$6</f>
        <v>556000</v>
      </c>
      <c r="G23" s="466">
        <f>$J$2*'He so chung'!$D$7/5</f>
        <v>55600</v>
      </c>
      <c r="H23" s="466">
        <v>0</v>
      </c>
      <c r="I23" s="466" t="e">
        <f>D23*'He so chung'!$D$9/100</f>
        <v>#VALUE!</v>
      </c>
      <c r="J23" s="466" t="e">
        <f t="shared" si="3"/>
        <v>#VALUE!</v>
      </c>
      <c r="K23" s="467" t="e">
        <f>J23/'He so chung'!$D$10</f>
        <v>#VALUE!</v>
      </c>
    </row>
    <row r="24" spans="1:11">
      <c r="A24" s="2"/>
      <c r="B24" s="21">
        <v>11</v>
      </c>
      <c r="C24" s="465" t="s">
        <v>461</v>
      </c>
      <c r="D24" s="466" t="e">
        <f t="shared" si="2"/>
        <v>#VALUE!</v>
      </c>
      <c r="E24" s="466" t="e">
        <f>D24*'He so chung'!$D$5/100</f>
        <v>#VALUE!</v>
      </c>
      <c r="F24" s="466">
        <f>$J$2*'He so chung'!$D$6</f>
        <v>556000</v>
      </c>
      <c r="G24" s="466">
        <f>$J$2*'He so chung'!$D$7/5</f>
        <v>55600</v>
      </c>
      <c r="H24" s="466">
        <v>0</v>
      </c>
      <c r="I24" s="466" t="e">
        <f>D24*'He so chung'!$D$9/100</f>
        <v>#VALUE!</v>
      </c>
      <c r="J24" s="466" t="e">
        <f t="shared" si="3"/>
        <v>#VALUE!</v>
      </c>
      <c r="K24" s="467" t="e">
        <f>J24/'He so chung'!$D$10</f>
        <v>#VALUE!</v>
      </c>
    </row>
    <row r="25" spans="1:11">
      <c r="A25" s="2"/>
      <c r="B25" s="21">
        <v>12</v>
      </c>
      <c r="C25" s="465" t="s">
        <v>462</v>
      </c>
      <c r="D25" s="466" t="e">
        <f t="shared" si="2"/>
        <v>#VALUE!</v>
      </c>
      <c r="E25" s="466" t="e">
        <f>D25*'He so chung'!$D$5/100</f>
        <v>#VALUE!</v>
      </c>
      <c r="F25" s="466">
        <f>$J$2*'He so chung'!$D$6</f>
        <v>556000</v>
      </c>
      <c r="G25" s="466">
        <f>$J$2*'He so chung'!$D$7/5</f>
        <v>55600</v>
      </c>
      <c r="H25" s="466">
        <v>0</v>
      </c>
      <c r="I25" s="466" t="e">
        <f>D25*'He so chung'!$D$9/100</f>
        <v>#VALUE!</v>
      </c>
      <c r="J25" s="466" t="e">
        <f t="shared" si="3"/>
        <v>#VALUE!</v>
      </c>
      <c r="K25" s="467" t="e">
        <f>J25/'He so chung'!$D$10</f>
        <v>#VALUE!</v>
      </c>
    </row>
    <row r="26" spans="1:11">
      <c r="A26" s="5" t="s">
        <v>7</v>
      </c>
      <c r="B26" s="24" t="s">
        <v>565</v>
      </c>
      <c r="C26" s="465"/>
      <c r="D26" s="466"/>
      <c r="E26" s="466">
        <f>D26*'He so chung'!$D$5/100</f>
        <v>0</v>
      </c>
      <c r="F26" s="466"/>
      <c r="G26" s="466"/>
      <c r="H26" s="466"/>
      <c r="I26" s="466">
        <f>D26*'He so chung'!$D$9/100</f>
        <v>0</v>
      </c>
      <c r="J26" s="466"/>
      <c r="K26" s="467">
        <f>J26/'He so chung'!$D$10</f>
        <v>0</v>
      </c>
    </row>
    <row r="27" spans="1:11">
      <c r="A27" s="9"/>
      <c r="B27" s="25">
        <v>3</v>
      </c>
      <c r="C27" s="468" t="s">
        <v>463</v>
      </c>
      <c r="D27" s="469" t="e">
        <f>$J$2*C27</f>
        <v>#VALUE!</v>
      </c>
      <c r="E27" s="469" t="e">
        <f>D27*'He so chung'!$D$5/100</f>
        <v>#VALUE!</v>
      </c>
      <c r="F27" s="469">
        <f>$J$2*'He so chung'!$D$6</f>
        <v>556000</v>
      </c>
      <c r="G27" s="469"/>
      <c r="H27" s="469">
        <v>0</v>
      </c>
      <c r="I27" s="469" t="e">
        <f>D27*'He so chung'!$D$9/100</f>
        <v>#VALUE!</v>
      </c>
      <c r="J27" s="469" t="e">
        <f>D27+E27+F27+G27+H27+I27</f>
        <v>#VALUE!</v>
      </c>
      <c r="K27" s="470" t="e">
        <f>J27/'He so chung'!$D$10</f>
        <v>#VALUE!</v>
      </c>
    </row>
    <row r="28" spans="1:11">
      <c r="A28" s="471"/>
      <c r="B28" s="472"/>
      <c r="C28" s="472"/>
      <c r="D28" s="473"/>
      <c r="E28" s="473"/>
      <c r="F28" s="473"/>
      <c r="G28" s="473"/>
      <c r="H28" s="473"/>
      <c r="I28" s="473"/>
      <c r="J28" s="473"/>
      <c r="K28" s="474"/>
    </row>
    <row r="29" spans="1:11" ht="48.75" customHeight="1">
      <c r="A29" s="460" t="s">
        <v>404</v>
      </c>
      <c r="B29" s="460" t="s">
        <v>405</v>
      </c>
      <c r="C29" s="460" t="s">
        <v>406</v>
      </c>
      <c r="D29" s="460" t="s">
        <v>494</v>
      </c>
      <c r="E29" s="460" t="s">
        <v>495</v>
      </c>
      <c r="F29" s="460" t="s">
        <v>496</v>
      </c>
      <c r="G29" s="460" t="s">
        <v>497</v>
      </c>
      <c r="H29" s="460" t="s">
        <v>498</v>
      </c>
      <c r="I29" s="460" t="s">
        <v>499</v>
      </c>
      <c r="J29" s="460" t="s">
        <v>500</v>
      </c>
      <c r="K29" s="460" t="s">
        <v>501</v>
      </c>
    </row>
    <row r="30" spans="1:11">
      <c r="A30" s="463" t="s">
        <v>4</v>
      </c>
      <c r="B30" s="464" t="s">
        <v>408</v>
      </c>
      <c r="C30" s="19"/>
      <c r="D30" s="20"/>
      <c r="E30" s="20"/>
      <c r="F30" s="20"/>
      <c r="G30" s="20"/>
      <c r="H30" s="20"/>
      <c r="I30" s="20"/>
      <c r="J30" s="20"/>
      <c r="K30" s="20"/>
    </row>
    <row r="31" spans="1:11">
      <c r="A31" s="26" t="s">
        <v>5</v>
      </c>
      <c r="B31" s="23" t="s">
        <v>566</v>
      </c>
      <c r="C31" s="27"/>
      <c r="D31" s="22"/>
      <c r="E31" s="20"/>
      <c r="F31" s="20"/>
      <c r="G31" s="22"/>
      <c r="H31" s="22"/>
      <c r="I31" s="20"/>
      <c r="J31" s="20"/>
      <c r="K31" s="20"/>
    </row>
    <row r="32" spans="1:11">
      <c r="A32" s="28"/>
      <c r="B32" s="21">
        <v>1</v>
      </c>
      <c r="C32" s="465" t="s">
        <v>23</v>
      </c>
      <c r="D32" s="466" t="e">
        <f t="shared" ref="D32:D39" si="4">$J$2*C32</f>
        <v>#VALUE!</v>
      </c>
      <c r="E32" s="466" t="e">
        <f>D32*'He so chung'!$D$5/100</f>
        <v>#VALUE!</v>
      </c>
      <c r="F32" s="466"/>
      <c r="G32" s="466">
        <f>$J$2*'He so chung'!$D$7/5</f>
        <v>55600</v>
      </c>
      <c r="H32" s="466"/>
      <c r="I32" s="466" t="e">
        <f>D32*'He so chung'!$D$9/100</f>
        <v>#VALUE!</v>
      </c>
      <c r="J32" s="466" t="e">
        <f>D32+E32+G32+I32+F32+H32</f>
        <v>#VALUE!</v>
      </c>
      <c r="K32" s="467" t="e">
        <f>J32/'He so chung'!$D$10</f>
        <v>#VALUE!</v>
      </c>
    </row>
    <row r="33" spans="1:11">
      <c r="A33" s="28"/>
      <c r="B33" s="21">
        <v>2</v>
      </c>
      <c r="C33" s="465" t="s">
        <v>447</v>
      </c>
      <c r="D33" s="466" t="e">
        <f t="shared" si="4"/>
        <v>#VALUE!</v>
      </c>
      <c r="E33" s="466" t="e">
        <f>D33*'He so chung'!$D$5/100</f>
        <v>#VALUE!</v>
      </c>
      <c r="F33" s="466"/>
      <c r="G33" s="466">
        <f>$J$2*'He so chung'!$D$7/5</f>
        <v>55600</v>
      </c>
      <c r="H33" s="466"/>
      <c r="I33" s="466" t="e">
        <f>D33*'He so chung'!$D$9/100</f>
        <v>#VALUE!</v>
      </c>
      <c r="J33" s="466" t="e">
        <f t="shared" ref="J33:J52" si="5">D33+E33+G33+I33+F33+H33</f>
        <v>#VALUE!</v>
      </c>
      <c r="K33" s="467" t="e">
        <f>J33/'He so chung'!$D$10</f>
        <v>#VALUE!</v>
      </c>
    </row>
    <row r="34" spans="1:11">
      <c r="A34" s="2"/>
      <c r="B34" s="21">
        <v>3</v>
      </c>
      <c r="C34" s="465" t="s">
        <v>448</v>
      </c>
      <c r="D34" s="466" t="e">
        <f t="shared" si="4"/>
        <v>#VALUE!</v>
      </c>
      <c r="E34" s="466" t="e">
        <f>D34*'He so chung'!$D$5/100</f>
        <v>#VALUE!</v>
      </c>
      <c r="F34" s="466"/>
      <c r="G34" s="466">
        <f>$J$2*'He so chung'!$D$7/5</f>
        <v>55600</v>
      </c>
      <c r="H34" s="466"/>
      <c r="I34" s="466" t="e">
        <f>D34*'He so chung'!$D$9/100</f>
        <v>#VALUE!</v>
      </c>
      <c r="J34" s="466" t="e">
        <f t="shared" si="5"/>
        <v>#VALUE!</v>
      </c>
      <c r="K34" s="467" t="e">
        <f>J34/'He so chung'!$D$10</f>
        <v>#VALUE!</v>
      </c>
    </row>
    <row r="35" spans="1:11">
      <c r="A35" s="2"/>
      <c r="B35" s="21">
        <v>4</v>
      </c>
      <c r="C35" s="465" t="s">
        <v>449</v>
      </c>
      <c r="D35" s="466" t="e">
        <f t="shared" si="4"/>
        <v>#VALUE!</v>
      </c>
      <c r="E35" s="466" t="e">
        <f>D35*'He so chung'!$D$5/100</f>
        <v>#VALUE!</v>
      </c>
      <c r="F35" s="466"/>
      <c r="G35" s="466">
        <f>$J$2*'He so chung'!$D$7/5</f>
        <v>55600</v>
      </c>
      <c r="H35" s="466"/>
      <c r="I35" s="466" t="e">
        <f>D35*'He so chung'!$D$9/100</f>
        <v>#VALUE!</v>
      </c>
      <c r="J35" s="466" t="e">
        <f t="shared" si="5"/>
        <v>#VALUE!</v>
      </c>
      <c r="K35" s="467" t="e">
        <f>J35/'He so chung'!$D$10</f>
        <v>#VALUE!</v>
      </c>
    </row>
    <row r="36" spans="1:11">
      <c r="A36" s="2"/>
      <c r="B36" s="21">
        <v>5</v>
      </c>
      <c r="C36" s="465" t="s">
        <v>450</v>
      </c>
      <c r="D36" s="466" t="e">
        <f t="shared" si="4"/>
        <v>#VALUE!</v>
      </c>
      <c r="E36" s="466" t="e">
        <f>D36*'He so chung'!$D$5/100</f>
        <v>#VALUE!</v>
      </c>
      <c r="F36" s="466"/>
      <c r="G36" s="466">
        <f>$J$2*'He so chung'!$D$7/5</f>
        <v>55600</v>
      </c>
      <c r="H36" s="466"/>
      <c r="I36" s="466" t="e">
        <f>D36*'He so chung'!$D$9/100</f>
        <v>#VALUE!</v>
      </c>
      <c r="J36" s="466" t="e">
        <f t="shared" si="5"/>
        <v>#VALUE!</v>
      </c>
      <c r="K36" s="467" t="e">
        <f>J36/'He so chung'!$D$10</f>
        <v>#VALUE!</v>
      </c>
    </row>
    <row r="37" spans="1:11">
      <c r="A37" s="2"/>
      <c r="B37" s="21">
        <v>6</v>
      </c>
      <c r="C37" s="465" t="s">
        <v>451</v>
      </c>
      <c r="D37" s="466" t="e">
        <f t="shared" si="4"/>
        <v>#VALUE!</v>
      </c>
      <c r="E37" s="466" t="e">
        <f>D37*'He so chung'!$D$5/100</f>
        <v>#VALUE!</v>
      </c>
      <c r="F37" s="466"/>
      <c r="G37" s="466">
        <f>$J$2*'He so chung'!$D$7/5</f>
        <v>55600</v>
      </c>
      <c r="H37" s="466"/>
      <c r="I37" s="466" t="e">
        <f>D37*'He so chung'!$D$9/100</f>
        <v>#VALUE!</v>
      </c>
      <c r="J37" s="466" t="e">
        <f t="shared" si="5"/>
        <v>#VALUE!</v>
      </c>
      <c r="K37" s="467" t="e">
        <f>J37/'He so chung'!$D$10</f>
        <v>#VALUE!</v>
      </c>
    </row>
    <row r="38" spans="1:11">
      <c r="A38" s="2"/>
      <c r="B38" s="21">
        <v>7</v>
      </c>
      <c r="C38" s="465" t="s">
        <v>452</v>
      </c>
      <c r="D38" s="466" t="e">
        <f t="shared" si="4"/>
        <v>#VALUE!</v>
      </c>
      <c r="E38" s="466" t="e">
        <f>D38*'He so chung'!$D$5/100</f>
        <v>#VALUE!</v>
      </c>
      <c r="F38" s="466"/>
      <c r="G38" s="466">
        <f>$J$2*'He so chung'!$D$7/5</f>
        <v>55600</v>
      </c>
      <c r="H38" s="466"/>
      <c r="I38" s="466" t="e">
        <f>D38*'He so chung'!$D$9/100</f>
        <v>#VALUE!</v>
      </c>
      <c r="J38" s="466" t="e">
        <f t="shared" si="5"/>
        <v>#VALUE!</v>
      </c>
      <c r="K38" s="467" t="e">
        <f>J38/'He so chung'!$D$10</f>
        <v>#VALUE!</v>
      </c>
    </row>
    <row r="39" spans="1:11">
      <c r="A39" s="2"/>
      <c r="B39" s="21">
        <v>8</v>
      </c>
      <c r="C39" s="465" t="s">
        <v>453</v>
      </c>
      <c r="D39" s="466" t="e">
        <f t="shared" si="4"/>
        <v>#VALUE!</v>
      </c>
      <c r="E39" s="466" t="e">
        <f>D39*'He so chung'!$D$5/100</f>
        <v>#VALUE!</v>
      </c>
      <c r="F39" s="466"/>
      <c r="G39" s="466">
        <f>$J$2*'He so chung'!$D$7/5</f>
        <v>55600</v>
      </c>
      <c r="H39" s="466"/>
      <c r="I39" s="466" t="e">
        <f>D39*'He so chung'!$D$9/100</f>
        <v>#VALUE!</v>
      </c>
      <c r="J39" s="466" t="e">
        <f t="shared" si="5"/>
        <v>#VALUE!</v>
      </c>
      <c r="K39" s="467" t="e">
        <f>J39/'He so chung'!$D$10</f>
        <v>#VALUE!</v>
      </c>
    </row>
    <row r="40" spans="1:11">
      <c r="A40" s="5" t="s">
        <v>6</v>
      </c>
      <c r="B40" s="24" t="s">
        <v>567</v>
      </c>
      <c r="C40" s="465"/>
      <c r="D40" s="466"/>
      <c r="E40" s="466"/>
      <c r="F40" s="466"/>
      <c r="G40" s="466"/>
      <c r="H40" s="466"/>
      <c r="I40" s="466"/>
      <c r="J40" s="466"/>
      <c r="K40" s="467"/>
    </row>
    <row r="41" spans="1:11">
      <c r="A41" s="2"/>
      <c r="B41" s="21">
        <v>3</v>
      </c>
      <c r="C41" s="465" t="s">
        <v>454</v>
      </c>
      <c r="D41" s="466" t="e">
        <f t="shared" ref="D41:D50" si="6">$J$2*C41</f>
        <v>#VALUE!</v>
      </c>
      <c r="E41" s="466" t="e">
        <f>D41*'He so chung'!$D$5/100</f>
        <v>#VALUE!</v>
      </c>
      <c r="F41" s="466"/>
      <c r="G41" s="466">
        <f>$J$2*'He so chung'!$D$7/5</f>
        <v>55600</v>
      </c>
      <c r="H41" s="466"/>
      <c r="I41" s="466" t="e">
        <f>D41*'He so chung'!$D$9/100</f>
        <v>#VALUE!</v>
      </c>
      <c r="J41" s="466" t="e">
        <f t="shared" si="5"/>
        <v>#VALUE!</v>
      </c>
      <c r="K41" s="467" t="e">
        <f>J41/'He so chung'!$D$10</f>
        <v>#VALUE!</v>
      </c>
    </row>
    <row r="42" spans="1:11">
      <c r="A42" s="2"/>
      <c r="B42" s="21">
        <v>4</v>
      </c>
      <c r="C42" s="465" t="s">
        <v>455</v>
      </c>
      <c r="D42" s="466" t="e">
        <f t="shared" si="6"/>
        <v>#VALUE!</v>
      </c>
      <c r="E42" s="466" t="e">
        <f>D42*'He so chung'!$D$5/100</f>
        <v>#VALUE!</v>
      </c>
      <c r="F42" s="466"/>
      <c r="G42" s="466">
        <f>$J$2*'He so chung'!$D$7/5</f>
        <v>55600</v>
      </c>
      <c r="H42" s="466"/>
      <c r="I42" s="466" t="e">
        <f>D42*'He so chung'!$D$9/100</f>
        <v>#VALUE!</v>
      </c>
      <c r="J42" s="466" t="e">
        <f t="shared" si="5"/>
        <v>#VALUE!</v>
      </c>
      <c r="K42" s="467" t="e">
        <f>J42/'He so chung'!$D$10</f>
        <v>#VALUE!</v>
      </c>
    </row>
    <row r="43" spans="1:11">
      <c r="A43" s="2"/>
      <c r="B43" s="21">
        <v>5</v>
      </c>
      <c r="C43" s="465" t="s">
        <v>456</v>
      </c>
      <c r="D43" s="466" t="e">
        <f t="shared" si="6"/>
        <v>#VALUE!</v>
      </c>
      <c r="E43" s="466" t="e">
        <f>D43*'He so chung'!$D$5/100</f>
        <v>#VALUE!</v>
      </c>
      <c r="F43" s="466"/>
      <c r="G43" s="466">
        <f>$J$2*'He so chung'!$D$7/5</f>
        <v>55600</v>
      </c>
      <c r="H43" s="466"/>
      <c r="I43" s="466" t="e">
        <f>D43*'He so chung'!$D$9/100</f>
        <v>#VALUE!</v>
      </c>
      <c r="J43" s="466" t="e">
        <f t="shared" si="5"/>
        <v>#VALUE!</v>
      </c>
      <c r="K43" s="467" t="e">
        <f>J43/'He so chung'!$D$10</f>
        <v>#VALUE!</v>
      </c>
    </row>
    <row r="44" spans="1:11">
      <c r="A44" s="2"/>
      <c r="B44" s="21">
        <v>6</v>
      </c>
      <c r="C44" s="465" t="s">
        <v>457</v>
      </c>
      <c r="D44" s="466" t="e">
        <f t="shared" si="6"/>
        <v>#VALUE!</v>
      </c>
      <c r="E44" s="466" t="e">
        <f>D44*'He so chung'!$D$5/100</f>
        <v>#VALUE!</v>
      </c>
      <c r="F44" s="466"/>
      <c r="G44" s="466">
        <f>$J$2*'He so chung'!$D$7/5</f>
        <v>55600</v>
      </c>
      <c r="H44" s="466"/>
      <c r="I44" s="466" t="e">
        <f>D44*'He so chung'!$D$9/100</f>
        <v>#VALUE!</v>
      </c>
      <c r="J44" s="466" t="e">
        <f t="shared" si="5"/>
        <v>#VALUE!</v>
      </c>
      <c r="K44" s="467" t="e">
        <f>J44/'He so chung'!$D$10</f>
        <v>#VALUE!</v>
      </c>
    </row>
    <row r="45" spans="1:11">
      <c r="A45" s="2"/>
      <c r="B45" s="21">
        <v>7</v>
      </c>
      <c r="C45" s="465" t="s">
        <v>458</v>
      </c>
      <c r="D45" s="466" t="e">
        <f t="shared" si="6"/>
        <v>#VALUE!</v>
      </c>
      <c r="E45" s="466" t="e">
        <f>D45*'He so chung'!$D$5/100</f>
        <v>#VALUE!</v>
      </c>
      <c r="F45" s="466"/>
      <c r="G45" s="466">
        <f>$J$2*'He so chung'!$D$7/5</f>
        <v>55600</v>
      </c>
      <c r="H45" s="466"/>
      <c r="I45" s="466" t="e">
        <f>D45*'He so chung'!$D$9/100</f>
        <v>#VALUE!</v>
      </c>
      <c r="J45" s="466" t="e">
        <f t="shared" si="5"/>
        <v>#VALUE!</v>
      </c>
      <c r="K45" s="467" t="e">
        <f>J45/'He so chung'!$D$10</f>
        <v>#VALUE!</v>
      </c>
    </row>
    <row r="46" spans="1:11">
      <c r="A46" s="2"/>
      <c r="B46" s="21">
        <v>8</v>
      </c>
      <c r="C46" s="465" t="s">
        <v>459</v>
      </c>
      <c r="D46" s="466" t="e">
        <f t="shared" si="6"/>
        <v>#VALUE!</v>
      </c>
      <c r="E46" s="466" t="e">
        <f>D46*'He so chung'!$D$5/100</f>
        <v>#VALUE!</v>
      </c>
      <c r="F46" s="466"/>
      <c r="G46" s="466">
        <f>$J$2*'He so chung'!$D$7/5</f>
        <v>55600</v>
      </c>
      <c r="H46" s="466"/>
      <c r="I46" s="466" t="e">
        <f>D46*'He so chung'!$D$9/100</f>
        <v>#VALUE!</v>
      </c>
      <c r="J46" s="466" t="e">
        <f t="shared" si="5"/>
        <v>#VALUE!</v>
      </c>
      <c r="K46" s="467" t="e">
        <f>J46/'He so chung'!$D$10</f>
        <v>#VALUE!</v>
      </c>
    </row>
    <row r="47" spans="1:11">
      <c r="A47" s="2"/>
      <c r="B47" s="21">
        <v>9</v>
      </c>
      <c r="C47" s="465" t="s">
        <v>460</v>
      </c>
      <c r="D47" s="466" t="e">
        <f t="shared" si="6"/>
        <v>#VALUE!</v>
      </c>
      <c r="E47" s="466" t="e">
        <f>D47*'He so chung'!$D$5/100</f>
        <v>#VALUE!</v>
      </c>
      <c r="F47" s="466"/>
      <c r="G47" s="466">
        <f>$J$2*'He so chung'!$D$7/5</f>
        <v>55600</v>
      </c>
      <c r="H47" s="466"/>
      <c r="I47" s="466" t="e">
        <f>D47*'He so chung'!$D$9/100</f>
        <v>#VALUE!</v>
      </c>
      <c r="J47" s="466" t="e">
        <f t="shared" si="5"/>
        <v>#VALUE!</v>
      </c>
      <c r="K47" s="467" t="e">
        <f>J47/'He so chung'!$D$10</f>
        <v>#VALUE!</v>
      </c>
    </row>
    <row r="48" spans="1:11">
      <c r="A48" s="2"/>
      <c r="B48" s="21">
        <v>10</v>
      </c>
      <c r="C48" s="465" t="s">
        <v>450</v>
      </c>
      <c r="D48" s="466" t="e">
        <f t="shared" si="6"/>
        <v>#VALUE!</v>
      </c>
      <c r="E48" s="466" t="e">
        <f>D48*'He so chung'!$D$5/100</f>
        <v>#VALUE!</v>
      </c>
      <c r="F48" s="466"/>
      <c r="G48" s="466">
        <f>$J$2*'He so chung'!$D$7/5</f>
        <v>55600</v>
      </c>
      <c r="H48" s="466"/>
      <c r="I48" s="466" t="e">
        <f>D48*'He so chung'!$D$9/100</f>
        <v>#VALUE!</v>
      </c>
      <c r="J48" s="466" t="e">
        <f t="shared" si="5"/>
        <v>#VALUE!</v>
      </c>
      <c r="K48" s="467" t="e">
        <f>J48/'He so chung'!$D$10</f>
        <v>#VALUE!</v>
      </c>
    </row>
    <row r="49" spans="1:11">
      <c r="A49" s="2"/>
      <c r="B49" s="21">
        <v>11</v>
      </c>
      <c r="C49" s="465" t="s">
        <v>461</v>
      </c>
      <c r="D49" s="466" t="e">
        <f t="shared" si="6"/>
        <v>#VALUE!</v>
      </c>
      <c r="E49" s="466" t="e">
        <f>D49*'He so chung'!$D$5/100</f>
        <v>#VALUE!</v>
      </c>
      <c r="F49" s="466"/>
      <c r="G49" s="466">
        <f>$J$2*'He so chung'!$D$7/5</f>
        <v>55600</v>
      </c>
      <c r="H49" s="466"/>
      <c r="I49" s="466" t="e">
        <f>D49*'He so chung'!$D$9/100</f>
        <v>#VALUE!</v>
      </c>
      <c r="J49" s="466" t="e">
        <f t="shared" si="5"/>
        <v>#VALUE!</v>
      </c>
      <c r="K49" s="467" t="e">
        <f>J49/'He so chung'!$D$10</f>
        <v>#VALUE!</v>
      </c>
    </row>
    <row r="50" spans="1:11">
      <c r="A50" s="2"/>
      <c r="B50" s="21">
        <v>12</v>
      </c>
      <c r="C50" s="465" t="s">
        <v>462</v>
      </c>
      <c r="D50" s="466" t="e">
        <f t="shared" si="6"/>
        <v>#VALUE!</v>
      </c>
      <c r="E50" s="466" t="e">
        <f>D50*'He so chung'!$D$5/100</f>
        <v>#VALUE!</v>
      </c>
      <c r="F50" s="466"/>
      <c r="G50" s="466">
        <f>$J$2*'He so chung'!$D$7/5</f>
        <v>55600</v>
      </c>
      <c r="H50" s="466"/>
      <c r="I50" s="466" t="e">
        <f>D50*'He so chung'!$D$9/100</f>
        <v>#VALUE!</v>
      </c>
      <c r="J50" s="466" t="e">
        <f t="shared" si="5"/>
        <v>#VALUE!</v>
      </c>
      <c r="K50" s="467" t="e">
        <f>J50/'He so chung'!$D$10</f>
        <v>#VALUE!</v>
      </c>
    </row>
    <row r="51" spans="1:11">
      <c r="A51" s="5" t="s">
        <v>7</v>
      </c>
      <c r="B51" s="24" t="s">
        <v>565</v>
      </c>
      <c r="C51" s="465"/>
      <c r="D51" s="466"/>
      <c r="E51" s="466"/>
      <c r="F51" s="466"/>
      <c r="G51" s="466"/>
      <c r="H51" s="466"/>
      <c r="I51" s="466"/>
      <c r="J51" s="466"/>
      <c r="K51" s="467"/>
    </row>
    <row r="52" spans="1:11">
      <c r="A52" s="9"/>
      <c r="B52" s="25">
        <v>3</v>
      </c>
      <c r="C52" s="468" t="s">
        <v>463</v>
      </c>
      <c r="D52" s="469" t="e">
        <f>$J$2*C52</f>
        <v>#VALUE!</v>
      </c>
      <c r="E52" s="469" t="e">
        <f>D52*'He so chung'!$D$5/100</f>
        <v>#VALUE!</v>
      </c>
      <c r="F52" s="469"/>
      <c r="G52" s="469"/>
      <c r="H52" s="469"/>
      <c r="I52" s="469" t="e">
        <f>D52*'He so chung'!$D$9/100</f>
        <v>#VALUE!</v>
      </c>
      <c r="J52" s="469" t="e">
        <f t="shared" si="5"/>
        <v>#VALUE!</v>
      </c>
      <c r="K52" s="470" t="e">
        <f>J52/'He so chung'!$D$10</f>
        <v>#VALUE!</v>
      </c>
    </row>
  </sheetData>
  <mergeCells count="1">
    <mergeCell ref="A1:K1"/>
  </mergeCells>
  <phoneticPr fontId="9" type="noConversion"/>
  <printOptions horizontalCentered="1"/>
  <pageMargins left="0.74803149606299202" right="0.74803149606299202" top="0.98110236200000001" bottom="0.98425196850393704" header="0.31496062992126" footer="0.39370078740157499"/>
  <pageSetup paperSize="9" firstPageNumber="133" orientation="landscape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F92"/>
  <sheetViews>
    <sheetView topLeftCell="A62" workbookViewId="0">
      <selection activeCell="E87" sqref="E87"/>
    </sheetView>
  </sheetViews>
  <sheetFormatPr defaultColWidth="8.77734375" defaultRowHeight="16.5"/>
  <cols>
    <col min="1" max="1" width="5.77734375" style="505" customWidth="1"/>
    <col min="2" max="2" width="24.21875" style="505" customWidth="1"/>
    <col min="3" max="3" width="7.5546875" style="505" customWidth="1"/>
    <col min="4" max="4" width="6.109375" style="525" customWidth="1"/>
    <col min="5" max="5" width="14.21875" style="505" customWidth="1"/>
    <col min="6" max="6" width="10.21875" style="505" customWidth="1"/>
    <col min="7" max="16384" width="8.77734375" style="505"/>
  </cols>
  <sheetData>
    <row r="1" spans="1:6">
      <c r="A1" s="503" t="s">
        <v>253</v>
      </c>
      <c r="B1" s="503" t="s">
        <v>254</v>
      </c>
      <c r="C1" s="503" t="s">
        <v>255</v>
      </c>
      <c r="D1" s="503" t="s">
        <v>24</v>
      </c>
      <c r="E1" s="504" t="s">
        <v>256</v>
      </c>
      <c r="F1" s="504" t="s">
        <v>256</v>
      </c>
    </row>
    <row r="2" spans="1:6">
      <c r="A2" s="506" t="s">
        <v>0</v>
      </c>
      <c r="B2" s="506" t="s">
        <v>257</v>
      </c>
      <c r="C2" s="506" t="s">
        <v>258</v>
      </c>
      <c r="D2" s="506" t="s">
        <v>25</v>
      </c>
      <c r="E2" s="507" t="s">
        <v>259</v>
      </c>
      <c r="F2" s="507" t="s">
        <v>260</v>
      </c>
    </row>
    <row r="3" spans="1:6">
      <c r="A3" s="508"/>
      <c r="B3" s="509"/>
      <c r="C3" s="508"/>
      <c r="D3" s="508"/>
      <c r="E3" s="510"/>
      <c r="F3" s="510"/>
    </row>
    <row r="4" spans="1:6">
      <c r="A4" s="526">
        <v>1</v>
      </c>
      <c r="B4" s="527" t="s">
        <v>136</v>
      </c>
      <c r="C4" s="526" t="s">
        <v>118</v>
      </c>
      <c r="D4" s="526">
        <v>18</v>
      </c>
      <c r="E4" s="528">
        <v>150000</v>
      </c>
      <c r="F4" s="529">
        <f t="shared" ref="F4:F67" si="0">E4/(D4*26)</f>
        <v>320.5128205128205</v>
      </c>
    </row>
    <row r="5" spans="1:6">
      <c r="A5" s="511">
        <v>2</v>
      </c>
      <c r="B5" s="512" t="s">
        <v>134</v>
      </c>
      <c r="C5" s="511" t="s">
        <v>118</v>
      </c>
      <c r="D5" s="511">
        <v>12</v>
      </c>
      <c r="E5" s="513">
        <v>80000</v>
      </c>
      <c r="F5" s="518">
        <f t="shared" si="0"/>
        <v>256.41025641025641</v>
      </c>
    </row>
    <row r="6" spans="1:6">
      <c r="A6" s="511">
        <v>3</v>
      </c>
      <c r="B6" s="512" t="s">
        <v>119</v>
      </c>
      <c r="C6" s="511" t="s">
        <v>118</v>
      </c>
      <c r="D6" s="511">
        <v>18</v>
      </c>
      <c r="E6" s="513">
        <v>180000</v>
      </c>
      <c r="F6" s="518">
        <f t="shared" si="0"/>
        <v>384.61538461538464</v>
      </c>
    </row>
    <row r="7" spans="1:6">
      <c r="A7" s="511">
        <v>4</v>
      </c>
      <c r="B7" s="512" t="s">
        <v>126</v>
      </c>
      <c r="C7" s="511" t="s">
        <v>118</v>
      </c>
      <c r="D7" s="511">
        <v>12</v>
      </c>
      <c r="E7" s="513">
        <v>30000</v>
      </c>
      <c r="F7" s="518">
        <f t="shared" si="0"/>
        <v>96.15384615384616</v>
      </c>
    </row>
    <row r="8" spans="1:6">
      <c r="A8" s="511">
        <v>5</v>
      </c>
      <c r="B8" s="512" t="s">
        <v>141</v>
      </c>
      <c r="C8" s="511" t="s">
        <v>142</v>
      </c>
      <c r="D8" s="511">
        <v>24</v>
      </c>
      <c r="E8" s="513">
        <v>120000</v>
      </c>
      <c r="F8" s="518">
        <f t="shared" si="0"/>
        <v>192.30769230769232</v>
      </c>
    </row>
    <row r="9" spans="1:6">
      <c r="A9" s="511">
        <v>6</v>
      </c>
      <c r="B9" s="512" t="s">
        <v>144</v>
      </c>
      <c r="C9" s="511" t="s">
        <v>142</v>
      </c>
      <c r="D9" s="511">
        <v>24</v>
      </c>
      <c r="E9" s="513">
        <v>300000</v>
      </c>
      <c r="F9" s="518">
        <f t="shared" si="0"/>
        <v>480.76923076923077</v>
      </c>
    </row>
    <row r="10" spans="1:6">
      <c r="A10" s="511">
        <v>7</v>
      </c>
      <c r="B10" s="512" t="s">
        <v>146</v>
      </c>
      <c r="C10" s="511" t="s">
        <v>147</v>
      </c>
      <c r="D10" s="511">
        <v>12</v>
      </c>
      <c r="E10" s="513">
        <v>10000</v>
      </c>
      <c r="F10" s="518">
        <f t="shared" si="0"/>
        <v>32.051282051282051</v>
      </c>
    </row>
    <row r="11" spans="1:6">
      <c r="A11" s="511">
        <v>8</v>
      </c>
      <c r="B11" s="512" t="s">
        <v>149</v>
      </c>
      <c r="C11" s="511" t="s">
        <v>118</v>
      </c>
      <c r="D11" s="511">
        <v>24</v>
      </c>
      <c r="E11" s="513">
        <v>15000</v>
      </c>
      <c r="F11" s="518">
        <f t="shared" si="0"/>
        <v>24.03846153846154</v>
      </c>
    </row>
    <row r="12" spans="1:6">
      <c r="A12" s="511">
        <v>9</v>
      </c>
      <c r="B12" s="512" t="s">
        <v>151</v>
      </c>
      <c r="C12" s="511" t="s">
        <v>118</v>
      </c>
      <c r="D12" s="511">
        <v>24</v>
      </c>
      <c r="E12" s="513">
        <v>50000</v>
      </c>
      <c r="F12" s="518">
        <f t="shared" si="0"/>
        <v>80.128205128205124</v>
      </c>
    </row>
    <row r="13" spans="1:6">
      <c r="A13" s="511">
        <v>10</v>
      </c>
      <c r="B13" s="512" t="s">
        <v>153</v>
      </c>
      <c r="C13" s="511" t="s">
        <v>118</v>
      </c>
      <c r="D13" s="511">
        <v>24</v>
      </c>
      <c r="E13" s="513">
        <v>75000</v>
      </c>
      <c r="F13" s="518">
        <f t="shared" si="0"/>
        <v>120.19230769230769</v>
      </c>
    </row>
    <row r="14" spans="1:6">
      <c r="A14" s="511">
        <v>11</v>
      </c>
      <c r="B14" s="512" t="s">
        <v>154</v>
      </c>
      <c r="C14" s="511" t="s">
        <v>118</v>
      </c>
      <c r="D14" s="511">
        <v>12</v>
      </c>
      <c r="E14" s="513">
        <v>60000</v>
      </c>
      <c r="F14" s="518">
        <f t="shared" si="0"/>
        <v>192.30769230769232</v>
      </c>
    </row>
    <row r="15" spans="1:6">
      <c r="A15" s="511">
        <v>12</v>
      </c>
      <c r="B15" s="512" t="s">
        <v>156</v>
      </c>
      <c r="C15" s="511" t="s">
        <v>118</v>
      </c>
      <c r="D15" s="511">
        <v>24</v>
      </c>
      <c r="E15" s="513">
        <v>40000</v>
      </c>
      <c r="F15" s="518">
        <f t="shared" si="0"/>
        <v>64.102564102564102</v>
      </c>
    </row>
    <row r="16" spans="1:6">
      <c r="A16" s="511">
        <v>13</v>
      </c>
      <c r="B16" s="512" t="s">
        <v>158</v>
      </c>
      <c r="C16" s="511" t="s">
        <v>118</v>
      </c>
      <c r="D16" s="511">
        <v>12</v>
      </c>
      <c r="E16" s="513">
        <v>40000</v>
      </c>
      <c r="F16" s="518">
        <f t="shared" si="0"/>
        <v>128.2051282051282</v>
      </c>
    </row>
    <row r="17" spans="1:6">
      <c r="A17" s="511">
        <v>14</v>
      </c>
      <c r="B17" s="512" t="s">
        <v>159</v>
      </c>
      <c r="C17" s="511" t="s">
        <v>118</v>
      </c>
      <c r="D17" s="511">
        <v>12</v>
      </c>
      <c r="E17" s="513">
        <v>40000</v>
      </c>
      <c r="F17" s="518">
        <f t="shared" si="0"/>
        <v>128.2051282051282</v>
      </c>
    </row>
    <row r="18" spans="1:6">
      <c r="A18" s="511">
        <v>15</v>
      </c>
      <c r="B18" s="512" t="s">
        <v>160</v>
      </c>
      <c r="C18" s="511" t="s">
        <v>118</v>
      </c>
      <c r="D18" s="511">
        <v>36</v>
      </c>
      <c r="E18" s="513">
        <v>150000</v>
      </c>
      <c r="F18" s="518">
        <f t="shared" si="0"/>
        <v>160.25641025641025</v>
      </c>
    </row>
    <row r="19" spans="1:6">
      <c r="A19" s="511">
        <v>16</v>
      </c>
      <c r="B19" s="512" t="s">
        <v>26</v>
      </c>
      <c r="C19" s="511" t="s">
        <v>124</v>
      </c>
      <c r="D19" s="511">
        <v>24</v>
      </c>
      <c r="E19" s="513">
        <v>60000</v>
      </c>
      <c r="F19" s="518">
        <f t="shared" si="0"/>
        <v>96.15384615384616</v>
      </c>
    </row>
    <row r="20" spans="1:6">
      <c r="A20" s="511">
        <v>17</v>
      </c>
      <c r="B20" s="512" t="s">
        <v>161</v>
      </c>
      <c r="C20" s="511" t="s">
        <v>121</v>
      </c>
      <c r="D20" s="511">
        <v>6</v>
      </c>
      <c r="E20" s="513">
        <v>25000</v>
      </c>
      <c r="F20" s="518">
        <f t="shared" si="0"/>
        <v>160.25641025641025</v>
      </c>
    </row>
    <row r="21" spans="1:6">
      <c r="A21" s="511">
        <v>18</v>
      </c>
      <c r="B21" s="512" t="s">
        <v>120</v>
      </c>
      <c r="C21" s="511" t="s">
        <v>121</v>
      </c>
      <c r="D21" s="511">
        <v>12</v>
      </c>
      <c r="E21" s="513">
        <v>85000</v>
      </c>
      <c r="F21" s="518">
        <f t="shared" si="0"/>
        <v>272.43589743589746</v>
      </c>
    </row>
    <row r="22" spans="1:6">
      <c r="A22" s="511">
        <v>19</v>
      </c>
      <c r="B22" s="512" t="s">
        <v>162</v>
      </c>
      <c r="C22" s="511" t="s">
        <v>118</v>
      </c>
      <c r="D22" s="511">
        <v>48</v>
      </c>
      <c r="E22" s="513">
        <v>150000</v>
      </c>
      <c r="F22" s="518">
        <f t="shared" si="0"/>
        <v>120.19230769230769</v>
      </c>
    </row>
    <row r="23" spans="1:6">
      <c r="A23" s="511">
        <v>20</v>
      </c>
      <c r="B23" s="512" t="s">
        <v>163</v>
      </c>
      <c r="C23" s="511" t="s">
        <v>118</v>
      </c>
      <c r="D23" s="511">
        <v>48</v>
      </c>
      <c r="E23" s="513">
        <v>150000</v>
      </c>
      <c r="F23" s="518">
        <f t="shared" si="0"/>
        <v>120.19230769230769</v>
      </c>
    </row>
    <row r="24" spans="1:6">
      <c r="A24" s="511">
        <v>21</v>
      </c>
      <c r="B24" s="512" t="s">
        <v>164</v>
      </c>
      <c r="C24" s="511" t="s">
        <v>118</v>
      </c>
      <c r="D24" s="511">
        <v>24</v>
      </c>
      <c r="E24" s="513">
        <v>30000</v>
      </c>
      <c r="F24" s="518">
        <f t="shared" si="0"/>
        <v>48.07692307692308</v>
      </c>
    </row>
    <row r="25" spans="1:6">
      <c r="A25" s="511">
        <v>22</v>
      </c>
      <c r="B25" s="512" t="s">
        <v>165</v>
      </c>
      <c r="C25" s="511" t="s">
        <v>118</v>
      </c>
      <c r="D25" s="511">
        <v>36</v>
      </c>
      <c r="E25" s="513">
        <v>270000</v>
      </c>
      <c r="F25" s="518">
        <f t="shared" si="0"/>
        <v>288.46153846153845</v>
      </c>
    </row>
    <row r="26" spans="1:6">
      <c r="A26" s="511">
        <v>23</v>
      </c>
      <c r="B26" s="512" t="s">
        <v>122</v>
      </c>
      <c r="C26" s="511" t="s">
        <v>118</v>
      </c>
      <c r="D26" s="511">
        <v>12</v>
      </c>
      <c r="E26" s="513">
        <v>40000</v>
      </c>
      <c r="F26" s="518">
        <f t="shared" si="0"/>
        <v>128.2051282051282</v>
      </c>
    </row>
    <row r="27" spans="1:6">
      <c r="A27" s="511">
        <v>24</v>
      </c>
      <c r="B27" s="512" t="s">
        <v>166</v>
      </c>
      <c r="C27" s="511" t="s">
        <v>167</v>
      </c>
      <c r="D27" s="511">
        <v>9</v>
      </c>
      <c r="E27" s="513">
        <v>50000</v>
      </c>
      <c r="F27" s="518">
        <f t="shared" si="0"/>
        <v>213.67521367521368</v>
      </c>
    </row>
    <row r="28" spans="1:6">
      <c r="A28" s="511">
        <v>25</v>
      </c>
      <c r="B28" s="512" t="s">
        <v>168</v>
      </c>
      <c r="C28" s="511" t="s">
        <v>169</v>
      </c>
      <c r="D28" s="511">
        <v>9</v>
      </c>
      <c r="E28" s="513">
        <v>20000</v>
      </c>
      <c r="F28" s="518">
        <f t="shared" si="0"/>
        <v>85.470085470085465</v>
      </c>
    </row>
    <row r="29" spans="1:6">
      <c r="A29" s="511">
        <v>26</v>
      </c>
      <c r="B29" s="512" t="s">
        <v>170</v>
      </c>
      <c r="C29" s="511" t="s">
        <v>118</v>
      </c>
      <c r="D29" s="511">
        <v>24</v>
      </c>
      <c r="E29" s="513">
        <v>50000</v>
      </c>
      <c r="F29" s="518">
        <f t="shared" si="0"/>
        <v>80.128205128205124</v>
      </c>
    </row>
    <row r="30" spans="1:6">
      <c r="A30" s="511">
        <v>27</v>
      </c>
      <c r="B30" s="512" t="s">
        <v>171</v>
      </c>
      <c r="C30" s="511" t="s">
        <v>118</v>
      </c>
      <c r="D30" s="511">
        <v>60</v>
      </c>
      <c r="E30" s="513">
        <v>750000</v>
      </c>
      <c r="F30" s="518">
        <f t="shared" si="0"/>
        <v>480.76923076923077</v>
      </c>
    </row>
    <row r="31" spans="1:6">
      <c r="A31" s="511">
        <v>28</v>
      </c>
      <c r="B31" s="512" t="s">
        <v>172</v>
      </c>
      <c r="C31" s="511" t="s">
        <v>118</v>
      </c>
      <c r="D31" s="511">
        <v>24</v>
      </c>
      <c r="E31" s="513">
        <v>60000</v>
      </c>
      <c r="F31" s="518">
        <f t="shared" si="0"/>
        <v>96.15384615384616</v>
      </c>
    </row>
    <row r="32" spans="1:6">
      <c r="A32" s="511">
        <v>29</v>
      </c>
      <c r="B32" s="512" t="s">
        <v>123</v>
      </c>
      <c r="C32" s="511" t="s">
        <v>124</v>
      </c>
      <c r="D32" s="511">
        <v>9</v>
      </c>
      <c r="E32" s="513">
        <v>150000</v>
      </c>
      <c r="F32" s="518">
        <f t="shared" si="0"/>
        <v>641.02564102564099</v>
      </c>
    </row>
    <row r="33" spans="1:6">
      <c r="A33" s="511">
        <v>30</v>
      </c>
      <c r="B33" s="512" t="s">
        <v>435</v>
      </c>
      <c r="C33" s="511" t="s">
        <v>118</v>
      </c>
      <c r="D33" s="511">
        <v>12</v>
      </c>
      <c r="E33" s="513">
        <v>100000</v>
      </c>
      <c r="F33" s="518">
        <f t="shared" si="0"/>
        <v>320.5128205128205</v>
      </c>
    </row>
    <row r="34" spans="1:6">
      <c r="A34" s="511">
        <v>31</v>
      </c>
      <c r="B34" s="512" t="s">
        <v>290</v>
      </c>
      <c r="C34" s="511" t="s">
        <v>291</v>
      </c>
      <c r="D34" s="511">
        <v>6</v>
      </c>
      <c r="E34" s="513">
        <v>18000</v>
      </c>
      <c r="F34" s="518">
        <f t="shared" si="0"/>
        <v>115.38461538461539</v>
      </c>
    </row>
    <row r="35" spans="1:6">
      <c r="A35" s="511">
        <v>32</v>
      </c>
      <c r="B35" s="512" t="s">
        <v>283</v>
      </c>
      <c r="C35" s="511" t="s">
        <v>147</v>
      </c>
      <c r="D35" s="511">
        <v>60</v>
      </c>
      <c r="E35" s="513">
        <v>754000</v>
      </c>
      <c r="F35" s="518">
        <f t="shared" si="0"/>
        <v>483.33333333333331</v>
      </c>
    </row>
    <row r="36" spans="1:6">
      <c r="A36" s="511">
        <v>33</v>
      </c>
      <c r="B36" s="512" t="s">
        <v>282</v>
      </c>
      <c r="C36" s="511" t="s">
        <v>147</v>
      </c>
      <c r="D36" s="511">
        <v>60</v>
      </c>
      <c r="E36" s="513">
        <v>360000</v>
      </c>
      <c r="F36" s="518">
        <f t="shared" si="0"/>
        <v>230.76923076923077</v>
      </c>
    </row>
    <row r="37" spans="1:6">
      <c r="A37" s="511">
        <v>34</v>
      </c>
      <c r="B37" s="512" t="s">
        <v>284</v>
      </c>
      <c r="C37" s="511" t="s">
        <v>147</v>
      </c>
      <c r="D37" s="511">
        <v>60</v>
      </c>
      <c r="E37" s="513">
        <v>2331000</v>
      </c>
      <c r="F37" s="518">
        <f t="shared" si="0"/>
        <v>1494.2307692307693</v>
      </c>
    </row>
    <row r="38" spans="1:6">
      <c r="A38" s="511">
        <v>35</v>
      </c>
      <c r="B38" s="512" t="s">
        <v>285</v>
      </c>
      <c r="C38" s="511" t="s">
        <v>147</v>
      </c>
      <c r="D38" s="511">
        <v>24</v>
      </c>
      <c r="E38" s="513">
        <v>15000</v>
      </c>
      <c r="F38" s="518">
        <f t="shared" si="0"/>
        <v>24.03846153846154</v>
      </c>
    </row>
    <row r="39" spans="1:6">
      <c r="A39" s="511">
        <v>36</v>
      </c>
      <c r="B39" s="512" t="s">
        <v>286</v>
      </c>
      <c r="C39" s="511" t="s">
        <v>147</v>
      </c>
      <c r="D39" s="511">
        <v>12</v>
      </c>
      <c r="E39" s="513">
        <v>48000</v>
      </c>
      <c r="F39" s="518">
        <f t="shared" si="0"/>
        <v>153.84615384615384</v>
      </c>
    </row>
    <row r="40" spans="1:6">
      <c r="A40" s="511">
        <v>37</v>
      </c>
      <c r="B40" s="512" t="s">
        <v>287</v>
      </c>
      <c r="C40" s="511" t="s">
        <v>147</v>
      </c>
      <c r="D40" s="511">
        <v>12</v>
      </c>
      <c r="E40" s="513">
        <v>25000</v>
      </c>
      <c r="F40" s="518">
        <f t="shared" si="0"/>
        <v>80.128205128205124</v>
      </c>
    </row>
    <row r="41" spans="1:6">
      <c r="A41" s="511">
        <v>38</v>
      </c>
      <c r="B41" s="512" t="s">
        <v>288</v>
      </c>
      <c r="C41" s="511" t="s">
        <v>147</v>
      </c>
      <c r="D41" s="511">
        <v>12</v>
      </c>
      <c r="E41" s="513">
        <v>35000</v>
      </c>
      <c r="F41" s="518">
        <f t="shared" si="0"/>
        <v>112.17948717948718</v>
      </c>
    </row>
    <row r="42" spans="1:6">
      <c r="A42" s="511">
        <v>39</v>
      </c>
      <c r="B42" s="512" t="s">
        <v>289</v>
      </c>
      <c r="C42" s="511" t="s">
        <v>147</v>
      </c>
      <c r="D42" s="511">
        <v>9</v>
      </c>
      <c r="E42" s="513">
        <v>15000</v>
      </c>
      <c r="F42" s="518">
        <f t="shared" si="0"/>
        <v>64.102564102564102</v>
      </c>
    </row>
    <row r="43" spans="1:6">
      <c r="A43" s="511">
        <v>40</v>
      </c>
      <c r="B43" s="512" t="s">
        <v>292</v>
      </c>
      <c r="C43" s="511" t="s">
        <v>147</v>
      </c>
      <c r="D43" s="511">
        <v>12</v>
      </c>
      <c r="E43" s="513">
        <v>25000</v>
      </c>
      <c r="F43" s="518">
        <f t="shared" si="0"/>
        <v>80.128205128205124</v>
      </c>
    </row>
    <row r="44" spans="1:6">
      <c r="A44" s="511">
        <v>41</v>
      </c>
      <c r="B44" s="512" t="s">
        <v>293</v>
      </c>
      <c r="C44" s="511" t="s">
        <v>147</v>
      </c>
      <c r="D44" s="511">
        <v>36</v>
      </c>
      <c r="E44" s="513">
        <v>870000</v>
      </c>
      <c r="F44" s="518">
        <f t="shared" si="0"/>
        <v>929.48717948717945</v>
      </c>
    </row>
    <row r="45" spans="1:6">
      <c r="A45" s="511">
        <v>42</v>
      </c>
      <c r="B45" s="512" t="s">
        <v>294</v>
      </c>
      <c r="C45" s="511" t="s">
        <v>142</v>
      </c>
      <c r="D45" s="511">
        <v>30</v>
      </c>
      <c r="E45" s="513">
        <v>65000</v>
      </c>
      <c r="F45" s="518">
        <f t="shared" si="0"/>
        <v>83.333333333333329</v>
      </c>
    </row>
    <row r="46" spans="1:6">
      <c r="A46" s="511">
        <v>43</v>
      </c>
      <c r="B46" s="512" t="s">
        <v>295</v>
      </c>
      <c r="C46" s="511" t="s">
        <v>118</v>
      </c>
      <c r="D46" s="511">
        <v>60</v>
      </c>
      <c r="E46" s="513">
        <v>1250000</v>
      </c>
      <c r="F46" s="518">
        <f t="shared" si="0"/>
        <v>801.28205128205127</v>
      </c>
    </row>
    <row r="47" spans="1:6">
      <c r="A47" s="511">
        <v>44</v>
      </c>
      <c r="B47" s="512" t="s">
        <v>296</v>
      </c>
      <c r="C47" s="511" t="s">
        <v>118</v>
      </c>
      <c r="D47" s="511">
        <v>60</v>
      </c>
      <c r="E47" s="513">
        <v>3695000</v>
      </c>
      <c r="F47" s="518">
        <f t="shared" si="0"/>
        <v>2368.5897435897436</v>
      </c>
    </row>
    <row r="48" spans="1:6">
      <c r="A48" s="511">
        <v>45</v>
      </c>
      <c r="B48" s="512" t="s">
        <v>436</v>
      </c>
      <c r="C48" s="511" t="s">
        <v>118</v>
      </c>
      <c r="D48" s="511">
        <v>60</v>
      </c>
      <c r="E48" s="513">
        <v>1375000</v>
      </c>
      <c r="F48" s="518">
        <f t="shared" si="0"/>
        <v>881.41025641025647</v>
      </c>
    </row>
    <row r="49" spans="1:6">
      <c r="A49" s="511">
        <v>46</v>
      </c>
      <c r="B49" s="512" t="s">
        <v>437</v>
      </c>
      <c r="C49" s="511" t="s">
        <v>118</v>
      </c>
      <c r="D49" s="511">
        <v>60</v>
      </c>
      <c r="E49" s="513">
        <v>1250000</v>
      </c>
      <c r="F49" s="518">
        <f t="shared" si="0"/>
        <v>801.28205128205127</v>
      </c>
    </row>
    <row r="50" spans="1:6">
      <c r="A50" s="511">
        <v>47</v>
      </c>
      <c r="B50" s="512" t="s">
        <v>297</v>
      </c>
      <c r="C50" s="511" t="s">
        <v>118</v>
      </c>
      <c r="D50" s="511">
        <v>36</v>
      </c>
      <c r="E50" s="513">
        <v>220000</v>
      </c>
      <c r="F50" s="518">
        <f t="shared" si="0"/>
        <v>235.04273504273505</v>
      </c>
    </row>
    <row r="51" spans="1:6">
      <c r="A51" s="511">
        <v>48</v>
      </c>
      <c r="B51" s="512" t="s">
        <v>321</v>
      </c>
      <c r="C51" s="511" t="s">
        <v>142</v>
      </c>
      <c r="D51" s="511">
        <v>12</v>
      </c>
      <c r="E51" s="513">
        <v>160000</v>
      </c>
      <c r="F51" s="518">
        <f t="shared" si="0"/>
        <v>512.82051282051282</v>
      </c>
    </row>
    <row r="52" spans="1:6">
      <c r="A52" s="511">
        <v>49</v>
      </c>
      <c r="B52" s="512" t="s">
        <v>173</v>
      </c>
      <c r="C52" s="511" t="s">
        <v>27</v>
      </c>
      <c r="D52" s="511">
        <v>60</v>
      </c>
      <c r="E52" s="513">
        <v>25000</v>
      </c>
      <c r="F52" s="518">
        <f t="shared" si="0"/>
        <v>16.025641025641026</v>
      </c>
    </row>
    <row r="53" spans="1:6">
      <c r="A53" s="511">
        <v>50</v>
      </c>
      <c r="B53" s="512" t="s">
        <v>125</v>
      </c>
      <c r="C53" s="511" t="s">
        <v>121</v>
      </c>
      <c r="D53" s="511">
        <v>48</v>
      </c>
      <c r="E53" s="513">
        <v>15000</v>
      </c>
      <c r="F53" s="518">
        <f t="shared" si="0"/>
        <v>12.01923076923077</v>
      </c>
    </row>
    <row r="54" spans="1:6">
      <c r="A54" s="511">
        <v>51</v>
      </c>
      <c r="B54" s="512" t="s">
        <v>174</v>
      </c>
      <c r="C54" s="511" t="s">
        <v>118</v>
      </c>
      <c r="D54" s="511">
        <v>60</v>
      </c>
      <c r="E54" s="513">
        <v>60000</v>
      </c>
      <c r="F54" s="518">
        <f t="shared" si="0"/>
        <v>38.46153846153846</v>
      </c>
    </row>
    <row r="55" spans="1:6">
      <c r="A55" s="511">
        <v>52</v>
      </c>
      <c r="B55" s="512" t="s">
        <v>175</v>
      </c>
      <c r="C55" s="511" t="s">
        <v>118</v>
      </c>
      <c r="D55" s="511">
        <v>24</v>
      </c>
      <c r="E55" s="513">
        <v>60000</v>
      </c>
      <c r="F55" s="518">
        <f t="shared" si="0"/>
        <v>96.15384615384616</v>
      </c>
    </row>
    <row r="56" spans="1:6">
      <c r="A56" s="511">
        <v>53</v>
      </c>
      <c r="B56" s="512" t="s">
        <v>176</v>
      </c>
      <c r="C56" s="511" t="s">
        <v>118</v>
      </c>
      <c r="D56" s="511">
        <v>36</v>
      </c>
      <c r="E56" s="513">
        <v>95000</v>
      </c>
      <c r="F56" s="518">
        <f t="shared" si="0"/>
        <v>101.4957264957265</v>
      </c>
    </row>
    <row r="57" spans="1:6">
      <c r="A57" s="511">
        <v>54</v>
      </c>
      <c r="B57" s="512" t="s">
        <v>177</v>
      </c>
      <c r="C57" s="511" t="s">
        <v>118</v>
      </c>
      <c r="D57" s="511">
        <v>12</v>
      </c>
      <c r="E57" s="513">
        <v>15000</v>
      </c>
      <c r="F57" s="518">
        <f t="shared" si="0"/>
        <v>48.07692307692308</v>
      </c>
    </row>
    <row r="58" spans="1:6">
      <c r="A58" s="511">
        <v>55</v>
      </c>
      <c r="B58" s="512" t="s">
        <v>178</v>
      </c>
      <c r="C58" s="511" t="s">
        <v>118</v>
      </c>
      <c r="D58" s="511">
        <v>12</v>
      </c>
      <c r="E58" s="513">
        <v>30000</v>
      </c>
      <c r="F58" s="518">
        <f t="shared" si="0"/>
        <v>96.15384615384616</v>
      </c>
    </row>
    <row r="59" spans="1:6">
      <c r="A59" s="511">
        <v>56</v>
      </c>
      <c r="B59" s="512" t="s">
        <v>179</v>
      </c>
      <c r="C59" s="511" t="s">
        <v>118</v>
      </c>
      <c r="D59" s="511">
        <v>12</v>
      </c>
      <c r="E59" s="513">
        <v>60000</v>
      </c>
      <c r="F59" s="518">
        <f t="shared" si="0"/>
        <v>192.30769230769232</v>
      </c>
    </row>
    <row r="60" spans="1:6">
      <c r="A60" s="511">
        <v>57</v>
      </c>
      <c r="B60" s="512" t="s">
        <v>180</v>
      </c>
      <c r="C60" s="511" t="s">
        <v>118</v>
      </c>
      <c r="D60" s="511">
        <v>12</v>
      </c>
      <c r="E60" s="513">
        <v>60000</v>
      </c>
      <c r="F60" s="518">
        <f t="shared" si="0"/>
        <v>192.30769230769232</v>
      </c>
    </row>
    <row r="61" spans="1:6">
      <c r="A61" s="511">
        <v>58</v>
      </c>
      <c r="B61" s="512" t="s">
        <v>182</v>
      </c>
      <c r="C61" s="511" t="s">
        <v>118</v>
      </c>
      <c r="D61" s="511">
        <v>48</v>
      </c>
      <c r="E61" s="513">
        <v>300000</v>
      </c>
      <c r="F61" s="518">
        <f t="shared" si="0"/>
        <v>240.38461538461539</v>
      </c>
    </row>
    <row r="62" spans="1:6">
      <c r="A62" s="511">
        <v>59</v>
      </c>
      <c r="B62" s="512" t="s">
        <v>183</v>
      </c>
      <c r="C62" s="511" t="s">
        <v>118</v>
      </c>
      <c r="D62" s="511">
        <v>48</v>
      </c>
      <c r="E62" s="513">
        <v>150000</v>
      </c>
      <c r="F62" s="518">
        <f t="shared" si="0"/>
        <v>120.19230769230769</v>
      </c>
    </row>
    <row r="63" spans="1:6">
      <c r="A63" s="511">
        <v>60</v>
      </c>
      <c r="B63" s="512" t="s">
        <v>184</v>
      </c>
      <c r="C63" s="511" t="s">
        <v>118</v>
      </c>
      <c r="D63" s="511">
        <v>48</v>
      </c>
      <c r="E63" s="513">
        <v>1050000</v>
      </c>
      <c r="F63" s="518">
        <f t="shared" si="0"/>
        <v>841.34615384615381</v>
      </c>
    </row>
    <row r="64" spans="1:6">
      <c r="A64" s="511">
        <v>61</v>
      </c>
      <c r="B64" s="512" t="s">
        <v>438</v>
      </c>
      <c r="C64" s="511" t="s">
        <v>118</v>
      </c>
      <c r="D64" s="511">
        <v>36</v>
      </c>
      <c r="E64" s="513">
        <v>10000</v>
      </c>
      <c r="F64" s="518">
        <f t="shared" si="0"/>
        <v>10.683760683760683</v>
      </c>
    </row>
    <row r="65" spans="1:6">
      <c r="A65" s="511">
        <v>62</v>
      </c>
      <c r="B65" s="530" t="s">
        <v>185</v>
      </c>
      <c r="C65" s="531" t="s">
        <v>147</v>
      </c>
      <c r="D65" s="511">
        <v>72</v>
      </c>
      <c r="E65" s="513">
        <v>3500000</v>
      </c>
      <c r="F65" s="518">
        <f t="shared" si="0"/>
        <v>1869.6581196581196</v>
      </c>
    </row>
    <row r="66" spans="1:6">
      <c r="A66" s="511">
        <v>63</v>
      </c>
      <c r="B66" s="532" t="s">
        <v>229</v>
      </c>
      <c r="C66" s="511" t="s">
        <v>118</v>
      </c>
      <c r="D66" s="511">
        <v>36</v>
      </c>
      <c r="E66" s="513">
        <v>30000</v>
      </c>
      <c r="F66" s="513">
        <f t="shared" si="0"/>
        <v>32.051282051282051</v>
      </c>
    </row>
    <row r="67" spans="1:6">
      <c r="A67" s="511">
        <v>64</v>
      </c>
      <c r="B67" s="532" t="s">
        <v>230</v>
      </c>
      <c r="C67" s="511" t="s">
        <v>118</v>
      </c>
      <c r="D67" s="511">
        <v>24</v>
      </c>
      <c r="E67" s="513">
        <v>25000</v>
      </c>
      <c r="F67" s="513">
        <f t="shared" si="0"/>
        <v>40.064102564102562</v>
      </c>
    </row>
    <row r="68" spans="1:6">
      <c r="A68" s="511">
        <v>65</v>
      </c>
      <c r="B68" s="512" t="s">
        <v>146</v>
      </c>
      <c r="C68" s="511" t="s">
        <v>147</v>
      </c>
      <c r="D68" s="511">
        <v>12</v>
      </c>
      <c r="E68" s="513">
        <v>10000</v>
      </c>
      <c r="F68" s="513">
        <f t="shared" ref="F68:F88" si="1">E68/(D68*26)</f>
        <v>32.051282051282051</v>
      </c>
    </row>
    <row r="69" spans="1:6">
      <c r="A69" s="511">
        <v>66</v>
      </c>
      <c r="B69" s="512" t="s">
        <v>231</v>
      </c>
      <c r="C69" s="511" t="s">
        <v>118</v>
      </c>
      <c r="D69" s="511">
        <v>24</v>
      </c>
      <c r="E69" s="513">
        <v>20000</v>
      </c>
      <c r="F69" s="513">
        <f t="shared" si="1"/>
        <v>32.051282051282051</v>
      </c>
    </row>
    <row r="70" spans="1:6">
      <c r="A70" s="511">
        <v>67</v>
      </c>
      <c r="B70" s="512" t="s">
        <v>232</v>
      </c>
      <c r="C70" s="511" t="s">
        <v>118</v>
      </c>
      <c r="D70" s="511">
        <v>2</v>
      </c>
      <c r="E70" s="513">
        <v>850000</v>
      </c>
      <c r="F70" s="513">
        <f t="shared" si="1"/>
        <v>16346.153846153846</v>
      </c>
    </row>
    <row r="71" spans="1:6">
      <c r="A71" s="511">
        <v>68</v>
      </c>
      <c r="B71" s="512" t="s">
        <v>233</v>
      </c>
      <c r="C71" s="511" t="s">
        <v>30</v>
      </c>
      <c r="D71" s="511">
        <v>48</v>
      </c>
      <c r="E71" s="513">
        <v>25000</v>
      </c>
      <c r="F71" s="513">
        <f t="shared" si="1"/>
        <v>20.032051282051281</v>
      </c>
    </row>
    <row r="72" spans="1:6">
      <c r="A72" s="511">
        <v>69</v>
      </c>
      <c r="B72" s="532" t="s">
        <v>234</v>
      </c>
      <c r="C72" s="511" t="s">
        <v>118</v>
      </c>
      <c r="D72" s="511">
        <v>6</v>
      </c>
      <c r="E72" s="513">
        <v>1000</v>
      </c>
      <c r="F72" s="513">
        <f t="shared" si="1"/>
        <v>6.4102564102564106</v>
      </c>
    </row>
    <row r="73" spans="1:6">
      <c r="A73" s="511">
        <v>70</v>
      </c>
      <c r="B73" s="512" t="s">
        <v>46</v>
      </c>
      <c r="C73" s="511" t="s">
        <v>118</v>
      </c>
      <c r="D73" s="511">
        <v>36</v>
      </c>
      <c r="E73" s="513">
        <v>875000</v>
      </c>
      <c r="F73" s="513">
        <f t="shared" si="1"/>
        <v>934.82905982905982</v>
      </c>
    </row>
    <row r="74" spans="1:6">
      <c r="A74" s="511">
        <v>71</v>
      </c>
      <c r="B74" s="512" t="s">
        <v>181</v>
      </c>
      <c r="C74" s="511" t="s">
        <v>118</v>
      </c>
      <c r="D74" s="511">
        <v>36</v>
      </c>
      <c r="E74" s="513">
        <v>230000</v>
      </c>
      <c r="F74" s="513">
        <f t="shared" si="1"/>
        <v>245.72649572649573</v>
      </c>
    </row>
    <row r="75" spans="1:6">
      <c r="A75" s="511">
        <v>72</v>
      </c>
      <c r="B75" s="512" t="s">
        <v>235</v>
      </c>
      <c r="C75" s="511" t="s">
        <v>118</v>
      </c>
      <c r="D75" s="511">
        <v>24</v>
      </c>
      <c r="E75" s="513">
        <v>12000</v>
      </c>
      <c r="F75" s="513">
        <f t="shared" si="1"/>
        <v>19.23076923076923</v>
      </c>
    </row>
    <row r="76" spans="1:6">
      <c r="A76" s="511">
        <v>73</v>
      </c>
      <c r="B76" s="512" t="s">
        <v>130</v>
      </c>
      <c r="C76" s="511" t="s">
        <v>118</v>
      </c>
      <c r="D76" s="511">
        <v>36</v>
      </c>
      <c r="E76" s="513">
        <v>50000</v>
      </c>
      <c r="F76" s="513">
        <f t="shared" si="1"/>
        <v>53.418803418803421</v>
      </c>
    </row>
    <row r="77" spans="1:6">
      <c r="A77" s="511">
        <v>74</v>
      </c>
      <c r="B77" s="512" t="s">
        <v>281</v>
      </c>
      <c r="C77" s="511" t="s">
        <v>118</v>
      </c>
      <c r="D77" s="511">
        <v>36</v>
      </c>
      <c r="E77" s="513">
        <v>230000</v>
      </c>
      <c r="F77" s="513">
        <f t="shared" si="1"/>
        <v>245.72649572649573</v>
      </c>
    </row>
    <row r="78" spans="1:6">
      <c r="A78" s="511">
        <v>75</v>
      </c>
      <c r="B78" s="512" t="s">
        <v>236</v>
      </c>
      <c r="C78" s="511" t="s">
        <v>118</v>
      </c>
      <c r="D78" s="511">
        <v>24</v>
      </c>
      <c r="E78" s="513">
        <v>20000</v>
      </c>
      <c r="F78" s="513">
        <f t="shared" si="1"/>
        <v>32.051282051282051</v>
      </c>
    </row>
    <row r="79" spans="1:6">
      <c r="A79" s="511">
        <v>76</v>
      </c>
      <c r="B79" s="512" t="s">
        <v>151</v>
      </c>
      <c r="C79" s="511" t="s">
        <v>147</v>
      </c>
      <c r="D79" s="511">
        <v>12</v>
      </c>
      <c r="E79" s="513">
        <v>50000</v>
      </c>
      <c r="F79" s="513">
        <f t="shared" si="1"/>
        <v>160.25641025641025</v>
      </c>
    </row>
    <row r="80" spans="1:6">
      <c r="A80" s="511">
        <v>77</v>
      </c>
      <c r="B80" s="512" t="s">
        <v>174</v>
      </c>
      <c r="C80" s="511" t="s">
        <v>118</v>
      </c>
      <c r="D80" s="511">
        <v>24</v>
      </c>
      <c r="E80" s="513">
        <v>60000</v>
      </c>
      <c r="F80" s="513">
        <f t="shared" si="1"/>
        <v>96.15384615384616</v>
      </c>
    </row>
    <row r="81" spans="1:6">
      <c r="A81" s="511">
        <v>78</v>
      </c>
      <c r="B81" s="512" t="s">
        <v>237</v>
      </c>
      <c r="C81" s="511" t="s">
        <v>118</v>
      </c>
      <c r="D81" s="511">
        <v>24</v>
      </c>
      <c r="E81" s="513">
        <v>60000</v>
      </c>
      <c r="F81" s="513">
        <f t="shared" si="1"/>
        <v>96.15384615384616</v>
      </c>
    </row>
    <row r="82" spans="1:6">
      <c r="A82" s="511">
        <v>79</v>
      </c>
      <c r="B82" s="512" t="s">
        <v>238</v>
      </c>
      <c r="C82" s="511" t="s">
        <v>118</v>
      </c>
      <c r="D82" s="511">
        <v>24</v>
      </c>
      <c r="E82" s="513">
        <v>30000</v>
      </c>
      <c r="F82" s="513">
        <f t="shared" si="1"/>
        <v>48.07692307692308</v>
      </c>
    </row>
    <row r="83" spans="1:6">
      <c r="A83" s="511">
        <v>80</v>
      </c>
      <c r="B83" s="533" t="s">
        <v>439</v>
      </c>
      <c r="C83" s="511" t="s">
        <v>147</v>
      </c>
      <c r="D83" s="534">
        <v>60</v>
      </c>
      <c r="E83" s="513">
        <v>6519000</v>
      </c>
      <c r="F83" s="513">
        <f t="shared" si="1"/>
        <v>4178.8461538461543</v>
      </c>
    </row>
    <row r="84" spans="1:6">
      <c r="A84" s="511">
        <v>81</v>
      </c>
      <c r="B84" s="533" t="s">
        <v>440</v>
      </c>
      <c r="C84" s="511" t="s">
        <v>147</v>
      </c>
      <c r="D84" s="534">
        <v>60</v>
      </c>
      <c r="E84" s="513">
        <v>2360000</v>
      </c>
      <c r="F84" s="513">
        <f t="shared" si="1"/>
        <v>1512.8205128205129</v>
      </c>
    </row>
    <row r="85" spans="1:6">
      <c r="A85" s="511">
        <v>82</v>
      </c>
      <c r="B85" s="533" t="s">
        <v>248</v>
      </c>
      <c r="C85" s="511" t="s">
        <v>147</v>
      </c>
      <c r="D85" s="534">
        <v>4</v>
      </c>
      <c r="E85" s="513">
        <v>100000</v>
      </c>
      <c r="F85" s="513">
        <f t="shared" si="1"/>
        <v>961.53846153846155</v>
      </c>
    </row>
    <row r="86" spans="1:6">
      <c r="A86" s="511">
        <v>83</v>
      </c>
      <c r="B86" s="533" t="s">
        <v>249</v>
      </c>
      <c r="C86" s="511" t="s">
        <v>147</v>
      </c>
      <c r="D86" s="534">
        <v>72</v>
      </c>
      <c r="E86" s="513">
        <v>900000</v>
      </c>
      <c r="F86" s="513">
        <f t="shared" si="1"/>
        <v>480.76923076923077</v>
      </c>
    </row>
    <row r="87" spans="1:6">
      <c r="A87" s="511">
        <v>84</v>
      </c>
      <c r="B87" s="522" t="s">
        <v>251</v>
      </c>
      <c r="C87" s="523" t="s">
        <v>118</v>
      </c>
      <c r="D87" s="535">
        <v>24</v>
      </c>
      <c r="E87" s="524">
        <v>150000</v>
      </c>
      <c r="F87" s="513">
        <f t="shared" si="1"/>
        <v>240.38461538461539</v>
      </c>
    </row>
    <row r="88" spans="1:6">
      <c r="A88" s="511">
        <v>85</v>
      </c>
      <c r="B88" s="522" t="s">
        <v>441</v>
      </c>
      <c r="C88" s="523" t="s">
        <v>142</v>
      </c>
      <c r="D88" s="535">
        <v>30</v>
      </c>
      <c r="E88" s="524">
        <v>90000</v>
      </c>
      <c r="F88" s="513">
        <f t="shared" si="1"/>
        <v>115.38461538461539</v>
      </c>
    </row>
    <row r="89" spans="1:6">
      <c r="A89" s="511">
        <v>86</v>
      </c>
      <c r="B89" s="522" t="s">
        <v>186</v>
      </c>
      <c r="C89" s="523" t="s">
        <v>39</v>
      </c>
      <c r="D89" s="535"/>
      <c r="E89" s="524">
        <v>1554</v>
      </c>
      <c r="F89" s="513">
        <v>1554</v>
      </c>
    </row>
    <row r="90" spans="1:6">
      <c r="A90" s="511"/>
      <c r="B90" s="522"/>
      <c r="C90" s="523"/>
      <c r="D90" s="535"/>
      <c r="E90" s="524"/>
      <c r="F90" s="513"/>
    </row>
    <row r="91" spans="1:6">
      <c r="A91" s="511"/>
      <c r="B91" s="522"/>
      <c r="C91" s="523"/>
      <c r="D91" s="535"/>
      <c r="E91" s="524"/>
      <c r="F91" s="513"/>
    </row>
    <row r="92" spans="1:6">
      <c r="A92" s="511"/>
      <c r="B92" s="533"/>
      <c r="C92" s="511"/>
      <c r="D92" s="534"/>
      <c r="E92" s="513"/>
      <c r="F92" s="513"/>
    </row>
  </sheetData>
  <phoneticPr fontId="4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57"/>
  <sheetViews>
    <sheetView topLeftCell="A42" workbookViewId="0">
      <selection activeCell="D66" sqref="D66"/>
    </sheetView>
  </sheetViews>
  <sheetFormatPr defaultColWidth="8.77734375" defaultRowHeight="16.5"/>
  <cols>
    <col min="1" max="1" width="5.77734375" style="505" customWidth="1"/>
    <col min="2" max="2" width="24.21875" style="505" customWidth="1"/>
    <col min="3" max="3" width="7.5546875" style="505" customWidth="1"/>
    <col min="4" max="4" width="6.109375" style="525" customWidth="1"/>
    <col min="5" max="5" width="14.21875" style="505" customWidth="1"/>
    <col min="6" max="16384" width="8.77734375" style="505"/>
  </cols>
  <sheetData>
    <row r="1" spans="1:12">
      <c r="A1" s="503" t="s">
        <v>253</v>
      </c>
      <c r="B1" s="503" t="s">
        <v>254</v>
      </c>
      <c r="C1" s="503" t="s">
        <v>255</v>
      </c>
      <c r="D1" s="503" t="s">
        <v>24</v>
      </c>
      <c r="E1" s="504" t="s">
        <v>256</v>
      </c>
    </row>
    <row r="2" spans="1:12">
      <c r="A2" s="506" t="s">
        <v>0</v>
      </c>
      <c r="B2" s="506" t="s">
        <v>280</v>
      </c>
      <c r="C2" s="506" t="s">
        <v>258</v>
      </c>
      <c r="D2" s="506" t="s">
        <v>25</v>
      </c>
      <c r="E2" s="507" t="s">
        <v>259</v>
      </c>
    </row>
    <row r="3" spans="1:12">
      <c r="A3" s="508"/>
      <c r="B3" s="509"/>
      <c r="C3" s="508"/>
      <c r="D3" s="508"/>
      <c r="E3" s="510"/>
    </row>
    <row r="4" spans="1:12" s="514" customFormat="1">
      <c r="A4" s="511">
        <v>1</v>
      </c>
      <c r="B4" s="512" t="s">
        <v>186</v>
      </c>
      <c r="C4" s="511" t="s">
        <v>39</v>
      </c>
      <c r="D4" s="511"/>
      <c r="E4" s="513">
        <v>1554</v>
      </c>
      <c r="F4" s="505"/>
      <c r="G4" s="505"/>
      <c r="H4" s="505"/>
      <c r="I4" s="505"/>
      <c r="J4" s="505"/>
      <c r="K4" s="505"/>
      <c r="L4" s="505"/>
    </row>
    <row r="5" spans="1:12" s="514" customFormat="1">
      <c r="A5" s="511">
        <v>2</v>
      </c>
      <c r="B5" s="515" t="s">
        <v>187</v>
      </c>
      <c r="C5" s="516" t="s">
        <v>188</v>
      </c>
      <c r="D5" s="516"/>
      <c r="E5" s="517">
        <v>50000</v>
      </c>
      <c r="F5" s="505"/>
      <c r="G5" s="505"/>
      <c r="H5" s="505"/>
      <c r="I5" s="505"/>
      <c r="J5" s="505"/>
      <c r="K5" s="505"/>
      <c r="L5" s="505"/>
    </row>
    <row r="6" spans="1:12" s="514" customFormat="1">
      <c r="A6" s="511">
        <v>3</v>
      </c>
      <c r="B6" s="515" t="s">
        <v>429</v>
      </c>
      <c r="C6" s="516" t="s">
        <v>430</v>
      </c>
      <c r="D6" s="516"/>
      <c r="E6" s="517">
        <v>25000</v>
      </c>
      <c r="F6" s="505"/>
      <c r="G6" s="505"/>
      <c r="H6" s="505"/>
      <c r="I6" s="505"/>
      <c r="J6" s="505"/>
      <c r="K6" s="505"/>
      <c r="L6" s="505"/>
    </row>
    <row r="7" spans="1:12" s="514" customFormat="1">
      <c r="A7" s="511">
        <v>4</v>
      </c>
      <c r="B7" s="512" t="s">
        <v>189</v>
      </c>
      <c r="C7" s="511" t="s">
        <v>188</v>
      </c>
      <c r="D7" s="511"/>
      <c r="E7" s="518">
        <v>500</v>
      </c>
      <c r="F7" s="505"/>
      <c r="G7" s="505"/>
      <c r="H7" s="505"/>
      <c r="I7" s="505"/>
      <c r="J7" s="505"/>
      <c r="K7" s="505"/>
      <c r="L7" s="505"/>
    </row>
    <row r="8" spans="1:12" s="514" customFormat="1">
      <c r="A8" s="511">
        <v>5</v>
      </c>
      <c r="B8" s="512" t="s">
        <v>190</v>
      </c>
      <c r="C8" s="511" t="s">
        <v>188</v>
      </c>
      <c r="D8" s="511"/>
      <c r="E8" s="518">
        <v>500</v>
      </c>
      <c r="F8" s="505"/>
      <c r="G8" s="505"/>
      <c r="H8" s="505"/>
      <c r="I8" s="505"/>
      <c r="J8" s="505"/>
      <c r="K8" s="505"/>
      <c r="L8" s="505"/>
    </row>
    <row r="9" spans="1:12" s="514" customFormat="1">
      <c r="A9" s="511">
        <v>6</v>
      </c>
      <c r="B9" s="512" t="s">
        <v>191</v>
      </c>
      <c r="C9" s="511" t="s">
        <v>192</v>
      </c>
      <c r="D9" s="511"/>
      <c r="E9" s="518">
        <v>10000</v>
      </c>
      <c r="F9" s="505"/>
      <c r="G9" s="505"/>
      <c r="H9" s="505"/>
      <c r="I9" s="505"/>
      <c r="J9" s="505"/>
      <c r="K9" s="505"/>
      <c r="L9" s="505"/>
    </row>
    <row r="10" spans="1:12" s="514" customFormat="1">
      <c r="A10" s="511">
        <v>7</v>
      </c>
      <c r="B10" s="512" t="s">
        <v>193</v>
      </c>
      <c r="C10" s="511" t="s">
        <v>118</v>
      </c>
      <c r="D10" s="511"/>
      <c r="E10" s="518">
        <v>2000</v>
      </c>
      <c r="F10" s="505"/>
      <c r="G10" s="505"/>
      <c r="H10" s="505"/>
      <c r="I10" s="505"/>
      <c r="J10" s="505"/>
      <c r="K10" s="505"/>
      <c r="L10" s="505"/>
    </row>
    <row r="11" spans="1:12" s="514" customFormat="1">
      <c r="A11" s="511">
        <v>8</v>
      </c>
      <c r="B11" s="512" t="s">
        <v>194</v>
      </c>
      <c r="C11" s="511" t="s">
        <v>188</v>
      </c>
      <c r="D11" s="511"/>
      <c r="E11" s="518">
        <v>500</v>
      </c>
      <c r="F11" s="505"/>
      <c r="G11" s="505"/>
      <c r="H11" s="505"/>
      <c r="I11" s="505"/>
      <c r="J11" s="505"/>
      <c r="K11" s="505"/>
      <c r="L11" s="505"/>
    </row>
    <row r="12" spans="1:12" s="514" customFormat="1">
      <c r="A12" s="511">
        <v>9</v>
      </c>
      <c r="B12" s="512" t="s">
        <v>195</v>
      </c>
      <c r="C12" s="511" t="s">
        <v>118</v>
      </c>
      <c r="D12" s="511"/>
      <c r="E12" s="518">
        <v>10000</v>
      </c>
      <c r="F12" s="505"/>
      <c r="G12" s="505"/>
      <c r="H12" s="505"/>
      <c r="I12" s="505"/>
      <c r="J12" s="505"/>
      <c r="K12" s="505"/>
      <c r="L12" s="505"/>
    </row>
    <row r="13" spans="1:12" s="514" customFormat="1">
      <c r="A13" s="511">
        <v>10</v>
      </c>
      <c r="B13" s="512" t="s">
        <v>196</v>
      </c>
      <c r="C13" s="511" t="s">
        <v>197</v>
      </c>
      <c r="D13" s="511"/>
      <c r="E13" s="518">
        <v>10000</v>
      </c>
      <c r="F13" s="505"/>
      <c r="G13" s="505"/>
      <c r="H13" s="505"/>
      <c r="I13" s="505"/>
      <c r="J13" s="505"/>
      <c r="K13" s="505"/>
      <c r="L13" s="505"/>
    </row>
    <row r="14" spans="1:12" s="514" customFormat="1">
      <c r="A14" s="511">
        <v>11</v>
      </c>
      <c r="B14" s="512" t="s">
        <v>198</v>
      </c>
      <c r="C14" s="511" t="s">
        <v>188</v>
      </c>
      <c r="D14" s="511"/>
      <c r="E14" s="518">
        <v>8000</v>
      </c>
      <c r="F14" s="505"/>
      <c r="G14" s="505"/>
      <c r="H14" s="505"/>
      <c r="I14" s="505"/>
      <c r="J14" s="505"/>
      <c r="K14" s="505"/>
      <c r="L14" s="505"/>
    </row>
    <row r="15" spans="1:12" s="514" customFormat="1">
      <c r="A15" s="511">
        <v>12</v>
      </c>
      <c r="B15" s="512" t="s">
        <v>199</v>
      </c>
      <c r="C15" s="511" t="s">
        <v>29</v>
      </c>
      <c r="D15" s="511"/>
      <c r="E15" s="518">
        <v>45000</v>
      </c>
      <c r="F15" s="505"/>
      <c r="G15" s="505"/>
      <c r="H15" s="505"/>
      <c r="I15" s="505"/>
      <c r="J15" s="505"/>
      <c r="K15" s="505"/>
      <c r="L15" s="505"/>
    </row>
    <row r="16" spans="1:12" s="514" customFormat="1">
      <c r="A16" s="511">
        <v>13</v>
      </c>
      <c r="B16" s="512" t="s">
        <v>200</v>
      </c>
      <c r="C16" s="511" t="s">
        <v>201</v>
      </c>
      <c r="D16" s="511"/>
      <c r="E16" s="518">
        <v>1450000</v>
      </c>
      <c r="F16" s="505"/>
      <c r="G16" s="505"/>
      <c r="H16" s="505"/>
      <c r="I16" s="505"/>
      <c r="J16" s="505"/>
      <c r="K16" s="505"/>
      <c r="L16" s="505"/>
    </row>
    <row r="17" spans="1:12" s="514" customFormat="1">
      <c r="A17" s="511">
        <v>14</v>
      </c>
      <c r="B17" s="512" t="s">
        <v>202</v>
      </c>
      <c r="C17" s="511" t="s">
        <v>203</v>
      </c>
      <c r="D17" s="511"/>
      <c r="E17" s="518">
        <v>10000</v>
      </c>
      <c r="F17" s="505"/>
      <c r="G17" s="505"/>
      <c r="H17" s="505"/>
      <c r="I17" s="505"/>
      <c r="J17" s="505"/>
      <c r="K17" s="505"/>
      <c r="L17" s="505"/>
    </row>
    <row r="18" spans="1:12" s="514" customFormat="1">
      <c r="A18" s="511">
        <v>15</v>
      </c>
      <c r="B18" s="512" t="s">
        <v>204</v>
      </c>
      <c r="C18" s="511" t="s">
        <v>121</v>
      </c>
      <c r="D18" s="511"/>
      <c r="E18" s="518">
        <v>10000</v>
      </c>
      <c r="F18" s="505"/>
      <c r="G18" s="505"/>
      <c r="H18" s="505"/>
      <c r="I18" s="505"/>
      <c r="J18" s="505"/>
      <c r="K18" s="505"/>
      <c r="L18" s="505"/>
    </row>
    <row r="19" spans="1:12" s="514" customFormat="1">
      <c r="A19" s="511">
        <v>16</v>
      </c>
      <c r="B19" s="512" t="s">
        <v>205</v>
      </c>
      <c r="C19" s="511" t="s">
        <v>27</v>
      </c>
      <c r="D19" s="511"/>
      <c r="E19" s="518">
        <v>5000</v>
      </c>
      <c r="F19" s="505"/>
      <c r="G19" s="505"/>
      <c r="H19" s="505"/>
      <c r="I19" s="505"/>
      <c r="J19" s="505"/>
      <c r="K19" s="505"/>
      <c r="L19" s="505"/>
    </row>
    <row r="20" spans="1:12" s="514" customFormat="1">
      <c r="A20" s="511">
        <v>17</v>
      </c>
      <c r="B20" s="512" t="s">
        <v>206</v>
      </c>
      <c r="C20" s="511" t="s">
        <v>27</v>
      </c>
      <c r="D20" s="511"/>
      <c r="E20" s="518">
        <v>10000</v>
      </c>
      <c r="F20" s="505"/>
      <c r="G20" s="505"/>
      <c r="H20" s="505"/>
      <c r="I20" s="505"/>
      <c r="J20" s="505"/>
      <c r="K20" s="505"/>
      <c r="L20" s="505"/>
    </row>
    <row r="21" spans="1:12" s="514" customFormat="1">
      <c r="A21" s="511">
        <v>18</v>
      </c>
      <c r="B21" s="512" t="s">
        <v>207</v>
      </c>
      <c r="C21" s="511" t="s">
        <v>208</v>
      </c>
      <c r="D21" s="511"/>
      <c r="E21" s="518">
        <v>200000</v>
      </c>
      <c r="F21" s="505"/>
      <c r="G21" s="505"/>
      <c r="H21" s="505"/>
      <c r="I21" s="505"/>
      <c r="J21" s="505"/>
      <c r="K21" s="505"/>
      <c r="L21" s="505"/>
    </row>
    <row r="22" spans="1:12" s="514" customFormat="1">
      <c r="A22" s="511">
        <v>19</v>
      </c>
      <c r="B22" s="512" t="s">
        <v>209</v>
      </c>
      <c r="C22" s="511" t="s">
        <v>208</v>
      </c>
      <c r="D22" s="511"/>
      <c r="E22" s="518">
        <v>150000</v>
      </c>
      <c r="F22" s="505"/>
      <c r="G22" s="505"/>
      <c r="H22" s="505"/>
      <c r="I22" s="505"/>
      <c r="J22" s="505"/>
      <c r="K22" s="505"/>
      <c r="L22" s="505"/>
    </row>
    <row r="23" spans="1:12" s="514" customFormat="1">
      <c r="A23" s="511">
        <v>20</v>
      </c>
      <c r="B23" s="512" t="s">
        <v>210</v>
      </c>
      <c r="C23" s="511" t="s">
        <v>211</v>
      </c>
      <c r="D23" s="511"/>
      <c r="E23" s="518">
        <v>23027</v>
      </c>
      <c r="F23" s="505"/>
      <c r="G23" s="505"/>
      <c r="H23" s="505"/>
      <c r="I23" s="505"/>
      <c r="J23" s="505"/>
      <c r="K23" s="505"/>
      <c r="L23" s="505"/>
    </row>
    <row r="24" spans="1:12" s="514" customFormat="1">
      <c r="A24" s="511">
        <v>21</v>
      </c>
      <c r="B24" s="512" t="s">
        <v>212</v>
      </c>
      <c r="C24" s="511" t="s">
        <v>211</v>
      </c>
      <c r="D24" s="511"/>
      <c r="E24" s="518">
        <v>78000</v>
      </c>
      <c r="F24" s="505"/>
      <c r="G24" s="505"/>
      <c r="H24" s="505"/>
      <c r="I24" s="505"/>
      <c r="J24" s="505"/>
      <c r="K24" s="505"/>
      <c r="L24" s="505"/>
    </row>
    <row r="25" spans="1:12" s="514" customFormat="1">
      <c r="A25" s="511">
        <v>22</v>
      </c>
      <c r="B25" s="512" t="s">
        <v>213</v>
      </c>
      <c r="C25" s="511" t="s">
        <v>118</v>
      </c>
      <c r="D25" s="511"/>
      <c r="E25" s="518">
        <v>50000</v>
      </c>
      <c r="F25" s="505"/>
      <c r="G25" s="505"/>
      <c r="H25" s="505"/>
      <c r="I25" s="505"/>
      <c r="J25" s="505"/>
      <c r="K25" s="505"/>
      <c r="L25" s="505"/>
    </row>
    <row r="26" spans="1:12" s="514" customFormat="1">
      <c r="A26" s="511">
        <v>23</v>
      </c>
      <c r="B26" s="512" t="s">
        <v>214</v>
      </c>
      <c r="C26" s="511" t="s">
        <v>188</v>
      </c>
      <c r="D26" s="511"/>
      <c r="E26" s="518">
        <v>4500</v>
      </c>
      <c r="F26" s="505"/>
      <c r="G26" s="505"/>
      <c r="H26" s="505"/>
      <c r="I26" s="505"/>
      <c r="J26" s="505"/>
      <c r="K26" s="505"/>
      <c r="L26" s="505"/>
    </row>
    <row r="27" spans="1:12" s="514" customFormat="1">
      <c r="A27" s="511">
        <v>24</v>
      </c>
      <c r="B27" s="512" t="s">
        <v>215</v>
      </c>
      <c r="C27" s="511" t="s">
        <v>124</v>
      </c>
      <c r="D27" s="511"/>
      <c r="E27" s="518">
        <v>20000</v>
      </c>
      <c r="F27" s="505"/>
      <c r="G27" s="505"/>
      <c r="H27" s="505"/>
      <c r="I27" s="505"/>
      <c r="J27" s="505"/>
      <c r="K27" s="505"/>
      <c r="L27" s="505"/>
    </row>
    <row r="28" spans="1:12" s="514" customFormat="1">
      <c r="A28" s="511">
        <v>25</v>
      </c>
      <c r="B28" s="512" t="s">
        <v>216</v>
      </c>
      <c r="C28" s="511" t="s">
        <v>124</v>
      </c>
      <c r="D28" s="511"/>
      <c r="E28" s="518">
        <v>20000</v>
      </c>
      <c r="F28" s="505"/>
      <c r="G28" s="505"/>
      <c r="H28" s="505"/>
      <c r="I28" s="505"/>
      <c r="J28" s="505"/>
      <c r="K28" s="505"/>
      <c r="L28" s="505"/>
    </row>
    <row r="29" spans="1:12" s="514" customFormat="1">
      <c r="A29" s="511">
        <v>26</v>
      </c>
      <c r="B29" s="512" t="s">
        <v>217</v>
      </c>
      <c r="C29" s="511" t="s">
        <v>124</v>
      </c>
      <c r="D29" s="511"/>
      <c r="E29" s="518">
        <v>500</v>
      </c>
      <c r="F29" s="505"/>
      <c r="G29" s="505"/>
      <c r="H29" s="505"/>
      <c r="I29" s="505"/>
      <c r="J29" s="505"/>
      <c r="K29" s="505"/>
      <c r="L29" s="505"/>
    </row>
    <row r="30" spans="1:12" s="514" customFormat="1">
      <c r="A30" s="511">
        <v>27</v>
      </c>
      <c r="B30" s="512" t="s">
        <v>218</v>
      </c>
      <c r="C30" s="511" t="s">
        <v>28</v>
      </c>
      <c r="D30" s="511"/>
      <c r="E30" s="518">
        <v>25000</v>
      </c>
      <c r="F30" s="505"/>
      <c r="G30" s="505"/>
      <c r="H30" s="505"/>
      <c r="I30" s="505"/>
      <c r="J30" s="505"/>
      <c r="K30" s="505"/>
      <c r="L30" s="505"/>
    </row>
    <row r="31" spans="1:12" s="514" customFormat="1">
      <c r="A31" s="511">
        <v>28</v>
      </c>
      <c r="B31" s="512" t="s">
        <v>205</v>
      </c>
      <c r="C31" s="511" t="s">
        <v>27</v>
      </c>
      <c r="D31" s="511"/>
      <c r="E31" s="518">
        <v>5000</v>
      </c>
      <c r="F31" s="505"/>
      <c r="G31" s="505"/>
      <c r="H31" s="505"/>
      <c r="I31" s="505"/>
      <c r="J31" s="505"/>
      <c r="K31" s="505"/>
      <c r="L31" s="505"/>
    </row>
    <row r="32" spans="1:12" s="514" customFormat="1">
      <c r="A32" s="511">
        <v>29</v>
      </c>
      <c r="B32" s="512" t="s">
        <v>219</v>
      </c>
      <c r="C32" s="511" t="s">
        <v>30</v>
      </c>
      <c r="D32" s="511"/>
      <c r="E32" s="518">
        <v>5000</v>
      </c>
      <c r="F32" s="505"/>
      <c r="G32" s="505"/>
      <c r="H32" s="505"/>
      <c r="I32" s="505"/>
      <c r="J32" s="505"/>
      <c r="K32" s="505"/>
      <c r="L32" s="505"/>
    </row>
    <row r="33" spans="1:12" s="514" customFormat="1">
      <c r="A33" s="511">
        <v>30</v>
      </c>
      <c r="B33" s="512" t="s">
        <v>220</v>
      </c>
      <c r="C33" s="511" t="s">
        <v>30</v>
      </c>
      <c r="D33" s="511"/>
      <c r="E33" s="518">
        <v>5000</v>
      </c>
      <c r="F33" s="505"/>
      <c r="G33" s="505"/>
      <c r="H33" s="505"/>
      <c r="I33" s="505"/>
      <c r="J33" s="505"/>
      <c r="K33" s="505"/>
      <c r="L33" s="505"/>
    </row>
    <row r="34" spans="1:12" s="514" customFormat="1">
      <c r="A34" s="511">
        <v>31</v>
      </c>
      <c r="B34" s="512" t="s">
        <v>221</v>
      </c>
      <c r="C34" s="511" t="s">
        <v>30</v>
      </c>
      <c r="D34" s="511"/>
      <c r="E34" s="518">
        <v>5000</v>
      </c>
      <c r="F34" s="505"/>
      <c r="G34" s="505"/>
      <c r="H34" s="505"/>
      <c r="I34" s="505"/>
      <c r="J34" s="505"/>
      <c r="K34" s="505"/>
      <c r="L34" s="505"/>
    </row>
    <row r="35" spans="1:12" s="514" customFormat="1">
      <c r="A35" s="511">
        <v>32</v>
      </c>
      <c r="B35" s="512" t="s">
        <v>222</v>
      </c>
      <c r="C35" s="511" t="s">
        <v>31</v>
      </c>
      <c r="D35" s="511"/>
      <c r="E35" s="518">
        <v>1185</v>
      </c>
      <c r="F35" s="505"/>
      <c r="G35" s="505"/>
      <c r="H35" s="505"/>
      <c r="I35" s="505"/>
      <c r="J35" s="505"/>
      <c r="K35" s="505"/>
      <c r="L35" s="505"/>
    </row>
    <row r="36" spans="1:12" s="514" customFormat="1">
      <c r="A36" s="511">
        <v>33</v>
      </c>
      <c r="B36" s="512" t="s">
        <v>223</v>
      </c>
      <c r="C36" s="511" t="s">
        <v>32</v>
      </c>
      <c r="D36" s="511"/>
      <c r="E36" s="518">
        <v>90000</v>
      </c>
      <c r="F36" s="505"/>
      <c r="G36" s="505"/>
      <c r="H36" s="505"/>
      <c r="I36" s="505"/>
      <c r="J36" s="505"/>
      <c r="K36" s="505"/>
      <c r="L36" s="505"/>
    </row>
    <row r="37" spans="1:12" s="514" customFormat="1">
      <c r="A37" s="511">
        <v>34</v>
      </c>
      <c r="B37" s="512" t="s">
        <v>224</v>
      </c>
      <c r="C37" s="511" t="s">
        <v>32</v>
      </c>
      <c r="D37" s="511"/>
      <c r="E37" s="518">
        <v>200000</v>
      </c>
      <c r="F37" s="505"/>
      <c r="G37" s="505"/>
      <c r="H37" s="505"/>
      <c r="I37" s="505"/>
      <c r="J37" s="505"/>
      <c r="K37" s="505"/>
      <c r="L37" s="505"/>
    </row>
    <row r="38" spans="1:12" s="514" customFormat="1">
      <c r="A38" s="511">
        <v>35</v>
      </c>
      <c r="B38" s="512" t="s">
        <v>225</v>
      </c>
      <c r="C38" s="511" t="s">
        <v>147</v>
      </c>
      <c r="D38" s="511"/>
      <c r="E38" s="518">
        <v>5000</v>
      </c>
      <c r="F38" s="505"/>
      <c r="G38" s="505"/>
      <c r="H38" s="505"/>
      <c r="I38" s="505"/>
      <c r="J38" s="505"/>
      <c r="K38" s="505"/>
      <c r="L38" s="505"/>
    </row>
    <row r="39" spans="1:12" s="514" customFormat="1">
      <c r="A39" s="511">
        <v>36</v>
      </c>
      <c r="B39" s="512" t="s">
        <v>226</v>
      </c>
      <c r="C39" s="511" t="s">
        <v>32</v>
      </c>
      <c r="D39" s="511"/>
      <c r="E39" s="518">
        <v>3150000</v>
      </c>
      <c r="F39" s="505"/>
      <c r="G39" s="505"/>
      <c r="H39" s="505"/>
      <c r="I39" s="505"/>
      <c r="J39" s="505"/>
      <c r="K39" s="505"/>
      <c r="L39" s="505"/>
    </row>
    <row r="40" spans="1:12" s="514" customFormat="1">
      <c r="A40" s="511">
        <v>37</v>
      </c>
      <c r="B40" s="512" t="s">
        <v>227</v>
      </c>
      <c r="C40" s="511" t="s">
        <v>31</v>
      </c>
      <c r="D40" s="511"/>
      <c r="E40" s="518">
        <v>17500</v>
      </c>
      <c r="F40" s="505"/>
      <c r="G40" s="505"/>
      <c r="H40" s="505"/>
      <c r="I40" s="505"/>
      <c r="J40" s="505"/>
      <c r="K40" s="505"/>
      <c r="L40" s="505"/>
    </row>
    <row r="41" spans="1:12" s="514" customFormat="1">
      <c r="A41" s="511">
        <v>38</v>
      </c>
      <c r="B41" s="512" t="s">
        <v>228</v>
      </c>
      <c r="C41" s="511" t="s">
        <v>28</v>
      </c>
      <c r="D41" s="511"/>
      <c r="E41" s="518">
        <v>14500</v>
      </c>
      <c r="F41" s="505"/>
      <c r="G41" s="505"/>
      <c r="H41" s="505"/>
      <c r="I41" s="505"/>
      <c r="J41" s="505"/>
      <c r="K41" s="505"/>
      <c r="L41" s="505"/>
    </row>
    <row r="42" spans="1:12" s="514" customFormat="1">
      <c r="A42" s="511">
        <v>39</v>
      </c>
      <c r="B42" s="512" t="s">
        <v>239</v>
      </c>
      <c r="C42" s="511" t="s">
        <v>188</v>
      </c>
      <c r="D42" s="511"/>
      <c r="E42" s="518">
        <v>12000</v>
      </c>
      <c r="F42" s="505"/>
      <c r="G42" s="505"/>
      <c r="H42" s="505"/>
      <c r="I42" s="505"/>
      <c r="J42" s="505"/>
      <c r="K42" s="505"/>
      <c r="L42" s="505"/>
    </row>
    <row r="43" spans="1:12" s="514" customFormat="1">
      <c r="A43" s="511">
        <v>40</v>
      </c>
      <c r="B43" s="512" t="s">
        <v>240</v>
      </c>
      <c r="C43" s="511" t="s">
        <v>118</v>
      </c>
      <c r="D43" s="511"/>
      <c r="E43" s="518">
        <v>4000</v>
      </c>
      <c r="F43" s="505"/>
      <c r="G43" s="505"/>
      <c r="H43" s="505"/>
      <c r="I43" s="505"/>
      <c r="J43" s="505"/>
      <c r="K43" s="505"/>
      <c r="L43" s="505"/>
    </row>
    <row r="44" spans="1:12" s="514" customFormat="1">
      <c r="A44" s="511">
        <v>41</v>
      </c>
      <c r="B44" s="512" t="s">
        <v>241</v>
      </c>
      <c r="C44" s="511" t="s">
        <v>242</v>
      </c>
      <c r="D44" s="511"/>
      <c r="E44" s="518">
        <v>10000</v>
      </c>
      <c r="F44" s="505"/>
      <c r="G44" s="505"/>
      <c r="H44" s="505"/>
      <c r="I44" s="505"/>
      <c r="J44" s="505"/>
      <c r="K44" s="505"/>
      <c r="L44" s="505"/>
    </row>
    <row r="45" spans="1:12" s="514" customFormat="1">
      <c r="A45" s="511">
        <v>42</v>
      </c>
      <c r="B45" s="512" t="s">
        <v>47</v>
      </c>
      <c r="C45" s="511" t="s">
        <v>242</v>
      </c>
      <c r="D45" s="511"/>
      <c r="E45" s="518">
        <v>50000</v>
      </c>
      <c r="F45" s="505"/>
      <c r="G45" s="505"/>
      <c r="H45" s="505"/>
      <c r="I45" s="505"/>
      <c r="J45" s="505"/>
      <c r="K45" s="505"/>
      <c r="L45" s="505"/>
    </row>
    <row r="46" spans="1:12" s="514" customFormat="1">
      <c r="A46" s="511">
        <v>43</v>
      </c>
      <c r="B46" s="512" t="s">
        <v>243</v>
      </c>
      <c r="C46" s="511" t="s">
        <v>244</v>
      </c>
      <c r="D46" s="511"/>
      <c r="E46" s="518">
        <v>2000</v>
      </c>
      <c r="F46" s="505"/>
      <c r="G46" s="505"/>
      <c r="H46" s="505"/>
      <c r="I46" s="505"/>
      <c r="J46" s="505"/>
      <c r="K46" s="505"/>
      <c r="L46" s="505"/>
    </row>
    <row r="47" spans="1:12" s="514" customFormat="1">
      <c r="A47" s="511">
        <v>44</v>
      </c>
      <c r="B47" s="512" t="s">
        <v>245</v>
      </c>
      <c r="C47" s="511" t="s">
        <v>40</v>
      </c>
      <c r="D47" s="511"/>
      <c r="E47" s="518">
        <v>10000</v>
      </c>
      <c r="F47" s="505"/>
      <c r="G47" s="505"/>
      <c r="H47" s="505"/>
      <c r="I47" s="505"/>
      <c r="J47" s="505"/>
      <c r="K47" s="505"/>
      <c r="L47" s="505"/>
    </row>
    <row r="48" spans="1:12" s="514" customFormat="1">
      <c r="A48" s="511">
        <v>45</v>
      </c>
      <c r="B48" s="512" t="s">
        <v>246</v>
      </c>
      <c r="C48" s="511" t="s">
        <v>118</v>
      </c>
      <c r="D48" s="511"/>
      <c r="E48" s="518">
        <v>2000</v>
      </c>
      <c r="F48" s="505"/>
      <c r="G48" s="505"/>
      <c r="H48" s="505"/>
      <c r="I48" s="505"/>
      <c r="J48" s="505"/>
      <c r="K48" s="505"/>
      <c r="L48" s="505"/>
    </row>
    <row r="49" spans="1:12" s="514" customFormat="1" ht="25.5">
      <c r="A49" s="511">
        <v>46</v>
      </c>
      <c r="B49" s="519" t="s">
        <v>431</v>
      </c>
      <c r="C49" s="520" t="s">
        <v>124</v>
      </c>
      <c r="D49" s="520"/>
      <c r="E49" s="521">
        <v>5000</v>
      </c>
    </row>
    <row r="50" spans="1:12" s="514" customFormat="1">
      <c r="A50" s="511">
        <v>47</v>
      </c>
      <c r="B50" s="512" t="s">
        <v>432</v>
      </c>
      <c r="C50" s="511" t="s">
        <v>27</v>
      </c>
      <c r="D50" s="511"/>
      <c r="E50" s="518">
        <v>100000</v>
      </c>
      <c r="F50" s="505"/>
      <c r="G50" s="505"/>
      <c r="H50" s="505"/>
      <c r="I50" s="505"/>
      <c r="J50" s="505"/>
      <c r="K50" s="505"/>
      <c r="L50" s="505"/>
    </row>
    <row r="51" spans="1:12" s="514" customFormat="1">
      <c r="A51" s="511">
        <v>48</v>
      </c>
      <c r="B51" s="512" t="s">
        <v>250</v>
      </c>
      <c r="C51" s="511" t="s">
        <v>201</v>
      </c>
      <c r="D51" s="511"/>
      <c r="E51" s="518">
        <v>2400000</v>
      </c>
      <c r="F51" s="505"/>
      <c r="G51" s="505"/>
      <c r="H51" s="505"/>
      <c r="I51" s="505"/>
      <c r="J51" s="505"/>
      <c r="K51" s="505"/>
      <c r="L51" s="505"/>
    </row>
    <row r="52" spans="1:12" s="514" customFormat="1">
      <c r="A52" s="511">
        <v>49</v>
      </c>
      <c r="B52" s="522" t="s">
        <v>433</v>
      </c>
      <c r="C52" s="523" t="s">
        <v>49</v>
      </c>
      <c r="D52" s="511"/>
      <c r="E52" s="524">
        <v>90000</v>
      </c>
      <c r="F52" s="505"/>
      <c r="G52" s="505"/>
      <c r="H52" s="505"/>
      <c r="I52" s="505"/>
      <c r="J52" s="505"/>
      <c r="K52" s="505"/>
      <c r="L52" s="505"/>
    </row>
    <row r="53" spans="1:12" s="514" customFormat="1">
      <c r="A53" s="511">
        <v>50</v>
      </c>
      <c r="B53" s="522" t="s">
        <v>252</v>
      </c>
      <c r="C53" s="523" t="s">
        <v>201</v>
      </c>
      <c r="D53" s="511"/>
      <c r="E53" s="524">
        <v>3350000</v>
      </c>
      <c r="F53" s="505"/>
      <c r="G53" s="505"/>
      <c r="H53" s="505"/>
      <c r="I53" s="505"/>
      <c r="J53" s="505"/>
      <c r="K53" s="505"/>
      <c r="L53" s="505"/>
    </row>
    <row r="54" spans="1:12">
      <c r="A54" s="511">
        <v>51</v>
      </c>
      <c r="B54" s="512" t="s">
        <v>434</v>
      </c>
      <c r="C54" s="511" t="s">
        <v>147</v>
      </c>
      <c r="D54" s="511"/>
      <c r="E54" s="518">
        <v>4000</v>
      </c>
    </row>
    <row r="55" spans="1:12">
      <c r="A55" s="511">
        <v>52</v>
      </c>
      <c r="B55" s="512" t="s">
        <v>298</v>
      </c>
      <c r="C55" s="511" t="s">
        <v>299</v>
      </c>
      <c r="D55" s="511"/>
      <c r="E55" s="518">
        <v>5000</v>
      </c>
    </row>
    <row r="56" spans="1:12">
      <c r="A56" s="511">
        <v>54</v>
      </c>
      <c r="B56" s="522" t="s">
        <v>300</v>
      </c>
      <c r="C56" s="523" t="s">
        <v>299</v>
      </c>
      <c r="D56" s="511"/>
      <c r="E56" s="524">
        <v>1000</v>
      </c>
    </row>
    <row r="57" spans="1:12">
      <c r="A57" s="511">
        <v>55</v>
      </c>
      <c r="B57" s="522" t="s">
        <v>301</v>
      </c>
      <c r="C57" s="523" t="s">
        <v>299</v>
      </c>
      <c r="D57" s="511"/>
      <c r="E57" s="524">
        <v>2000</v>
      </c>
    </row>
  </sheetData>
  <phoneticPr fontId="4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F51"/>
  <sheetViews>
    <sheetView workbookViewId="0">
      <selection activeCell="L20" sqref="L20"/>
    </sheetView>
  </sheetViews>
  <sheetFormatPr defaultColWidth="8.77734375" defaultRowHeight="16.5"/>
  <cols>
    <col min="1" max="1" width="5.109375" style="514" customWidth="1"/>
    <col min="2" max="2" width="18.6640625" style="505" customWidth="1"/>
    <col min="3" max="3" width="8.77734375" style="505"/>
    <col min="4" max="4" width="6.5546875" style="505" customWidth="1"/>
    <col min="5" max="5" width="11.109375" style="505" customWidth="1"/>
    <col min="6" max="16384" width="8.77734375" style="505"/>
  </cols>
  <sheetData>
    <row r="1" spans="1:6">
      <c r="A1" s="536" t="s">
        <v>253</v>
      </c>
      <c r="B1" s="503" t="s">
        <v>254</v>
      </c>
      <c r="C1" s="503" t="s">
        <v>255</v>
      </c>
      <c r="D1" s="503" t="s">
        <v>442</v>
      </c>
      <c r="E1" s="504" t="s">
        <v>256</v>
      </c>
      <c r="F1" s="504" t="s">
        <v>256</v>
      </c>
    </row>
    <row r="2" spans="1:6">
      <c r="A2" s="537" t="s">
        <v>0</v>
      </c>
      <c r="B2" s="506" t="s">
        <v>261</v>
      </c>
      <c r="C2" s="506" t="s">
        <v>258</v>
      </c>
      <c r="D2" s="538" t="s">
        <v>262</v>
      </c>
      <c r="E2" s="507" t="s">
        <v>259</v>
      </c>
      <c r="F2" s="507" t="s">
        <v>260</v>
      </c>
    </row>
    <row r="3" spans="1:6">
      <c r="A3" s="539"/>
      <c r="B3" s="509"/>
      <c r="C3" s="508"/>
      <c r="D3" s="508"/>
      <c r="E3" s="510"/>
      <c r="F3" s="510"/>
    </row>
    <row r="4" spans="1:6">
      <c r="A4" s="540">
        <v>1</v>
      </c>
      <c r="B4" s="527" t="s">
        <v>443</v>
      </c>
      <c r="C4" s="526" t="s">
        <v>118</v>
      </c>
      <c r="D4" s="527">
        <v>10</v>
      </c>
      <c r="E4" s="541">
        <v>150000000</v>
      </c>
      <c r="F4" s="541">
        <f>E4/D4/250</f>
        <v>60000</v>
      </c>
    </row>
    <row r="5" spans="1:6">
      <c r="A5" s="520">
        <v>2</v>
      </c>
      <c r="B5" s="512" t="s">
        <v>138</v>
      </c>
      <c r="C5" s="511" t="s">
        <v>118</v>
      </c>
      <c r="D5" s="512">
        <v>5</v>
      </c>
      <c r="E5" s="542">
        <v>15000000</v>
      </c>
      <c r="F5" s="542">
        <f>E5/D5/500</f>
        <v>6000</v>
      </c>
    </row>
    <row r="6" spans="1:6">
      <c r="A6" s="520">
        <v>3</v>
      </c>
      <c r="B6" s="512" t="s">
        <v>139</v>
      </c>
      <c r="C6" s="511" t="s">
        <v>118</v>
      </c>
      <c r="D6" s="512">
        <v>10</v>
      </c>
      <c r="E6" s="542">
        <v>17000000</v>
      </c>
      <c r="F6" s="542">
        <f>E6/D6/250</f>
        <v>6800</v>
      </c>
    </row>
    <row r="7" spans="1:6">
      <c r="A7" s="520">
        <v>4</v>
      </c>
      <c r="B7" s="512" t="s">
        <v>140</v>
      </c>
      <c r="C7" s="511" t="s">
        <v>118</v>
      </c>
      <c r="D7" s="512">
        <v>5</v>
      </c>
      <c r="E7" s="542">
        <v>15000000</v>
      </c>
      <c r="F7" s="542">
        <f>E7/D7/500</f>
        <v>6000</v>
      </c>
    </row>
    <row r="8" spans="1:6">
      <c r="A8" s="520">
        <v>5</v>
      </c>
      <c r="B8" s="512" t="s">
        <v>143</v>
      </c>
      <c r="C8" s="511" t="s">
        <v>118</v>
      </c>
      <c r="D8" s="512">
        <v>10</v>
      </c>
      <c r="E8" s="542">
        <v>105000000</v>
      </c>
      <c r="F8" s="542">
        <f>E8/D8/500</f>
        <v>21000</v>
      </c>
    </row>
    <row r="9" spans="1:6">
      <c r="A9" s="520">
        <v>6</v>
      </c>
      <c r="B9" s="512" t="s">
        <v>145</v>
      </c>
      <c r="C9" s="511" t="s">
        <v>118</v>
      </c>
      <c r="D9" s="512">
        <v>10</v>
      </c>
      <c r="E9" s="542">
        <v>14500000</v>
      </c>
      <c r="F9" s="542">
        <f>E9/D9/500</f>
        <v>2900</v>
      </c>
    </row>
    <row r="10" spans="1:6">
      <c r="A10" s="520">
        <v>7</v>
      </c>
      <c r="B10" s="512" t="s">
        <v>148</v>
      </c>
      <c r="C10" s="511" t="s">
        <v>118</v>
      </c>
      <c r="D10" s="512">
        <v>10</v>
      </c>
      <c r="E10" s="542">
        <v>100000000</v>
      </c>
      <c r="F10" s="542">
        <f>E10/D10/500</f>
        <v>20000</v>
      </c>
    </row>
    <row r="11" spans="1:6">
      <c r="A11" s="520">
        <v>8</v>
      </c>
      <c r="B11" s="512" t="s">
        <v>150</v>
      </c>
      <c r="C11" s="511"/>
      <c r="D11" s="512">
        <v>10</v>
      </c>
      <c r="E11" s="542">
        <v>6000000</v>
      </c>
      <c r="F11" s="542">
        <f>E11/D11/500</f>
        <v>1200</v>
      </c>
    </row>
    <row r="12" spans="1:6">
      <c r="A12" s="520">
        <v>9</v>
      </c>
      <c r="B12" s="512" t="s">
        <v>152</v>
      </c>
      <c r="C12" s="511" t="s">
        <v>39</v>
      </c>
      <c r="D12" s="512"/>
      <c r="E12" s="542">
        <v>1554</v>
      </c>
      <c r="F12" s="542">
        <f>E12</f>
        <v>1554</v>
      </c>
    </row>
    <row r="13" spans="1:6">
      <c r="A13" s="520">
        <v>10</v>
      </c>
      <c r="B13" s="512" t="s">
        <v>444</v>
      </c>
      <c r="C13" s="511" t="s">
        <v>118</v>
      </c>
      <c r="D13" s="512">
        <v>10</v>
      </c>
      <c r="E13" s="542">
        <v>180000000</v>
      </c>
      <c r="F13" s="542">
        <f>E13/D13/250</f>
        <v>72000</v>
      </c>
    </row>
    <row r="14" spans="1:6">
      <c r="A14" s="520">
        <v>11</v>
      </c>
      <c r="B14" s="512" t="s">
        <v>155</v>
      </c>
      <c r="C14" s="511" t="s">
        <v>147</v>
      </c>
      <c r="D14" s="512">
        <v>10</v>
      </c>
      <c r="E14" s="542">
        <v>900000000</v>
      </c>
      <c r="F14" s="542">
        <f>E14/D14/250</f>
        <v>360000</v>
      </c>
    </row>
    <row r="15" spans="1:6">
      <c r="A15" s="520">
        <v>12</v>
      </c>
      <c r="B15" s="512" t="s">
        <v>157</v>
      </c>
      <c r="C15" s="511" t="s">
        <v>142</v>
      </c>
      <c r="D15" s="512">
        <v>10</v>
      </c>
      <c r="E15" s="542">
        <v>300000000</v>
      </c>
      <c r="F15" s="542">
        <f>E15/D15/250</f>
        <v>120000</v>
      </c>
    </row>
    <row r="16" spans="1:6">
      <c r="A16" s="520">
        <v>13</v>
      </c>
      <c r="B16" s="512" t="s">
        <v>445</v>
      </c>
      <c r="C16" s="511" t="s">
        <v>142</v>
      </c>
      <c r="D16" s="512">
        <v>5</v>
      </c>
      <c r="E16" s="542">
        <v>13500000</v>
      </c>
      <c r="F16" s="542">
        <f>E16/D16/250</f>
        <v>10800</v>
      </c>
    </row>
    <row r="17" spans="1:6">
      <c r="A17" s="520">
        <v>14</v>
      </c>
      <c r="B17" s="512" t="s">
        <v>446</v>
      </c>
      <c r="C17" s="511" t="s">
        <v>118</v>
      </c>
      <c r="D17" s="512">
        <v>10</v>
      </c>
      <c r="E17" s="542">
        <v>5800000</v>
      </c>
      <c r="F17" s="542">
        <f>E17/D17/500</f>
        <v>1160</v>
      </c>
    </row>
    <row r="18" spans="1:6">
      <c r="A18" s="520"/>
      <c r="B18" s="512"/>
      <c r="C18" s="511"/>
      <c r="D18" s="512"/>
      <c r="E18" s="542"/>
      <c r="F18" s="542"/>
    </row>
    <row r="19" spans="1:6">
      <c r="A19" s="543"/>
      <c r="B19" s="544"/>
      <c r="C19" s="544"/>
      <c r="D19" s="544"/>
      <c r="E19" s="544"/>
      <c r="F19" s="544"/>
    </row>
    <row r="33" spans="1:1">
      <c r="A33" s="545"/>
    </row>
    <row r="34" spans="1:1">
      <c r="A34" s="545"/>
    </row>
    <row r="35" spans="1:1">
      <c r="A35" s="545"/>
    </row>
    <row r="36" spans="1:1">
      <c r="A36" s="545"/>
    </row>
    <row r="37" spans="1:1">
      <c r="A37" s="545"/>
    </row>
    <row r="38" spans="1:1">
      <c r="A38" s="545"/>
    </row>
    <row r="39" spans="1:1">
      <c r="A39" s="545"/>
    </row>
    <row r="40" spans="1:1">
      <c r="A40" s="545"/>
    </row>
    <row r="41" spans="1:1">
      <c r="A41" s="545"/>
    </row>
    <row r="42" spans="1:1">
      <c r="A42" s="545"/>
    </row>
    <row r="43" spans="1:1">
      <c r="A43" s="545"/>
    </row>
    <row r="44" spans="1:1">
      <c r="A44" s="545"/>
    </row>
    <row r="45" spans="1:1">
      <c r="A45" s="545"/>
    </row>
    <row r="46" spans="1:1">
      <c r="A46" s="545"/>
    </row>
    <row r="47" spans="1:1">
      <c r="A47" s="545"/>
    </row>
    <row r="48" spans="1:1">
      <c r="A48" s="545"/>
    </row>
    <row r="49" spans="1:1">
      <c r="A49" s="545"/>
    </row>
    <row r="50" spans="1:1">
      <c r="A50" s="545"/>
    </row>
    <row r="51" spans="1:1">
      <c r="A51" s="545"/>
    </row>
  </sheetData>
  <phoneticPr fontId="4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R688"/>
  <sheetViews>
    <sheetView topLeftCell="D1" zoomScale="80" zoomScaleNormal="80" workbookViewId="0">
      <selection activeCell="Q2" sqref="Q2"/>
    </sheetView>
  </sheetViews>
  <sheetFormatPr defaultRowHeight="16.5"/>
  <cols>
    <col min="1" max="1" width="5.6640625" style="34" customWidth="1"/>
    <col min="2" max="2" width="20.5546875" style="15" customWidth="1"/>
    <col min="3" max="3" width="4.88671875" style="15" customWidth="1"/>
    <col min="4" max="4" width="5.88671875" style="34" customWidth="1"/>
    <col min="5" max="5" width="9.88671875" customWidth="1"/>
    <col min="6" max="6" width="8.77734375" customWidth="1"/>
    <col min="7" max="7" width="9.77734375" hidden="1" customWidth="1"/>
    <col min="8" max="9" width="9" customWidth="1"/>
    <col min="10" max="10" width="8.44140625" customWidth="1"/>
    <col min="11" max="11" width="8.5546875" customWidth="1"/>
    <col min="12" max="12" width="10.77734375" customWidth="1"/>
    <col min="13" max="13" width="11.21875" customWidth="1"/>
    <col min="14" max="14" width="11.44140625" customWidth="1"/>
    <col min="15" max="15" width="9.21875" style="35" customWidth="1"/>
    <col min="16" max="17" width="9.33203125" style="35" customWidth="1"/>
    <col min="18" max="18" width="9.21875" style="29" customWidth="1"/>
  </cols>
  <sheetData>
    <row r="1" spans="1:18" s="4" customFormat="1" ht="27" customHeight="1">
      <c r="A1" s="976" t="s">
        <v>424</v>
      </c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477" t="s">
        <v>417</v>
      </c>
      <c r="Q1" s="478">
        <v>0.5</v>
      </c>
      <c r="R1" s="63"/>
    </row>
    <row r="2" spans="1:18" s="4" customFormat="1" ht="17.25" customHeight="1">
      <c r="A2" s="67"/>
      <c r="B2" s="68"/>
      <c r="C2" s="69"/>
      <c r="D2" s="70"/>
      <c r="E2" s="71"/>
      <c r="F2" s="71"/>
      <c r="G2" s="71"/>
      <c r="H2" s="71"/>
      <c r="I2" s="71"/>
      <c r="J2" s="71"/>
      <c r="K2" s="71"/>
      <c r="L2" s="71"/>
      <c r="M2" s="72"/>
      <c r="N2" s="977" t="s">
        <v>428</v>
      </c>
      <c r="O2" s="977"/>
      <c r="P2" s="52"/>
      <c r="Q2" s="52"/>
      <c r="R2" s="63"/>
    </row>
    <row r="3" spans="1:18" s="4" customFormat="1" ht="19.5" customHeight="1">
      <c r="A3" s="970" t="s">
        <v>376</v>
      </c>
      <c r="B3" s="972" t="s">
        <v>377</v>
      </c>
      <c r="C3" s="974" t="s">
        <v>378</v>
      </c>
      <c r="D3" s="970" t="s">
        <v>91</v>
      </c>
      <c r="E3" s="964" t="s">
        <v>368</v>
      </c>
      <c r="F3" s="965"/>
      <c r="G3" s="965"/>
      <c r="H3" s="965"/>
      <c r="I3" s="965"/>
      <c r="J3" s="965"/>
      <c r="K3" s="965"/>
      <c r="L3" s="966"/>
      <c r="M3" s="974" t="s">
        <v>426</v>
      </c>
      <c r="N3" s="974" t="s">
        <v>379</v>
      </c>
      <c r="O3" s="323" t="s">
        <v>18</v>
      </c>
      <c r="P3" s="104" t="s">
        <v>19</v>
      </c>
      <c r="Q3" s="57" t="s">
        <v>19</v>
      </c>
      <c r="R3" s="58" t="s">
        <v>16</v>
      </c>
    </row>
    <row r="4" spans="1:18" s="4" customFormat="1" ht="20.25" customHeight="1">
      <c r="A4" s="971"/>
      <c r="B4" s="973"/>
      <c r="C4" s="975"/>
      <c r="D4" s="971"/>
      <c r="E4" s="327" t="s">
        <v>369</v>
      </c>
      <c r="F4" s="326" t="s">
        <v>370</v>
      </c>
      <c r="G4" s="328">
        <v>0</v>
      </c>
      <c r="H4" s="326" t="s">
        <v>257</v>
      </c>
      <c r="I4" s="326" t="s">
        <v>280</v>
      </c>
      <c r="J4" s="326" t="s">
        <v>261</v>
      </c>
      <c r="K4" s="326" t="s">
        <v>371</v>
      </c>
      <c r="L4" s="326" t="s">
        <v>372</v>
      </c>
      <c r="M4" s="975"/>
      <c r="N4" s="975"/>
      <c r="O4" s="325" t="s">
        <v>20</v>
      </c>
      <c r="P4" s="105" t="s">
        <v>21</v>
      </c>
      <c r="Q4" s="59" t="s">
        <v>22</v>
      </c>
      <c r="R4" s="60" t="s">
        <v>17</v>
      </c>
    </row>
    <row r="5" spans="1:18" s="4" customFormat="1" ht="17.25" hidden="1" customHeight="1">
      <c r="A5" s="329" t="s">
        <v>52</v>
      </c>
      <c r="B5" s="330" t="s">
        <v>53</v>
      </c>
      <c r="C5" s="330" t="s">
        <v>54</v>
      </c>
      <c r="D5" s="331" t="s">
        <v>55</v>
      </c>
      <c r="E5" s="332" t="s">
        <v>56</v>
      </c>
      <c r="F5" s="332" t="s">
        <v>57</v>
      </c>
      <c r="G5" s="332"/>
      <c r="H5" s="332" t="s">
        <v>58</v>
      </c>
      <c r="I5" s="332" t="s">
        <v>59</v>
      </c>
      <c r="J5" s="332" t="s">
        <v>60</v>
      </c>
      <c r="K5" s="332" t="s">
        <v>61</v>
      </c>
      <c r="L5" s="333" t="s">
        <v>373</v>
      </c>
      <c r="M5" s="333" t="s">
        <v>374</v>
      </c>
      <c r="N5" s="334" t="s">
        <v>375</v>
      </c>
      <c r="O5" s="332" t="s">
        <v>62</v>
      </c>
      <c r="P5" s="48"/>
      <c r="Q5" s="48"/>
      <c r="R5" s="49"/>
    </row>
    <row r="6" spans="1:18" s="4" customFormat="1" ht="23.25" hidden="1" customHeight="1">
      <c r="A6" s="335" t="s">
        <v>3</v>
      </c>
      <c r="B6" s="336" t="s">
        <v>380</v>
      </c>
      <c r="C6" s="337"/>
      <c r="D6" s="344"/>
      <c r="E6" s="345"/>
      <c r="F6" s="345"/>
      <c r="G6" s="345"/>
      <c r="H6" s="345"/>
      <c r="I6" s="345"/>
      <c r="J6" s="345"/>
      <c r="K6" s="345"/>
      <c r="L6" s="346"/>
      <c r="M6" s="346"/>
      <c r="N6" s="345"/>
      <c r="O6" s="347"/>
      <c r="P6" s="407"/>
      <c r="Q6" s="408"/>
      <c r="R6" s="409"/>
    </row>
    <row r="7" spans="1:18" s="4" customFormat="1" ht="21" hidden="1" customHeight="1">
      <c r="A7" s="315" t="s">
        <v>9</v>
      </c>
      <c r="B7" s="314" t="s">
        <v>73</v>
      </c>
      <c r="C7" s="318" t="s">
        <v>1</v>
      </c>
      <c r="D7" s="351">
        <v>1</v>
      </c>
      <c r="E7" s="352" t="e">
        <f>'NC-CLBD'!G5</f>
        <v>#VALUE!</v>
      </c>
      <c r="F7" s="353"/>
      <c r="G7" s="353">
        <f>$Q$1*10*P7</f>
        <v>157711.53846153847</v>
      </c>
      <c r="H7" s="353">
        <f>'DCu-CLBD'!H23</f>
        <v>17246.653846153848</v>
      </c>
      <c r="I7" s="353">
        <f>'VL-CLBD'!F16</f>
        <v>75060</v>
      </c>
      <c r="J7" s="353"/>
      <c r="K7" s="353"/>
      <c r="L7" s="348" t="e">
        <f>SUM(E7:K7)</f>
        <v>#VALUE!</v>
      </c>
      <c r="M7" s="348" t="e">
        <f>L7*'He so chung'!$D$16/100</f>
        <v>#VALUE!</v>
      </c>
      <c r="N7" s="349" t="e">
        <f>M7+L7</f>
        <v>#VALUE!</v>
      </c>
      <c r="O7" s="354">
        <f>'He so chung'!$D$18*R7</f>
        <v>39427.884615384617</v>
      </c>
      <c r="P7" s="354">
        <f>'He so chung'!$D$19*R7</f>
        <v>31542.307692307691</v>
      </c>
      <c r="Q7" s="411">
        <f>'He so chung'!$D$20*R7</f>
        <v>7885.5769230769247</v>
      </c>
      <c r="R7" s="412">
        <f>'NC-CLBD'!F5</f>
        <v>5.9</v>
      </c>
    </row>
    <row r="8" spans="1:18" s="4" customFormat="1" ht="21" hidden="1" customHeight="1">
      <c r="A8" s="314"/>
      <c r="B8" s="187"/>
      <c r="C8" s="318"/>
      <c r="D8" s="351">
        <v>2</v>
      </c>
      <c r="E8" s="352" t="e">
        <f>'NC-CLBD'!G7</f>
        <v>#VALUE!</v>
      </c>
      <c r="F8" s="353"/>
      <c r="G8" s="353">
        <f>$Q$1*10*P8</f>
        <v>204757.69230769231</v>
      </c>
      <c r="H8" s="353">
        <f>'DCu-CLBD'!H24</f>
        <v>21558.317307692309</v>
      </c>
      <c r="I8" s="353">
        <f>'VL-CLBD'!F16</f>
        <v>75060</v>
      </c>
      <c r="J8" s="353"/>
      <c r="K8" s="353"/>
      <c r="L8" s="348" t="e">
        <f>SUM(E8:K8)</f>
        <v>#VALUE!</v>
      </c>
      <c r="M8" s="348" t="e">
        <f>L8*'He so chung'!$D$16/100</f>
        <v>#VALUE!</v>
      </c>
      <c r="N8" s="349" t="e">
        <f>M8+L8</f>
        <v>#VALUE!</v>
      </c>
      <c r="O8" s="354">
        <f>'He so chung'!$D$18*R8</f>
        <v>51189.423076923078</v>
      </c>
      <c r="P8" s="354">
        <f>'He so chung'!$D$19*R8</f>
        <v>40951.538461538461</v>
      </c>
      <c r="Q8" s="411">
        <f>'He so chung'!$D$20*R8</f>
        <v>10237.884615384617</v>
      </c>
      <c r="R8" s="412">
        <f>'NC-CLBD'!F7</f>
        <v>7.66</v>
      </c>
    </row>
    <row r="9" spans="1:18" s="4" customFormat="1" ht="21" hidden="1" customHeight="1">
      <c r="A9" s="315"/>
      <c r="B9" s="314"/>
      <c r="C9" s="318"/>
      <c r="D9" s="351">
        <v>3</v>
      </c>
      <c r="E9" s="352" t="e">
        <f>'NC-CLBD'!G9</f>
        <v>#VALUE!</v>
      </c>
      <c r="F9" s="353"/>
      <c r="G9" s="353">
        <f>$Q$1*10*P9</f>
        <v>266238.4615384615</v>
      </c>
      <c r="H9" s="353">
        <f>'DCu-CLBD'!H25</f>
        <v>28744.423076923078</v>
      </c>
      <c r="I9" s="353">
        <f>'VL-CLBD'!F16</f>
        <v>75060</v>
      </c>
      <c r="J9" s="353"/>
      <c r="K9" s="353"/>
      <c r="L9" s="348" t="e">
        <f>SUM(E9:K9)</f>
        <v>#VALUE!</v>
      </c>
      <c r="M9" s="348" t="e">
        <f>L9*'He so chung'!$D$16/100</f>
        <v>#VALUE!</v>
      </c>
      <c r="N9" s="349" t="e">
        <f>M9+L9</f>
        <v>#VALUE!</v>
      </c>
      <c r="O9" s="354">
        <f>'He so chung'!$D$18*R9</f>
        <v>66559.61538461539</v>
      </c>
      <c r="P9" s="354">
        <f>'He so chung'!$D$19*R9</f>
        <v>53247.692307692305</v>
      </c>
      <c r="Q9" s="411">
        <f>'He so chung'!$D$20*R9</f>
        <v>13311.92307692308</v>
      </c>
      <c r="R9" s="412">
        <f>'NC-CLBD'!F9</f>
        <v>9.9600000000000009</v>
      </c>
    </row>
    <row r="10" spans="1:18" s="4" customFormat="1" ht="21" hidden="1" customHeight="1">
      <c r="A10" s="315"/>
      <c r="B10" s="314"/>
      <c r="C10" s="318"/>
      <c r="D10" s="351">
        <v>4</v>
      </c>
      <c r="E10" s="352" t="e">
        <f>'NC-CLBD'!G11</f>
        <v>#VALUE!</v>
      </c>
      <c r="F10" s="353"/>
      <c r="G10" s="353">
        <f>$Q$1*10*P10</f>
        <v>345896.15384615381</v>
      </c>
      <c r="H10" s="353">
        <f>'DCu-CLBD'!H26</f>
        <v>34493.307692307695</v>
      </c>
      <c r="I10" s="353">
        <f>'VL-CLBD'!F16</f>
        <v>75060</v>
      </c>
      <c r="J10" s="353"/>
      <c r="K10" s="353"/>
      <c r="L10" s="348" t="e">
        <f>SUM(E10:K10)</f>
        <v>#VALUE!</v>
      </c>
      <c r="M10" s="348" t="e">
        <f>L10*'He so chung'!$D$16/100</f>
        <v>#VALUE!</v>
      </c>
      <c r="N10" s="349" t="e">
        <f>M10+L10</f>
        <v>#VALUE!</v>
      </c>
      <c r="O10" s="354">
        <f>'He so chung'!$D$18*R10</f>
        <v>86474.038461538454</v>
      </c>
      <c r="P10" s="354">
        <f>'He so chung'!$D$19*R10</f>
        <v>69179.230769230766</v>
      </c>
      <c r="Q10" s="411">
        <f>'He so chung'!$D$20*R10</f>
        <v>17294.807692307691</v>
      </c>
      <c r="R10" s="412">
        <f>'NC-CLBD'!F11</f>
        <v>12.94</v>
      </c>
    </row>
    <row r="11" spans="1:18" s="4" customFormat="1" ht="18" hidden="1" customHeight="1">
      <c r="A11" s="315"/>
      <c r="B11" s="314"/>
      <c r="C11" s="338"/>
      <c r="D11" s="351"/>
      <c r="E11" s="352"/>
      <c r="F11" s="353"/>
      <c r="G11" s="353"/>
      <c r="H11" s="353"/>
      <c r="I11" s="353"/>
      <c r="J11" s="353"/>
      <c r="K11" s="353"/>
      <c r="L11" s="348"/>
      <c r="M11" s="348"/>
      <c r="N11" s="349"/>
      <c r="O11" s="354"/>
      <c r="P11" s="354"/>
      <c r="Q11" s="411"/>
      <c r="R11" s="412"/>
    </row>
    <row r="12" spans="1:18" s="4" customFormat="1" ht="21" hidden="1" customHeight="1">
      <c r="A12" s="315" t="s">
        <v>10</v>
      </c>
      <c r="B12" s="314" t="s">
        <v>381</v>
      </c>
      <c r="C12" s="318" t="s">
        <v>278</v>
      </c>
      <c r="D12" s="351">
        <v>1</v>
      </c>
      <c r="E12" s="352" t="e">
        <f>'NC-CLBD'!G17/100</f>
        <v>#VALUE!</v>
      </c>
      <c r="F12" s="353"/>
      <c r="G12" s="353">
        <f>$Q$1*10*P12</f>
        <v>2579.5192307692305</v>
      </c>
      <c r="H12" s="353">
        <f>'DCu-CLBD'!H67</f>
        <v>167.19897115384614</v>
      </c>
      <c r="I12" s="353">
        <f>'VL-CLBD'!F45</f>
        <v>84.871800000000007</v>
      </c>
      <c r="J12" s="353">
        <f>'TBI-CLBD'!I9</f>
        <v>710</v>
      </c>
      <c r="K12" s="353" t="e">
        <f>#REF!</f>
        <v>#REF!</v>
      </c>
      <c r="L12" s="348" t="e">
        <f>SUM(E12:K12)</f>
        <v>#VALUE!</v>
      </c>
      <c r="M12" s="348" t="e">
        <f>L12*'He so chung'!$D$16/100</f>
        <v>#VALUE!</v>
      </c>
      <c r="N12" s="349" t="e">
        <f>M12+L12</f>
        <v>#VALUE!</v>
      </c>
      <c r="O12" s="354">
        <f>'He so chung'!$D$18*R12</f>
        <v>644.87980769230774</v>
      </c>
      <c r="P12" s="354">
        <f>'He so chung'!$D$19*R12</f>
        <v>515.90384615384608</v>
      </c>
      <c r="Q12" s="411">
        <f>'He so chung'!$D$20*R12</f>
        <v>128.97596153846155</v>
      </c>
      <c r="R12" s="412">
        <f>'NC-CLBD'!F17/100</f>
        <v>9.6500000000000002E-2</v>
      </c>
    </row>
    <row r="13" spans="1:18" s="4" customFormat="1" ht="21" hidden="1" customHeight="1">
      <c r="A13" s="314"/>
      <c r="B13" s="187"/>
      <c r="C13" s="318"/>
      <c r="D13" s="351">
        <v>2</v>
      </c>
      <c r="E13" s="352" t="e">
        <f>'NC-CLBD'!G19/100</f>
        <v>#VALUE!</v>
      </c>
      <c r="F13" s="353"/>
      <c r="G13" s="353">
        <f>$Q$1*10*P13</f>
        <v>3234.4230769230767</v>
      </c>
      <c r="H13" s="353">
        <f>'DCu-CLBD'!H68</f>
        <v>208.99871394230769</v>
      </c>
      <c r="I13" s="353">
        <f>'VL-CLBD'!F45</f>
        <v>84.871800000000007</v>
      </c>
      <c r="J13" s="353">
        <f>'TBI-CLBD'!K9</f>
        <v>887.16</v>
      </c>
      <c r="K13" s="353" t="e">
        <f>#REF!</f>
        <v>#REF!</v>
      </c>
      <c r="L13" s="348" t="e">
        <f>SUM(E13:K13)</f>
        <v>#VALUE!</v>
      </c>
      <c r="M13" s="348" t="e">
        <f>L13*'He so chung'!$D$16/100</f>
        <v>#VALUE!</v>
      </c>
      <c r="N13" s="349" t="e">
        <f>M13+L13</f>
        <v>#VALUE!</v>
      </c>
      <c r="O13" s="354">
        <f>'He so chung'!$D$18*R13</f>
        <v>808.60576923076917</v>
      </c>
      <c r="P13" s="354">
        <f>'He so chung'!$D$19*R13</f>
        <v>646.88461538461536</v>
      </c>
      <c r="Q13" s="411">
        <f>'He so chung'!$D$20*R13</f>
        <v>161.72115384615387</v>
      </c>
      <c r="R13" s="412">
        <f>'NC-CLBD'!F19/100</f>
        <v>0.121</v>
      </c>
    </row>
    <row r="14" spans="1:18" s="4" customFormat="1" ht="21" hidden="1" customHeight="1">
      <c r="A14" s="315"/>
      <c r="B14" s="314"/>
      <c r="C14" s="318"/>
      <c r="D14" s="351">
        <v>3</v>
      </c>
      <c r="E14" s="352" t="e">
        <f>'NC-CLBD'!G21/100</f>
        <v>#VALUE!</v>
      </c>
      <c r="F14" s="353"/>
      <c r="G14" s="353">
        <f>$Q$1*10*P14</f>
        <v>4303.6538461538457</v>
      </c>
      <c r="H14" s="353">
        <f>'DCu-CLBD'!H69</f>
        <v>278.6649519230769</v>
      </c>
      <c r="I14" s="353">
        <f>'VL-CLBD'!F45</f>
        <v>84.871800000000007</v>
      </c>
      <c r="J14" s="353">
        <f>'TBI-CLBD'!M9</f>
        <v>1180.28</v>
      </c>
      <c r="K14" s="353" t="e">
        <f>#REF!</f>
        <v>#REF!</v>
      </c>
      <c r="L14" s="348" t="e">
        <f>SUM(E14:K14)</f>
        <v>#VALUE!</v>
      </c>
      <c r="M14" s="348" t="e">
        <f>L14*'He so chung'!$D$16/100</f>
        <v>#VALUE!</v>
      </c>
      <c r="N14" s="349" t="e">
        <f>M14+L14</f>
        <v>#VALUE!</v>
      </c>
      <c r="O14" s="354">
        <f>'He so chung'!$D$18*R14</f>
        <v>1075.9134615384617</v>
      </c>
      <c r="P14" s="354">
        <f>'He so chung'!$D$19*R14</f>
        <v>860.73076923076917</v>
      </c>
      <c r="Q14" s="411">
        <f>'He so chung'!$D$20*R14</f>
        <v>215.18269230769232</v>
      </c>
      <c r="R14" s="412">
        <f>'NC-CLBD'!F21/100</f>
        <v>0.161</v>
      </c>
    </row>
    <row r="15" spans="1:18" s="4" customFormat="1" ht="21" hidden="1" customHeight="1">
      <c r="A15" s="315"/>
      <c r="B15" s="314"/>
      <c r="C15" s="318"/>
      <c r="D15" s="351">
        <v>4</v>
      </c>
      <c r="E15" s="352" t="e">
        <f>'NC-CLBD'!G23/100</f>
        <v>#VALUE!</v>
      </c>
      <c r="F15" s="353"/>
      <c r="G15" s="353">
        <f>$Q$1*10*P15</f>
        <v>5159.038461538461</v>
      </c>
      <c r="H15" s="353">
        <f>'DCu-CLBD'!H70</f>
        <v>334.39794230769229</v>
      </c>
      <c r="I15" s="353">
        <f>'VL-CLBD'!F45</f>
        <v>84.871800000000007</v>
      </c>
      <c r="J15" s="353">
        <f>'TBI-CLBD'!O9</f>
        <v>1418.72</v>
      </c>
      <c r="K15" s="353" t="e">
        <f>#REF!</f>
        <v>#REF!</v>
      </c>
      <c r="L15" s="348" t="e">
        <f>SUM(E15:K15)</f>
        <v>#VALUE!</v>
      </c>
      <c r="M15" s="348" t="e">
        <f>L15*'He so chung'!$D$16/100</f>
        <v>#VALUE!</v>
      </c>
      <c r="N15" s="349" t="e">
        <f>M15+L15</f>
        <v>#VALUE!</v>
      </c>
      <c r="O15" s="354">
        <f>'He so chung'!$D$18*R15</f>
        <v>1289.7596153846155</v>
      </c>
      <c r="P15" s="354">
        <f>'He so chung'!$D$19*R15</f>
        <v>1031.8076923076922</v>
      </c>
      <c r="Q15" s="411">
        <f>'He so chung'!$D$20*R15</f>
        <v>257.95192307692309</v>
      </c>
      <c r="R15" s="412">
        <f>'NC-CLBD'!F23/100</f>
        <v>0.193</v>
      </c>
    </row>
    <row r="16" spans="1:18" s="4" customFormat="1" ht="17.25" hidden="1" customHeight="1">
      <c r="A16" s="315"/>
      <c r="B16" s="314"/>
      <c r="C16" s="338"/>
      <c r="D16" s="351"/>
      <c r="E16" s="352"/>
      <c r="F16" s="353"/>
      <c r="G16" s="353"/>
      <c r="H16" s="353"/>
      <c r="I16" s="353"/>
      <c r="J16" s="353"/>
      <c r="K16" s="353"/>
      <c r="L16" s="348"/>
      <c r="M16" s="348"/>
      <c r="N16" s="349"/>
      <c r="O16" s="354"/>
      <c r="P16" s="354"/>
      <c r="Q16" s="411"/>
      <c r="R16" s="412"/>
    </row>
    <row r="17" spans="1:18" s="4" customFormat="1" ht="21" hidden="1" customHeight="1">
      <c r="A17" s="315" t="s">
        <v>11</v>
      </c>
      <c r="B17" s="314" t="s">
        <v>77</v>
      </c>
      <c r="C17" s="318" t="s">
        <v>278</v>
      </c>
      <c r="D17" s="351">
        <v>1</v>
      </c>
      <c r="E17" s="352" t="e">
        <f>'NC-CLBD'!G28/100</f>
        <v>#VALUE!</v>
      </c>
      <c r="F17" s="353">
        <f>'NC-CLBD'!G29/100</f>
        <v>21890.1</v>
      </c>
      <c r="G17" s="353">
        <f>$Q$1*10*P17</f>
        <v>31943.269230769227</v>
      </c>
      <c r="H17" s="353">
        <f>'DCu-CLBD'!H112</f>
        <v>1970.4463221153846</v>
      </c>
      <c r="I17" s="353">
        <f>'VL-CLBD'!F39</f>
        <v>1697.4360000000001</v>
      </c>
      <c r="J17" s="353">
        <f>'TBI-CLBD'!I59</f>
        <v>9546</v>
      </c>
      <c r="K17" s="353" t="e">
        <f>#REF!</f>
        <v>#REF!</v>
      </c>
      <c r="L17" s="348" t="e">
        <f>SUM(E17:K17)</f>
        <v>#VALUE!</v>
      </c>
      <c r="M17" s="348" t="e">
        <f>L17*'He so chung'!$D$16/100</f>
        <v>#VALUE!</v>
      </c>
      <c r="N17" s="349" t="e">
        <f>M17+L17</f>
        <v>#VALUE!</v>
      </c>
      <c r="O17" s="354">
        <f>'He so chung'!$D$18*R17</f>
        <v>7985.8173076923076</v>
      </c>
      <c r="P17" s="354">
        <f>'He so chung'!$D$19*R17</f>
        <v>6388.6538461538457</v>
      </c>
      <c r="Q17" s="411">
        <f>'He so chung'!$D$20*R17</f>
        <v>1597.1634615384617</v>
      </c>
      <c r="R17" s="412">
        <f>'NC-CLBD'!F28/100</f>
        <v>1.1950000000000001</v>
      </c>
    </row>
    <row r="18" spans="1:18" s="4" customFormat="1" ht="21" hidden="1" customHeight="1">
      <c r="A18" s="315"/>
      <c r="B18" s="314"/>
      <c r="C18" s="318"/>
      <c r="D18" s="351">
        <v>2</v>
      </c>
      <c r="E18" s="352" t="e">
        <f>'NC-CLBD'!G32/100</f>
        <v>#VALUE!</v>
      </c>
      <c r="F18" s="353">
        <f>'NC-CLBD'!G33/100</f>
        <v>26278.6</v>
      </c>
      <c r="G18" s="353">
        <f>$Q$1*10*P18</f>
        <v>38331.923076923078</v>
      </c>
      <c r="H18" s="353">
        <f>'DCu-CLBD'!H113</f>
        <v>2463.057902644231</v>
      </c>
      <c r="I18" s="353">
        <f>'VL-CLBD'!F39</f>
        <v>1697.4360000000001</v>
      </c>
      <c r="J18" s="353">
        <f>'TBI-CLBD'!K59</f>
        <v>11928.52</v>
      </c>
      <c r="K18" s="353" t="e">
        <f>#REF!</f>
        <v>#REF!</v>
      </c>
      <c r="L18" s="348" t="e">
        <f>SUM(E18:K18)</f>
        <v>#VALUE!</v>
      </c>
      <c r="M18" s="348" t="e">
        <f>L18*'He so chung'!$D$16/100</f>
        <v>#VALUE!</v>
      </c>
      <c r="N18" s="349" t="e">
        <f>M18+L18</f>
        <v>#VALUE!</v>
      </c>
      <c r="O18" s="354">
        <f>'He so chung'!$D$18*R18</f>
        <v>9582.9807692307695</v>
      </c>
      <c r="P18" s="354">
        <f>'He so chung'!$D$19*R18</f>
        <v>7666.3846153846152</v>
      </c>
      <c r="Q18" s="411">
        <f>'He so chung'!$D$20*R18</f>
        <v>1916.5961538461543</v>
      </c>
      <c r="R18" s="412">
        <f>'NC-CLBD'!F32/100</f>
        <v>1.4340000000000002</v>
      </c>
    </row>
    <row r="19" spans="1:18" s="4" customFormat="1" ht="21" hidden="1" customHeight="1">
      <c r="A19" s="315"/>
      <c r="B19" s="314"/>
      <c r="C19" s="318"/>
      <c r="D19" s="351">
        <v>3</v>
      </c>
      <c r="E19" s="352" t="e">
        <f>'NC-CLBD'!G36/100</f>
        <v>#VALUE!</v>
      </c>
      <c r="F19" s="353">
        <f>'NC-CLBD'!G37/100</f>
        <v>31531.7</v>
      </c>
      <c r="G19" s="353">
        <f>$Q$1*10*P19</f>
        <v>46003.653846153844</v>
      </c>
      <c r="H19" s="353">
        <f>'DCu-CLBD'!H114</f>
        <v>3284.0772035256414</v>
      </c>
      <c r="I19" s="353">
        <f>'VL-CLBD'!F39</f>
        <v>1697.4360000000001</v>
      </c>
      <c r="J19" s="353">
        <f>'TBI-CLBD'!M59</f>
        <v>15909.32</v>
      </c>
      <c r="K19" s="353" t="e">
        <f>#REF!</f>
        <v>#REF!</v>
      </c>
      <c r="L19" s="348" t="e">
        <f>SUM(E19:K19)</f>
        <v>#VALUE!</v>
      </c>
      <c r="M19" s="348" t="e">
        <f>L19*'He so chung'!$D$16/100</f>
        <v>#VALUE!</v>
      </c>
      <c r="N19" s="349" t="e">
        <f>M19+L19</f>
        <v>#VALUE!</v>
      </c>
      <c r="O19" s="354">
        <f>'He so chung'!$D$18*R19</f>
        <v>11500.913461538463</v>
      </c>
      <c r="P19" s="354">
        <f>'He so chung'!$D$19*R19</f>
        <v>9200.7307692307695</v>
      </c>
      <c r="Q19" s="411">
        <f>'He so chung'!$D$20*R19</f>
        <v>2300.1826923076928</v>
      </c>
      <c r="R19" s="412">
        <f>'NC-CLBD'!F36/100</f>
        <v>1.7210000000000003</v>
      </c>
    </row>
    <row r="20" spans="1:18" s="4" customFormat="1" ht="21" hidden="1" customHeight="1">
      <c r="A20" s="315"/>
      <c r="B20" s="314"/>
      <c r="C20" s="318"/>
      <c r="D20" s="351">
        <v>4</v>
      </c>
      <c r="E20" s="352" t="e">
        <f>'NC-CLBD'!G40/100</f>
        <v>#VALUE!</v>
      </c>
      <c r="F20" s="353">
        <f>'NC-CLBD'!G41/100</f>
        <v>37832.800000000003</v>
      </c>
      <c r="G20" s="353">
        <f>$Q$1*10*P20</f>
        <v>55199.038461538454</v>
      </c>
      <c r="H20" s="353">
        <f>'DCu-CLBD'!H115</f>
        <v>3940.8926442307693</v>
      </c>
      <c r="I20" s="353">
        <f>'VL-CLBD'!F39</f>
        <v>1697.4360000000001</v>
      </c>
      <c r="J20" s="353">
        <f>'TBI-CLBD'!O59</f>
        <v>19091.32</v>
      </c>
      <c r="K20" s="353" t="e">
        <f>#REF!</f>
        <v>#REF!</v>
      </c>
      <c r="L20" s="348" t="e">
        <f>SUM(E20:K20)</f>
        <v>#VALUE!</v>
      </c>
      <c r="M20" s="348" t="e">
        <f>L20*'He so chung'!$D$16/100</f>
        <v>#VALUE!</v>
      </c>
      <c r="N20" s="349" t="e">
        <f>M20+L20</f>
        <v>#VALUE!</v>
      </c>
      <c r="O20" s="354">
        <f>'He so chung'!$D$18*R20</f>
        <v>13799.759615384615</v>
      </c>
      <c r="P20" s="354">
        <f>'He so chung'!$D$19*R20</f>
        <v>11039.807692307691</v>
      </c>
      <c r="Q20" s="411">
        <f>'He so chung'!$D$20*R20</f>
        <v>2759.9519230769233</v>
      </c>
      <c r="R20" s="412">
        <f>'NC-CLBD'!F40/100</f>
        <v>2.0649999999999999</v>
      </c>
    </row>
    <row r="21" spans="1:18" s="4" customFormat="1" ht="18" hidden="1" customHeight="1">
      <c r="A21" s="315"/>
      <c r="B21" s="314"/>
      <c r="C21" s="314"/>
      <c r="D21" s="351"/>
      <c r="E21" s="352"/>
      <c r="F21" s="353"/>
      <c r="G21" s="353"/>
      <c r="H21" s="353"/>
      <c r="I21" s="353"/>
      <c r="J21" s="353"/>
      <c r="K21" s="353"/>
      <c r="L21" s="348"/>
      <c r="M21" s="348"/>
      <c r="N21" s="349"/>
      <c r="O21" s="354"/>
      <c r="P21" s="354"/>
      <c r="Q21" s="411"/>
      <c r="R21" s="412"/>
    </row>
    <row r="22" spans="1:18" s="4" customFormat="1" ht="20.25" hidden="1" customHeight="1">
      <c r="A22" s="339" t="s">
        <v>4</v>
      </c>
      <c r="B22" s="340" t="s">
        <v>382</v>
      </c>
      <c r="C22" s="341"/>
      <c r="D22" s="355"/>
      <c r="E22" s="356"/>
      <c r="F22" s="357"/>
      <c r="G22" s="357"/>
      <c r="H22" s="357"/>
      <c r="I22" s="357"/>
      <c r="J22" s="357"/>
      <c r="K22" s="357"/>
      <c r="L22" s="358"/>
      <c r="M22" s="357"/>
      <c r="N22" s="359"/>
      <c r="O22" s="360"/>
      <c r="P22" s="354"/>
      <c r="Q22" s="411"/>
      <c r="R22" s="412"/>
    </row>
    <row r="23" spans="1:18" s="4" customFormat="1" ht="20.25" hidden="1" customHeight="1">
      <c r="A23" s="315" t="s">
        <v>9</v>
      </c>
      <c r="B23" s="314" t="s">
        <v>383</v>
      </c>
      <c r="C23" s="318"/>
      <c r="D23" s="351"/>
      <c r="E23" s="352"/>
      <c r="F23" s="353"/>
      <c r="G23" s="353"/>
      <c r="H23" s="353"/>
      <c r="I23" s="353"/>
      <c r="J23" s="353"/>
      <c r="K23" s="353"/>
      <c r="L23" s="348"/>
      <c r="M23" s="353"/>
      <c r="N23" s="349"/>
      <c r="O23" s="354"/>
      <c r="P23" s="354"/>
      <c r="Q23" s="411"/>
      <c r="R23" s="412"/>
    </row>
    <row r="24" spans="1:18" s="4" customFormat="1" ht="15.75" hidden="1" customHeight="1">
      <c r="A24" s="338"/>
      <c r="B24" s="338"/>
      <c r="C24" s="338"/>
      <c r="D24" s="351"/>
      <c r="E24" s="352"/>
      <c r="F24" s="353"/>
      <c r="G24" s="353"/>
      <c r="H24" s="353"/>
      <c r="I24" s="353"/>
      <c r="J24" s="353"/>
      <c r="K24" s="353"/>
      <c r="L24" s="348"/>
      <c r="M24" s="353"/>
      <c r="N24" s="349"/>
      <c r="O24" s="354"/>
      <c r="P24" s="354"/>
      <c r="Q24" s="411"/>
      <c r="R24" s="412"/>
    </row>
    <row r="25" spans="1:18" s="4" customFormat="1" ht="18" hidden="1" customHeight="1">
      <c r="A25" s="315" t="s">
        <v>10</v>
      </c>
      <c r="B25" s="314" t="s">
        <v>80</v>
      </c>
      <c r="C25" s="318" t="s">
        <v>278</v>
      </c>
      <c r="D25" s="351">
        <v>1</v>
      </c>
      <c r="E25" s="352" t="e">
        <f>'NC-CLBD'!#REF!/100</f>
        <v>#REF!</v>
      </c>
      <c r="F25" s="353"/>
      <c r="G25" s="353" t="e">
        <f>$Q$1*10*P25</f>
        <v>#REF!</v>
      </c>
      <c r="H25" s="353" t="e">
        <f>'DCu-CLBD'!#REF!</f>
        <v>#REF!</v>
      </c>
      <c r="I25" s="353" t="e">
        <f>'VL-CLBD'!#REF!</f>
        <v>#REF!</v>
      </c>
      <c r="J25" s="353" t="e">
        <f>'TBI-CLBD'!#REF!</f>
        <v>#REF!</v>
      </c>
      <c r="K25" s="353" t="e">
        <f>#REF!</f>
        <v>#REF!</v>
      </c>
      <c r="L25" s="348" t="e">
        <f>SUM(E25:K25)</f>
        <v>#REF!</v>
      </c>
      <c r="M25" s="353" t="e">
        <f>L25*'He so chung'!$D$17/100</f>
        <v>#REF!</v>
      </c>
      <c r="N25" s="349" t="e">
        <f>M25+L25</f>
        <v>#REF!</v>
      </c>
      <c r="O25" s="354" t="e">
        <f>'He so chung'!$D$21*R25</f>
        <v>#REF!</v>
      </c>
      <c r="P25" s="354" t="e">
        <f>'He so chung'!$D$22*R25</f>
        <v>#REF!</v>
      </c>
      <c r="Q25" s="411" t="e">
        <f>'He so chung'!$D$23*R25</f>
        <v>#REF!</v>
      </c>
      <c r="R25" s="412" t="e">
        <f>'NC-CLBD'!#REF!/100</f>
        <v>#REF!</v>
      </c>
    </row>
    <row r="26" spans="1:18" s="4" customFormat="1" ht="18" hidden="1" customHeight="1">
      <c r="A26" s="315"/>
      <c r="B26" s="314"/>
      <c r="C26" s="318"/>
      <c r="D26" s="351">
        <v>2</v>
      </c>
      <c r="E26" s="352" t="e">
        <f>'NC-CLBD'!#REF!/100</f>
        <v>#REF!</v>
      </c>
      <c r="F26" s="353"/>
      <c r="G26" s="353" t="e">
        <f>$Q$1*10*P26</f>
        <v>#REF!</v>
      </c>
      <c r="H26" s="353" t="e">
        <f>'DCu-CLBD'!#REF!</f>
        <v>#REF!</v>
      </c>
      <c r="I26" s="353" t="e">
        <f>'VL-CLBD'!#REF!</f>
        <v>#REF!</v>
      </c>
      <c r="J26" s="353" t="e">
        <f>'TBI-CLBD'!#REF!</f>
        <v>#REF!</v>
      </c>
      <c r="K26" s="353" t="e">
        <f>#REF!</f>
        <v>#REF!</v>
      </c>
      <c r="L26" s="348" t="e">
        <f>SUM(E26:K26)</f>
        <v>#REF!</v>
      </c>
      <c r="M26" s="353" t="e">
        <f>L26*'He so chung'!$D$17/100</f>
        <v>#REF!</v>
      </c>
      <c r="N26" s="349" t="e">
        <f>M26+L26</f>
        <v>#REF!</v>
      </c>
      <c r="O26" s="354" t="e">
        <f>'He so chung'!$D$21*R26</f>
        <v>#REF!</v>
      </c>
      <c r="P26" s="354" t="e">
        <f>'He so chung'!$D$22*R26</f>
        <v>#REF!</v>
      </c>
      <c r="Q26" s="411" t="e">
        <f>'He so chung'!$D$23*R26</f>
        <v>#REF!</v>
      </c>
      <c r="R26" s="412" t="e">
        <f>'NC-CLBD'!#REF!/100</f>
        <v>#REF!</v>
      </c>
    </row>
    <row r="27" spans="1:18" s="4" customFormat="1" ht="18" hidden="1" customHeight="1">
      <c r="A27" s="315"/>
      <c r="B27" s="314"/>
      <c r="C27" s="318"/>
      <c r="D27" s="351">
        <v>3</v>
      </c>
      <c r="E27" s="352" t="e">
        <f>'NC-CLBD'!#REF!/100</f>
        <v>#REF!</v>
      </c>
      <c r="F27" s="353"/>
      <c r="G27" s="353" t="e">
        <f>$Q$1*10*P27</f>
        <v>#REF!</v>
      </c>
      <c r="H27" s="353" t="e">
        <f>'DCu-CLBD'!#REF!</f>
        <v>#REF!</v>
      </c>
      <c r="I27" s="353" t="e">
        <f>'VL-CLBD'!#REF!</f>
        <v>#REF!</v>
      </c>
      <c r="J27" s="353" t="e">
        <f>'TBI-CLBD'!#REF!</f>
        <v>#REF!</v>
      </c>
      <c r="K27" s="353" t="e">
        <f>#REF!</f>
        <v>#REF!</v>
      </c>
      <c r="L27" s="348" t="e">
        <f>SUM(E27:K27)</f>
        <v>#REF!</v>
      </c>
      <c r="M27" s="353" t="e">
        <f>L27*'He so chung'!$D$17/100</f>
        <v>#REF!</v>
      </c>
      <c r="N27" s="349" t="e">
        <f>M27+L27</f>
        <v>#REF!</v>
      </c>
      <c r="O27" s="354" t="e">
        <f>'He so chung'!$D$21*R27</f>
        <v>#REF!</v>
      </c>
      <c r="P27" s="354" t="e">
        <f>'He so chung'!$D$22*R27</f>
        <v>#REF!</v>
      </c>
      <c r="Q27" s="411" t="e">
        <f>'He so chung'!$D$23*R27</f>
        <v>#REF!</v>
      </c>
      <c r="R27" s="412" t="e">
        <f>'NC-CLBD'!#REF!/100</f>
        <v>#REF!</v>
      </c>
    </row>
    <row r="28" spans="1:18" s="4" customFormat="1" ht="19.5" hidden="1" customHeight="1">
      <c r="A28" s="315"/>
      <c r="B28" s="314"/>
      <c r="C28" s="318"/>
      <c r="D28" s="351">
        <v>4</v>
      </c>
      <c r="E28" s="352" t="e">
        <f>'NC-CLBD'!#REF!/100</f>
        <v>#REF!</v>
      </c>
      <c r="F28" s="353"/>
      <c r="G28" s="353" t="e">
        <f>$Q$1*10*P28</f>
        <v>#REF!</v>
      </c>
      <c r="H28" s="353" t="e">
        <f>'DCu-CLBD'!#REF!</f>
        <v>#REF!</v>
      </c>
      <c r="I28" s="353" t="e">
        <f>'VL-CLBD'!#REF!</f>
        <v>#REF!</v>
      </c>
      <c r="J28" s="353" t="e">
        <f>'TBI-CLBD'!#REF!</f>
        <v>#REF!</v>
      </c>
      <c r="K28" s="353" t="e">
        <f>#REF!</f>
        <v>#REF!</v>
      </c>
      <c r="L28" s="348" t="e">
        <f>SUM(E28:K28)</f>
        <v>#REF!</v>
      </c>
      <c r="M28" s="353" t="e">
        <f>L28*'He so chung'!$D$17/100</f>
        <v>#REF!</v>
      </c>
      <c r="N28" s="349" t="e">
        <f>M28+L28</f>
        <v>#REF!</v>
      </c>
      <c r="O28" s="354" t="e">
        <f>'He so chung'!$D$21*R28</f>
        <v>#REF!</v>
      </c>
      <c r="P28" s="354" t="e">
        <f>'He so chung'!$D$22*R28</f>
        <v>#REF!</v>
      </c>
      <c r="Q28" s="411" t="e">
        <f>'He so chung'!$D$23*R28</f>
        <v>#REF!</v>
      </c>
      <c r="R28" s="412" t="e">
        <f>'NC-CLBD'!#REF!/100</f>
        <v>#REF!</v>
      </c>
    </row>
    <row r="29" spans="1:18" s="4" customFormat="1" ht="16.5" hidden="1" customHeight="1">
      <c r="A29" s="317"/>
      <c r="B29" s="317"/>
      <c r="C29" s="317"/>
      <c r="D29" s="361"/>
      <c r="E29" s="362"/>
      <c r="F29" s="363"/>
      <c r="G29" s="353"/>
      <c r="H29" s="363"/>
      <c r="I29" s="363"/>
      <c r="J29" s="363"/>
      <c r="K29" s="363"/>
      <c r="L29" s="364"/>
      <c r="M29" s="353"/>
      <c r="N29" s="365"/>
      <c r="O29" s="354"/>
      <c r="P29" s="354"/>
      <c r="Q29" s="411"/>
      <c r="R29" s="412"/>
    </row>
    <row r="30" spans="1:18" s="4" customFormat="1" ht="19.5" hidden="1" customHeight="1">
      <c r="A30" s="315" t="s">
        <v>11</v>
      </c>
      <c r="B30" s="402" t="s">
        <v>392</v>
      </c>
      <c r="C30" s="318" t="s">
        <v>278</v>
      </c>
      <c r="D30" s="351" t="s">
        <v>15</v>
      </c>
      <c r="E30" s="353" t="e">
        <f>'NC-CLBD'!#REF!/100</f>
        <v>#REF!</v>
      </c>
      <c r="F30" s="353"/>
      <c r="G30" s="353" t="e">
        <f>$Q$1*10*P30</f>
        <v>#REF!</v>
      </c>
      <c r="H30" s="353"/>
      <c r="I30" s="353"/>
      <c r="J30" s="353"/>
      <c r="K30" s="353"/>
      <c r="L30" s="348" t="e">
        <f>SUM(E30:K30)</f>
        <v>#REF!</v>
      </c>
      <c r="M30" s="353" t="e">
        <f>L30*'He so chung'!$D$17/100</f>
        <v>#REF!</v>
      </c>
      <c r="N30" s="349" t="e">
        <f>M30+L30</f>
        <v>#REF!</v>
      </c>
      <c r="O30" s="354" t="e">
        <f>'He so chung'!$D$21*R30</f>
        <v>#REF!</v>
      </c>
      <c r="P30" s="354" t="e">
        <f>'He so chung'!$D$22*R30</f>
        <v>#REF!</v>
      </c>
      <c r="Q30" s="411" t="e">
        <f>'He so chung'!$D$23*R30</f>
        <v>#REF!</v>
      </c>
      <c r="R30" s="412" t="e">
        <f>'NC-CLBD'!#REF!/100</f>
        <v>#REF!</v>
      </c>
    </row>
    <row r="31" spans="1:18" s="4" customFormat="1" ht="19.5" hidden="1" customHeight="1">
      <c r="A31" s="403"/>
      <c r="B31" s="436" t="s">
        <v>393</v>
      </c>
      <c r="C31" s="404"/>
      <c r="D31" s="377"/>
      <c r="E31" s="379"/>
      <c r="F31" s="379"/>
      <c r="G31" s="379"/>
      <c r="H31" s="379"/>
      <c r="I31" s="379"/>
      <c r="J31" s="379"/>
      <c r="K31" s="379"/>
      <c r="L31" s="380"/>
      <c r="M31" s="379"/>
      <c r="N31" s="381"/>
      <c r="O31" s="382"/>
      <c r="P31" s="354"/>
      <c r="Q31" s="411"/>
      <c r="R31" s="412"/>
    </row>
    <row r="32" spans="1:18" s="4" customFormat="1" ht="18" hidden="1" customHeight="1">
      <c r="A32" s="79"/>
      <c r="B32" s="79"/>
      <c r="C32" s="79"/>
      <c r="D32" s="413"/>
      <c r="E32" s="414"/>
      <c r="F32" s="414"/>
      <c r="G32" s="414"/>
      <c r="H32" s="414"/>
      <c r="I32" s="414"/>
      <c r="J32" s="414"/>
      <c r="K32" s="414"/>
      <c r="L32" s="415"/>
      <c r="M32" s="414"/>
      <c r="N32" s="416"/>
      <c r="O32" s="417"/>
      <c r="P32" s="354"/>
      <c r="Q32" s="411"/>
      <c r="R32" s="412"/>
    </row>
    <row r="33" spans="1:18" s="4" customFormat="1" ht="16.5" hidden="1" customHeight="1">
      <c r="A33" s="117"/>
      <c r="B33" s="117"/>
      <c r="C33" s="117"/>
      <c r="D33" s="372"/>
      <c r="E33" s="373"/>
      <c r="F33" s="373"/>
      <c r="G33" s="373"/>
      <c r="H33" s="373"/>
      <c r="I33" s="373"/>
      <c r="J33" s="373"/>
      <c r="K33" s="373"/>
      <c r="L33" s="374"/>
      <c r="M33" s="373"/>
      <c r="N33" s="375"/>
      <c r="O33" s="376"/>
      <c r="P33" s="354"/>
      <c r="Q33" s="411"/>
      <c r="R33" s="412"/>
    </row>
    <row r="34" spans="1:18" s="4" customFormat="1" ht="20.25" hidden="1" customHeight="1">
      <c r="A34" s="970" t="s">
        <v>376</v>
      </c>
      <c r="B34" s="972" t="s">
        <v>377</v>
      </c>
      <c r="C34" s="974" t="s">
        <v>378</v>
      </c>
      <c r="D34" s="970" t="s">
        <v>91</v>
      </c>
      <c r="E34" s="964" t="s">
        <v>368</v>
      </c>
      <c r="F34" s="965"/>
      <c r="G34" s="965"/>
      <c r="H34" s="965"/>
      <c r="I34" s="965"/>
      <c r="J34" s="965"/>
      <c r="K34" s="965"/>
      <c r="L34" s="966"/>
      <c r="M34" s="324" t="s">
        <v>63</v>
      </c>
      <c r="N34" s="974" t="s">
        <v>379</v>
      </c>
      <c r="O34" s="323" t="s">
        <v>18</v>
      </c>
      <c r="P34" s="104" t="s">
        <v>19</v>
      </c>
      <c r="Q34" s="57" t="s">
        <v>19</v>
      </c>
      <c r="R34" s="58" t="s">
        <v>16</v>
      </c>
    </row>
    <row r="35" spans="1:18" s="4" customFormat="1" ht="20.25" hidden="1" customHeight="1">
      <c r="A35" s="971"/>
      <c r="B35" s="973"/>
      <c r="C35" s="975"/>
      <c r="D35" s="971"/>
      <c r="E35" s="327" t="s">
        <v>369</v>
      </c>
      <c r="F35" s="326" t="s">
        <v>370</v>
      </c>
      <c r="G35" s="328">
        <v>0</v>
      </c>
      <c r="H35" s="326" t="s">
        <v>257</v>
      </c>
      <c r="I35" s="326" t="s">
        <v>280</v>
      </c>
      <c r="J35" s="326" t="s">
        <v>261</v>
      </c>
      <c r="K35" s="326" t="s">
        <v>371</v>
      </c>
      <c r="L35" s="326" t="s">
        <v>372</v>
      </c>
      <c r="M35" s="326" t="s">
        <v>48</v>
      </c>
      <c r="N35" s="975"/>
      <c r="O35" s="325" t="s">
        <v>20</v>
      </c>
      <c r="P35" s="105" t="s">
        <v>21</v>
      </c>
      <c r="Q35" s="59" t="s">
        <v>22</v>
      </c>
      <c r="R35" s="60" t="s">
        <v>17</v>
      </c>
    </row>
    <row r="36" spans="1:18" s="4" customFormat="1" ht="17.25" hidden="1" customHeight="1">
      <c r="A36" s="329" t="s">
        <v>52</v>
      </c>
      <c r="B36" s="330" t="s">
        <v>53</v>
      </c>
      <c r="C36" s="330" t="s">
        <v>54</v>
      </c>
      <c r="D36" s="331" t="s">
        <v>55</v>
      </c>
      <c r="E36" s="332" t="s">
        <v>56</v>
      </c>
      <c r="F36" s="332" t="s">
        <v>57</v>
      </c>
      <c r="G36" s="332"/>
      <c r="H36" s="332" t="s">
        <v>58</v>
      </c>
      <c r="I36" s="332" t="s">
        <v>59</v>
      </c>
      <c r="J36" s="332" t="s">
        <v>60</v>
      </c>
      <c r="K36" s="332" t="s">
        <v>61</v>
      </c>
      <c r="L36" s="333" t="s">
        <v>373</v>
      </c>
      <c r="M36" s="333" t="s">
        <v>374</v>
      </c>
      <c r="N36" s="334" t="s">
        <v>375</v>
      </c>
      <c r="O36" s="332" t="s">
        <v>62</v>
      </c>
      <c r="P36" s="48"/>
      <c r="Q36" s="48"/>
      <c r="R36" s="49"/>
    </row>
    <row r="37" spans="1:18" s="4" customFormat="1" ht="22.5" hidden="1" customHeight="1">
      <c r="A37" s="315" t="s">
        <v>12</v>
      </c>
      <c r="B37" s="314" t="s">
        <v>81</v>
      </c>
      <c r="C37" s="318" t="s">
        <v>278</v>
      </c>
      <c r="D37" s="351" t="s">
        <v>9</v>
      </c>
      <c r="E37" s="352" t="e">
        <f>'NC-CLBD'!G54/100</f>
        <v>#VALUE!</v>
      </c>
      <c r="F37" s="353"/>
      <c r="G37" s="353">
        <f>$Q$1*10*P37</f>
        <v>2737.2307692307691</v>
      </c>
      <c r="H37" s="353">
        <f>'DCu-CLBD'!H156</f>
        <v>253.24180086153845</v>
      </c>
      <c r="I37" s="353">
        <f>'VL-CLBD'!F71</f>
        <v>5611.8959999999997</v>
      </c>
      <c r="J37" s="353">
        <f>'TBI-CLBD'!I110</f>
        <v>246.58799999999999</v>
      </c>
      <c r="K37" s="353" t="e">
        <f>#REF!</f>
        <v>#REF!</v>
      </c>
      <c r="L37" s="348" t="e">
        <f>SUM(E37:K37)</f>
        <v>#VALUE!</v>
      </c>
      <c r="M37" s="353" t="e">
        <f>L37*'He so chung'!$D$17/100</f>
        <v>#VALUE!</v>
      </c>
      <c r="N37" s="349" t="e">
        <f>M37+L37</f>
        <v>#VALUE!</v>
      </c>
      <c r="O37" s="354">
        <f>'He so chung'!$D$21*R37</f>
        <v>629.56307692307689</v>
      </c>
      <c r="P37" s="354">
        <f>'He so chung'!$D$22*R37</f>
        <v>547.44615384615383</v>
      </c>
      <c r="Q37" s="411">
        <f>'He so chung'!$D$23*R37</f>
        <v>82.116923076923072</v>
      </c>
      <c r="R37" s="412">
        <f>'NC-CLBD'!F54/100</f>
        <v>0.1024</v>
      </c>
    </row>
    <row r="38" spans="1:18" s="4" customFormat="1" ht="22.5" hidden="1" customHeight="1">
      <c r="A38" s="315"/>
      <c r="B38" s="314"/>
      <c r="C38" s="318"/>
      <c r="D38" s="351" t="s">
        <v>10</v>
      </c>
      <c r="E38" s="352" t="e">
        <f>'NC-CLBD'!G56/100</f>
        <v>#VALUE!</v>
      </c>
      <c r="F38" s="353"/>
      <c r="G38" s="353">
        <f>$Q$1*10*P38</f>
        <v>3282.538461538461</v>
      </c>
      <c r="H38" s="353">
        <f>'DCu-CLBD'!H157</f>
        <v>316.55225107692308</v>
      </c>
      <c r="I38" s="353">
        <f>'VL-CLBD'!F71</f>
        <v>5611.8959999999997</v>
      </c>
      <c r="J38" s="353">
        <f>'TBI-CLBD'!K110</f>
        <v>277.67959999999994</v>
      </c>
      <c r="K38" s="353" t="e">
        <f>#REF!</f>
        <v>#REF!</v>
      </c>
      <c r="L38" s="348" t="e">
        <f>SUM(E38:K38)</f>
        <v>#VALUE!</v>
      </c>
      <c r="M38" s="353" t="e">
        <f>L38*'He so chung'!$D$17/100</f>
        <v>#VALUE!</v>
      </c>
      <c r="N38" s="349" t="e">
        <f>M38+L38</f>
        <v>#VALUE!</v>
      </c>
      <c r="O38" s="354">
        <f>'He so chung'!$D$21*R38</f>
        <v>754.98384615384612</v>
      </c>
      <c r="P38" s="354">
        <f>'He so chung'!$D$22*R38</f>
        <v>656.5076923076922</v>
      </c>
      <c r="Q38" s="411">
        <f>'He so chung'!$D$23*R38</f>
        <v>98.476153846153835</v>
      </c>
      <c r="R38" s="412">
        <f>'NC-CLBD'!F56/100</f>
        <v>0.12279999999999999</v>
      </c>
    </row>
    <row r="39" spans="1:18" s="4" customFormat="1" ht="22.5" hidden="1" customHeight="1">
      <c r="A39" s="315"/>
      <c r="B39" s="314"/>
      <c r="C39" s="318"/>
      <c r="D39" s="351" t="s">
        <v>11</v>
      </c>
      <c r="E39" s="352" t="e">
        <f>'NC-CLBD'!G58/100</f>
        <v>#VALUE!</v>
      </c>
      <c r="F39" s="353"/>
      <c r="G39" s="353">
        <f>$Q$1*10*P39</f>
        <v>3827.8461538461534</v>
      </c>
      <c r="H39" s="353">
        <f>'DCu-CLBD'!H158</f>
        <v>422.06966810256409</v>
      </c>
      <c r="I39" s="353">
        <f>'VL-CLBD'!F71</f>
        <v>5611.8959999999997</v>
      </c>
      <c r="J39" s="353">
        <f>'TBI-CLBD'!M110</f>
        <v>329.99279999999999</v>
      </c>
      <c r="K39" s="353" t="e">
        <f>#REF!</f>
        <v>#REF!</v>
      </c>
      <c r="L39" s="348" t="e">
        <f>SUM(E39:K39)</f>
        <v>#VALUE!</v>
      </c>
      <c r="M39" s="353" t="e">
        <f>L39*'He so chung'!$D$17/100</f>
        <v>#VALUE!</v>
      </c>
      <c r="N39" s="349" t="e">
        <f>M39+L39</f>
        <v>#VALUE!</v>
      </c>
      <c r="O39" s="354">
        <f>'He so chung'!$D$21*R39</f>
        <v>880.40461538461534</v>
      </c>
      <c r="P39" s="354">
        <f>'He so chung'!$D$22*R39</f>
        <v>765.56923076923067</v>
      </c>
      <c r="Q39" s="411">
        <f>'He so chung'!$D$23*R39</f>
        <v>114.83538461538461</v>
      </c>
      <c r="R39" s="412">
        <f>'NC-CLBD'!F58/100</f>
        <v>0.14319999999999999</v>
      </c>
    </row>
    <row r="40" spans="1:18" s="4" customFormat="1" ht="22.5" hidden="1" customHeight="1">
      <c r="A40" s="315"/>
      <c r="B40" s="314"/>
      <c r="C40" s="318"/>
      <c r="D40" s="351" t="s">
        <v>12</v>
      </c>
      <c r="E40" s="352" t="e">
        <f>'NC-CLBD'!G60/100</f>
        <v>#VALUE!</v>
      </c>
      <c r="F40" s="353"/>
      <c r="G40" s="353">
        <f>$Q$1*10*P40</f>
        <v>4383.8461538461534</v>
      </c>
      <c r="H40" s="353">
        <f>'DCu-CLBD'!H159</f>
        <v>506.4836017230769</v>
      </c>
      <c r="I40" s="353">
        <f>'VL-CLBD'!F71</f>
        <v>5611.8959999999997</v>
      </c>
      <c r="J40" s="353">
        <f>'TBI-CLBD'!O110</f>
        <v>371.25599999999997</v>
      </c>
      <c r="K40" s="353" t="e">
        <f>#REF!</f>
        <v>#REF!</v>
      </c>
      <c r="L40" s="348" t="e">
        <f>SUM(E40:K40)</f>
        <v>#VALUE!</v>
      </c>
      <c r="M40" s="353" t="e">
        <f>L40*'He so chung'!$D$17/100</f>
        <v>#VALUE!</v>
      </c>
      <c r="N40" s="349" t="e">
        <f>M40+L40</f>
        <v>#VALUE!</v>
      </c>
      <c r="O40" s="354">
        <f>'He so chung'!$D$21*R40</f>
        <v>1008.2846153846152</v>
      </c>
      <c r="P40" s="354">
        <f>'He so chung'!$D$22*R40</f>
        <v>876.7692307692306</v>
      </c>
      <c r="Q40" s="411">
        <f>'He so chung'!$D$23*R40</f>
        <v>131.51538461538459</v>
      </c>
      <c r="R40" s="412">
        <f>'NC-CLBD'!F60/100</f>
        <v>0.16399999999999998</v>
      </c>
    </row>
    <row r="41" spans="1:18" s="4" customFormat="1" ht="18.75" hidden="1" customHeight="1">
      <c r="A41" s="315"/>
      <c r="B41" s="314"/>
      <c r="C41" s="318"/>
      <c r="D41" s="351"/>
      <c r="E41" s="352"/>
      <c r="F41" s="353"/>
      <c r="G41" s="353"/>
      <c r="H41" s="353"/>
      <c r="I41" s="353"/>
      <c r="J41" s="353"/>
      <c r="K41" s="353"/>
      <c r="L41" s="348"/>
      <c r="M41" s="353"/>
      <c r="N41" s="349"/>
      <c r="O41" s="354"/>
      <c r="P41" s="354"/>
      <c r="Q41" s="411"/>
      <c r="R41" s="412"/>
    </row>
    <row r="42" spans="1:18" s="4" customFormat="1" ht="20.25" hidden="1" customHeight="1">
      <c r="A42" s="315" t="s">
        <v>13</v>
      </c>
      <c r="B42" s="314" t="s">
        <v>384</v>
      </c>
      <c r="C42" s="318" t="s">
        <v>278</v>
      </c>
      <c r="D42" s="351" t="s">
        <v>15</v>
      </c>
      <c r="E42" s="352" t="e">
        <f>'NC-CLBD'!G64/100</f>
        <v>#VALUE!</v>
      </c>
      <c r="F42" s="353"/>
      <c r="G42" s="353">
        <f>$Q$1*10*P42</f>
        <v>801.92307692307679</v>
      </c>
      <c r="H42" s="353"/>
      <c r="I42" s="353"/>
      <c r="J42" s="353"/>
      <c r="K42" s="353"/>
      <c r="L42" s="348" t="e">
        <f>SUM(E42:K42)</f>
        <v>#VALUE!</v>
      </c>
      <c r="M42" s="353" t="e">
        <f>L42*'He so chung'!$D$17/100</f>
        <v>#VALUE!</v>
      </c>
      <c r="N42" s="349" t="e">
        <f>M42+L42</f>
        <v>#VALUE!</v>
      </c>
      <c r="O42" s="354">
        <f>'He so chung'!$D$21*R42</f>
        <v>184.44230769230768</v>
      </c>
      <c r="P42" s="354">
        <f>'He so chung'!$D$22*R42</f>
        <v>160.38461538461536</v>
      </c>
      <c r="Q42" s="411">
        <f>'He so chung'!$D$23*R42</f>
        <v>24.057692307692307</v>
      </c>
      <c r="R42" s="412">
        <f>'NC-CLBD'!F64/100</f>
        <v>0.03</v>
      </c>
    </row>
    <row r="43" spans="1:18" s="4" customFormat="1" ht="20.25" hidden="1" customHeight="1">
      <c r="A43" s="315"/>
      <c r="B43" s="314" t="s">
        <v>385</v>
      </c>
      <c r="C43" s="318"/>
      <c r="D43" s="351"/>
      <c r="E43" s="352"/>
      <c r="F43" s="353"/>
      <c r="G43" s="353"/>
      <c r="H43" s="353"/>
      <c r="I43" s="353"/>
      <c r="J43" s="353"/>
      <c r="K43" s="353"/>
      <c r="L43" s="348"/>
      <c r="M43" s="353"/>
      <c r="N43" s="349"/>
      <c r="O43" s="354"/>
      <c r="P43" s="354"/>
      <c r="Q43" s="411"/>
      <c r="R43" s="412"/>
    </row>
    <row r="44" spans="1:18" s="4" customFormat="1" ht="20.25" hidden="1" customHeight="1">
      <c r="A44" s="315"/>
      <c r="B44" s="314"/>
      <c r="C44" s="318"/>
      <c r="D44" s="351"/>
      <c r="E44" s="352"/>
      <c r="F44" s="353"/>
      <c r="G44" s="353"/>
      <c r="H44" s="353"/>
      <c r="I44" s="353"/>
      <c r="J44" s="353"/>
      <c r="K44" s="353"/>
      <c r="L44" s="348"/>
      <c r="M44" s="353"/>
      <c r="N44" s="349"/>
      <c r="O44" s="354"/>
      <c r="P44" s="354"/>
      <c r="Q44" s="411"/>
      <c r="R44" s="412"/>
    </row>
    <row r="45" spans="1:18" s="4" customFormat="1" ht="20.25" hidden="1" customHeight="1">
      <c r="A45" s="315" t="s">
        <v>14</v>
      </c>
      <c r="B45" s="314" t="s">
        <v>363</v>
      </c>
      <c r="C45" s="318" t="s">
        <v>278</v>
      </c>
      <c r="D45" s="351" t="s">
        <v>15</v>
      </c>
      <c r="E45" s="352" t="e">
        <f>'NC-CLBD'!G67/100</f>
        <v>#VALUE!</v>
      </c>
      <c r="F45" s="353"/>
      <c r="G45" s="353">
        <f>$Q$1*10*P45</f>
        <v>695</v>
      </c>
      <c r="H45" s="353">
        <f>'DCu-CLBD'!H186</f>
        <v>184.59746666666666</v>
      </c>
      <c r="I45" s="353">
        <f>'VL-CLBD'!F92</f>
        <v>1232.28</v>
      </c>
      <c r="J45" s="353">
        <f>'TBI-CLBD'!I155</f>
        <v>105.78</v>
      </c>
      <c r="K45" s="353" t="e">
        <f>#REF!</f>
        <v>#REF!</v>
      </c>
      <c r="L45" s="348" t="e">
        <f>SUM(E45:K45)</f>
        <v>#VALUE!</v>
      </c>
      <c r="M45" s="353" t="e">
        <f>L45*'He so chung'!$D$17/100</f>
        <v>#VALUE!</v>
      </c>
      <c r="N45" s="349" t="e">
        <f>M45+L45</f>
        <v>#VALUE!</v>
      </c>
      <c r="O45" s="354">
        <f>'He so chung'!$D$21*R45</f>
        <v>159.85000000000002</v>
      </c>
      <c r="P45" s="354">
        <f>'He so chung'!$D$22*R45</f>
        <v>139</v>
      </c>
      <c r="Q45" s="411">
        <f>'He so chung'!$D$23*R45</f>
        <v>20.85</v>
      </c>
      <c r="R45" s="412">
        <f>'NC-CLBD'!F67/100</f>
        <v>2.6000000000000002E-2</v>
      </c>
    </row>
    <row r="46" spans="1:18" s="4" customFormat="1" ht="20.25" hidden="1" customHeight="1">
      <c r="A46" s="316"/>
      <c r="B46" s="317"/>
      <c r="C46" s="121"/>
      <c r="D46" s="361"/>
      <c r="E46" s="362"/>
      <c r="F46" s="363"/>
      <c r="G46" s="353"/>
      <c r="H46" s="363"/>
      <c r="I46" s="363"/>
      <c r="J46" s="363"/>
      <c r="K46" s="363"/>
      <c r="L46" s="348"/>
      <c r="M46" s="353"/>
      <c r="N46" s="349"/>
      <c r="O46" s="354"/>
      <c r="P46" s="354"/>
      <c r="Q46" s="411"/>
      <c r="R46" s="425"/>
    </row>
    <row r="47" spans="1:18" s="4" customFormat="1" ht="20.25" hidden="1" customHeight="1">
      <c r="A47" s="315" t="s">
        <v>85</v>
      </c>
      <c r="B47" s="314" t="s">
        <v>364</v>
      </c>
      <c r="C47" s="318" t="s">
        <v>1</v>
      </c>
      <c r="D47" s="351" t="s">
        <v>15</v>
      </c>
      <c r="E47" s="362" t="e">
        <f>'NC-CLBD'!G69</f>
        <v>#VALUE!</v>
      </c>
      <c r="F47" s="363"/>
      <c r="G47" s="353">
        <f>$Q$1*10*P47</f>
        <v>13632.692307692307</v>
      </c>
      <c r="H47" s="363">
        <f>'DCu-CLBD'!H209*70%</f>
        <v>3455.0592596153847</v>
      </c>
      <c r="I47" s="363">
        <f>'VL-CLBD'!F112*70%</f>
        <v>130561.2</v>
      </c>
      <c r="J47" s="363">
        <f>'TBI-CLBD'!I168*70%</f>
        <v>2199.3999999999996</v>
      </c>
      <c r="K47" s="363" t="e">
        <f>#REF!*70%</f>
        <v>#REF!</v>
      </c>
      <c r="L47" s="348" t="e">
        <f>SUM(E47:K47)</f>
        <v>#VALUE!</v>
      </c>
      <c r="M47" s="353" t="e">
        <f>L47*'He so chung'!$D$17/100</f>
        <v>#VALUE!</v>
      </c>
      <c r="N47" s="349" t="e">
        <f>M47+L47</f>
        <v>#VALUE!</v>
      </c>
      <c r="O47" s="354">
        <f>'He so chung'!$D$21*R47</f>
        <v>3135.5192307692305</v>
      </c>
      <c r="P47" s="354">
        <f>'He so chung'!$D$22*R47</f>
        <v>2726.5384615384614</v>
      </c>
      <c r="Q47" s="411">
        <f>'He so chung'!$D$23*R47</f>
        <v>408.98076923076923</v>
      </c>
      <c r="R47" s="425">
        <f>'NC-CLBD'!F69</f>
        <v>0.51</v>
      </c>
    </row>
    <row r="48" spans="1:18" s="4" customFormat="1" ht="20.25" hidden="1" customHeight="1">
      <c r="A48" s="102"/>
      <c r="B48" s="103"/>
      <c r="C48" s="121"/>
      <c r="D48" s="361"/>
      <c r="E48" s="362"/>
      <c r="F48" s="363"/>
      <c r="G48" s="353"/>
      <c r="H48" s="363"/>
      <c r="I48" s="363"/>
      <c r="J48" s="363"/>
      <c r="K48" s="363"/>
      <c r="L48" s="348"/>
      <c r="M48" s="353"/>
      <c r="N48" s="349"/>
      <c r="O48" s="354"/>
      <c r="P48" s="354"/>
      <c r="Q48" s="411"/>
      <c r="R48" s="425"/>
    </row>
    <row r="49" spans="1:18" s="4" customFormat="1" ht="20.25" hidden="1" customHeight="1">
      <c r="A49" s="315" t="s">
        <v>87</v>
      </c>
      <c r="B49" s="314" t="s">
        <v>365</v>
      </c>
      <c r="C49" s="318" t="s">
        <v>1</v>
      </c>
      <c r="D49" s="351" t="s">
        <v>15</v>
      </c>
      <c r="E49" s="362" t="e">
        <f>'NC-CLBD'!G71</f>
        <v>#VALUE!</v>
      </c>
      <c r="F49" s="363"/>
      <c r="G49" s="353">
        <f>$Q$1*10*P49</f>
        <v>10692.307692307693</v>
      </c>
      <c r="H49" s="363">
        <f>'DCu-CLBD'!H209*15%</f>
        <v>740.36984134615386</v>
      </c>
      <c r="I49" s="363">
        <f>'VL-CLBD'!F112*15%</f>
        <v>27977.399999999998</v>
      </c>
      <c r="J49" s="363">
        <f>'TBI-CLBD'!I168*15%</f>
        <v>471.29999999999995</v>
      </c>
      <c r="K49" s="363" t="e">
        <f>#REF!*15%</f>
        <v>#REF!</v>
      </c>
      <c r="L49" s="348" t="e">
        <f>SUM(E49:K49)</f>
        <v>#VALUE!</v>
      </c>
      <c r="M49" s="353" t="e">
        <f>L49*'He so chung'!$D$17/100</f>
        <v>#VALUE!</v>
      </c>
      <c r="N49" s="349" t="e">
        <f>M49+L49</f>
        <v>#VALUE!</v>
      </c>
      <c r="O49" s="354">
        <f>'He so chung'!$D$21*R49</f>
        <v>2459.2307692307695</v>
      </c>
      <c r="P49" s="354">
        <f>'He so chung'!$D$22*R49</f>
        <v>2138.4615384615386</v>
      </c>
      <c r="Q49" s="411">
        <f>'He so chung'!$D$23*R49</f>
        <v>320.76923076923077</v>
      </c>
      <c r="R49" s="425">
        <f>'NC-CLBD'!F71</f>
        <v>0.4</v>
      </c>
    </row>
    <row r="50" spans="1:18" s="4" customFormat="1" ht="20.25" hidden="1" customHeight="1">
      <c r="A50" s="316"/>
      <c r="B50" s="317"/>
      <c r="C50" s="121"/>
      <c r="D50" s="361"/>
      <c r="E50" s="362"/>
      <c r="F50" s="363"/>
      <c r="G50" s="353"/>
      <c r="H50" s="363"/>
      <c r="I50" s="363"/>
      <c r="J50" s="363"/>
      <c r="K50" s="363"/>
      <c r="L50" s="348"/>
      <c r="M50" s="353"/>
      <c r="N50" s="349"/>
      <c r="O50" s="354"/>
      <c r="P50" s="354"/>
      <c r="Q50" s="411"/>
      <c r="R50" s="425"/>
    </row>
    <row r="51" spans="1:18" s="4" customFormat="1" ht="20.25" hidden="1" customHeight="1">
      <c r="A51" s="316" t="s">
        <v>88</v>
      </c>
      <c r="B51" s="317" t="s">
        <v>366</v>
      </c>
      <c r="C51" s="405" t="s">
        <v>1</v>
      </c>
      <c r="D51" s="361" t="s">
        <v>15</v>
      </c>
      <c r="E51" s="362" t="e">
        <f>'NC-CLBD'!G73</f>
        <v>#VALUE!</v>
      </c>
      <c r="F51" s="363"/>
      <c r="G51" s="353">
        <f>$Q$1*10*P51</f>
        <v>5346.1538461538466</v>
      </c>
      <c r="H51" s="363">
        <f>'DCu-CLBD'!H209*15%</f>
        <v>740.36984134615386</v>
      </c>
      <c r="I51" s="363">
        <f>'VL-CLBD'!F112*15%</f>
        <v>27977.399999999998</v>
      </c>
      <c r="J51" s="363">
        <f>'TBI-CLBD'!I168*15%</f>
        <v>471.29999999999995</v>
      </c>
      <c r="K51" s="363" t="e">
        <f>#REF!*15%</f>
        <v>#REF!</v>
      </c>
      <c r="L51" s="364" t="e">
        <f>SUM(E51:K51)</f>
        <v>#VALUE!</v>
      </c>
      <c r="M51" s="353" t="e">
        <f>L51*'He so chung'!$D$17/100</f>
        <v>#VALUE!</v>
      </c>
      <c r="N51" s="365" t="e">
        <f>M51+L51</f>
        <v>#VALUE!</v>
      </c>
      <c r="O51" s="354">
        <f>'He so chung'!$D$21*R51</f>
        <v>1229.6153846153848</v>
      </c>
      <c r="P51" s="354">
        <f>'He so chung'!$D$22*R51</f>
        <v>1069.2307692307693</v>
      </c>
      <c r="Q51" s="411">
        <f>'He so chung'!$D$23*R51</f>
        <v>160.38461538461539</v>
      </c>
      <c r="R51" s="425">
        <f>'NC-CLBD'!F73</f>
        <v>0.2</v>
      </c>
    </row>
    <row r="52" spans="1:18" s="4" customFormat="1" ht="19.5" hidden="1" customHeight="1">
      <c r="A52" s="403"/>
      <c r="B52" s="401"/>
      <c r="C52" s="404"/>
      <c r="D52" s="377"/>
      <c r="E52" s="379"/>
      <c r="F52" s="379"/>
      <c r="G52" s="379"/>
      <c r="H52" s="379"/>
      <c r="I52" s="379"/>
      <c r="J52" s="379"/>
      <c r="K52" s="379"/>
      <c r="L52" s="380"/>
      <c r="M52" s="379"/>
      <c r="N52" s="381"/>
      <c r="O52" s="382"/>
      <c r="P52" s="382"/>
      <c r="Q52" s="423"/>
      <c r="R52" s="424"/>
    </row>
    <row r="53" spans="1:18" s="4" customFormat="1" ht="9" hidden="1" customHeight="1">
      <c r="A53" s="383"/>
      <c r="B53" s="338"/>
      <c r="C53" s="338"/>
      <c r="D53" s="383"/>
      <c r="E53" s="187"/>
      <c r="F53" s="187"/>
      <c r="G53" s="84"/>
      <c r="H53" s="187"/>
      <c r="I53" s="187"/>
      <c r="J53" s="187"/>
      <c r="K53" s="187"/>
      <c r="L53" s="187"/>
      <c r="M53" s="187"/>
      <c r="N53" s="187"/>
      <c r="O53" s="322"/>
      <c r="P53" s="322"/>
      <c r="Q53" s="426"/>
      <c r="R53" s="427"/>
    </row>
    <row r="54" spans="1:18" s="4" customFormat="1" ht="18.75" customHeight="1">
      <c r="A54" s="385"/>
      <c r="B54" s="501" t="s">
        <v>419</v>
      </c>
      <c r="C54" s="385"/>
      <c r="D54" s="384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6"/>
      <c r="P54" s="428"/>
      <c r="Q54" s="429"/>
      <c r="R54" s="430"/>
    </row>
    <row r="55" spans="1:18" s="4" customFormat="1" ht="18.75" customHeight="1">
      <c r="A55" s="955" t="s">
        <v>3</v>
      </c>
      <c r="B55" s="958" t="s">
        <v>390</v>
      </c>
      <c r="C55" s="961" t="s">
        <v>1</v>
      </c>
      <c r="D55" s="387">
        <v>1</v>
      </c>
      <c r="E55" s="388" t="e">
        <f t="shared" ref="E55:R58" si="0">E7+E$47+E$49+E$51</f>
        <v>#VALUE!</v>
      </c>
      <c r="F55" s="388">
        <f t="shared" si="0"/>
        <v>0</v>
      </c>
      <c r="G55" s="388">
        <f t="shared" si="0"/>
        <v>187382.69230769231</v>
      </c>
      <c r="H55" s="388">
        <f t="shared" si="0"/>
        <v>22182.452788461538</v>
      </c>
      <c r="I55" s="388">
        <f t="shared" si="0"/>
        <v>261576</v>
      </c>
      <c r="J55" s="388">
        <f t="shared" si="0"/>
        <v>3142</v>
      </c>
      <c r="K55" s="388" t="e">
        <f t="shared" si="0"/>
        <v>#REF!</v>
      </c>
      <c r="L55" s="388" t="e">
        <f t="shared" si="0"/>
        <v>#VALUE!</v>
      </c>
      <c r="M55" s="388" t="e">
        <f t="shared" si="0"/>
        <v>#VALUE!</v>
      </c>
      <c r="N55" s="388" t="e">
        <f t="shared" si="0"/>
        <v>#VALUE!</v>
      </c>
      <c r="O55" s="388">
        <f t="shared" si="0"/>
        <v>46252.249999999993</v>
      </c>
      <c r="P55" s="388">
        <f t="shared" si="0"/>
        <v>37476.538461538461</v>
      </c>
      <c r="Q55" s="388">
        <f t="shared" si="0"/>
        <v>8775.711538461539</v>
      </c>
      <c r="R55" s="388">
        <f t="shared" si="0"/>
        <v>7.0100000000000007</v>
      </c>
    </row>
    <row r="56" spans="1:18" s="4" customFormat="1" ht="18.75" customHeight="1">
      <c r="A56" s="956"/>
      <c r="B56" s="959"/>
      <c r="C56" s="962"/>
      <c r="D56" s="389">
        <v>2</v>
      </c>
      <c r="E56" s="388" t="e">
        <f t="shared" si="0"/>
        <v>#VALUE!</v>
      </c>
      <c r="F56" s="388">
        <f t="shared" si="0"/>
        <v>0</v>
      </c>
      <c r="G56" s="388">
        <f t="shared" si="0"/>
        <v>234428.84615384616</v>
      </c>
      <c r="H56" s="388">
        <f t="shared" si="0"/>
        <v>26494.116249999999</v>
      </c>
      <c r="I56" s="388">
        <f t="shared" si="0"/>
        <v>261576</v>
      </c>
      <c r="J56" s="388">
        <f t="shared" si="0"/>
        <v>3142</v>
      </c>
      <c r="K56" s="388" t="e">
        <f t="shared" si="0"/>
        <v>#REF!</v>
      </c>
      <c r="L56" s="388" t="e">
        <f t="shared" si="0"/>
        <v>#VALUE!</v>
      </c>
      <c r="M56" s="388" t="e">
        <f t="shared" si="0"/>
        <v>#VALUE!</v>
      </c>
      <c r="N56" s="388" t="e">
        <f t="shared" si="0"/>
        <v>#VALUE!</v>
      </c>
      <c r="O56" s="388">
        <f t="shared" si="0"/>
        <v>58013.788461538461</v>
      </c>
      <c r="P56" s="388">
        <f t="shared" si="0"/>
        <v>46885.769230769227</v>
      </c>
      <c r="Q56" s="388">
        <f t="shared" si="0"/>
        <v>11128.019230769232</v>
      </c>
      <c r="R56" s="388">
        <f t="shared" si="0"/>
        <v>8.77</v>
      </c>
    </row>
    <row r="57" spans="1:18" s="4" customFormat="1" ht="18.75" customHeight="1">
      <c r="A57" s="956"/>
      <c r="B57" s="959"/>
      <c r="C57" s="962"/>
      <c r="D57" s="389">
        <v>3</v>
      </c>
      <c r="E57" s="388" t="e">
        <f t="shared" si="0"/>
        <v>#VALUE!</v>
      </c>
      <c r="F57" s="388">
        <f t="shared" si="0"/>
        <v>0</v>
      </c>
      <c r="G57" s="388">
        <f t="shared" si="0"/>
        <v>295909.61538461538</v>
      </c>
      <c r="H57" s="388">
        <f t="shared" si="0"/>
        <v>33680.222019230772</v>
      </c>
      <c r="I57" s="388">
        <f t="shared" si="0"/>
        <v>261576</v>
      </c>
      <c r="J57" s="388">
        <f t="shared" si="0"/>
        <v>3142</v>
      </c>
      <c r="K57" s="388" t="e">
        <f t="shared" si="0"/>
        <v>#REF!</v>
      </c>
      <c r="L57" s="388" t="e">
        <f t="shared" si="0"/>
        <v>#VALUE!</v>
      </c>
      <c r="M57" s="388" t="e">
        <f t="shared" si="0"/>
        <v>#VALUE!</v>
      </c>
      <c r="N57" s="388" t="e">
        <f t="shared" si="0"/>
        <v>#VALUE!</v>
      </c>
      <c r="O57" s="388">
        <f t="shared" si="0"/>
        <v>73383.98076923078</v>
      </c>
      <c r="P57" s="388">
        <f t="shared" si="0"/>
        <v>59181.923076923071</v>
      </c>
      <c r="Q57" s="388">
        <f t="shared" si="0"/>
        <v>14202.057692307695</v>
      </c>
      <c r="R57" s="388">
        <f t="shared" si="0"/>
        <v>11.07</v>
      </c>
    </row>
    <row r="58" spans="1:18" s="4" customFormat="1" ht="18.75" customHeight="1">
      <c r="A58" s="967"/>
      <c r="B58" s="968"/>
      <c r="C58" s="969"/>
      <c r="D58" s="391">
        <v>4</v>
      </c>
      <c r="E58" s="388" t="e">
        <f t="shared" si="0"/>
        <v>#VALUE!</v>
      </c>
      <c r="F58" s="388">
        <f t="shared" si="0"/>
        <v>0</v>
      </c>
      <c r="G58" s="388">
        <f t="shared" si="0"/>
        <v>375567.30769230769</v>
      </c>
      <c r="H58" s="388">
        <f t="shared" si="0"/>
        <v>39429.106634615389</v>
      </c>
      <c r="I58" s="388">
        <f t="shared" si="0"/>
        <v>261576</v>
      </c>
      <c r="J58" s="388">
        <f t="shared" si="0"/>
        <v>3142</v>
      </c>
      <c r="K58" s="388" t="e">
        <f t="shared" si="0"/>
        <v>#REF!</v>
      </c>
      <c r="L58" s="388" t="e">
        <f t="shared" si="0"/>
        <v>#VALUE!</v>
      </c>
      <c r="M58" s="388" t="e">
        <f t="shared" si="0"/>
        <v>#VALUE!</v>
      </c>
      <c r="N58" s="388" t="e">
        <f t="shared" si="0"/>
        <v>#VALUE!</v>
      </c>
      <c r="O58" s="388">
        <f t="shared" si="0"/>
        <v>93298.403846153844</v>
      </c>
      <c r="P58" s="388">
        <f t="shared" si="0"/>
        <v>75113.461538461532</v>
      </c>
      <c r="Q58" s="388">
        <f t="shared" si="0"/>
        <v>18184.942307692309</v>
      </c>
      <c r="R58" s="388">
        <f t="shared" si="0"/>
        <v>14.049999999999999</v>
      </c>
    </row>
    <row r="59" spans="1:18" s="4" customFormat="1" ht="11.25" customHeight="1">
      <c r="A59" s="115"/>
      <c r="B59" s="116"/>
      <c r="C59" s="406"/>
      <c r="D59" s="389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431"/>
      <c r="Q59" s="432"/>
      <c r="R59" s="433"/>
    </row>
    <row r="60" spans="1:18" s="4" customFormat="1" ht="18.75" customHeight="1">
      <c r="A60" s="955" t="s">
        <v>4</v>
      </c>
      <c r="B60" s="958" t="s">
        <v>391</v>
      </c>
      <c r="C60" s="961" t="s">
        <v>278</v>
      </c>
      <c r="D60" s="387">
        <v>1</v>
      </c>
      <c r="E60" s="388" t="e">
        <f t="shared" ref="E60:R63" si="1">E12+E17+E25+E$30+E37+E$42+E$45</f>
        <v>#VALUE!</v>
      </c>
      <c r="F60" s="388">
        <f t="shared" si="1"/>
        <v>21890.1</v>
      </c>
      <c r="G60" s="388" t="e">
        <f t="shared" si="1"/>
        <v>#REF!</v>
      </c>
      <c r="H60" s="388" t="e">
        <f t="shared" si="1"/>
        <v>#REF!</v>
      </c>
      <c r="I60" s="388" t="e">
        <f t="shared" si="1"/>
        <v>#REF!</v>
      </c>
      <c r="J60" s="388" t="e">
        <f t="shared" si="1"/>
        <v>#REF!</v>
      </c>
      <c r="K60" s="388" t="e">
        <f t="shared" si="1"/>
        <v>#REF!</v>
      </c>
      <c r="L60" s="388" t="e">
        <f t="shared" si="1"/>
        <v>#VALUE!</v>
      </c>
      <c r="M60" s="388" t="e">
        <f t="shared" si="1"/>
        <v>#VALUE!</v>
      </c>
      <c r="N60" s="388" t="e">
        <f t="shared" si="1"/>
        <v>#VALUE!</v>
      </c>
      <c r="O60" s="388" t="e">
        <f t="shared" si="1"/>
        <v>#REF!</v>
      </c>
      <c r="P60" s="388" t="e">
        <f t="shared" si="1"/>
        <v>#REF!</v>
      </c>
      <c r="Q60" s="388" t="e">
        <f t="shared" si="1"/>
        <v>#REF!</v>
      </c>
      <c r="R60" s="388" t="e">
        <f t="shared" si="1"/>
        <v>#REF!</v>
      </c>
    </row>
    <row r="61" spans="1:18" s="4" customFormat="1" ht="18.75" customHeight="1">
      <c r="A61" s="956"/>
      <c r="B61" s="959"/>
      <c r="C61" s="962"/>
      <c r="D61" s="389">
        <v>2</v>
      </c>
      <c r="E61" s="388" t="e">
        <f t="shared" si="1"/>
        <v>#VALUE!</v>
      </c>
      <c r="F61" s="388">
        <f t="shared" si="1"/>
        <v>26278.6</v>
      </c>
      <c r="G61" s="388" t="e">
        <f t="shared" si="1"/>
        <v>#REF!</v>
      </c>
      <c r="H61" s="388" t="e">
        <f t="shared" si="1"/>
        <v>#REF!</v>
      </c>
      <c r="I61" s="388" t="e">
        <f t="shared" si="1"/>
        <v>#REF!</v>
      </c>
      <c r="J61" s="388" t="e">
        <f t="shared" si="1"/>
        <v>#REF!</v>
      </c>
      <c r="K61" s="388" t="e">
        <f t="shared" si="1"/>
        <v>#REF!</v>
      </c>
      <c r="L61" s="388" t="e">
        <f t="shared" si="1"/>
        <v>#VALUE!</v>
      </c>
      <c r="M61" s="388" t="e">
        <f t="shared" si="1"/>
        <v>#VALUE!</v>
      </c>
      <c r="N61" s="388" t="e">
        <f t="shared" si="1"/>
        <v>#VALUE!</v>
      </c>
      <c r="O61" s="388" t="e">
        <f t="shared" si="1"/>
        <v>#REF!</v>
      </c>
      <c r="P61" s="388" t="e">
        <f t="shared" si="1"/>
        <v>#REF!</v>
      </c>
      <c r="Q61" s="388" t="e">
        <f t="shared" si="1"/>
        <v>#REF!</v>
      </c>
      <c r="R61" s="388" t="e">
        <f t="shared" si="1"/>
        <v>#REF!</v>
      </c>
    </row>
    <row r="62" spans="1:18" s="4" customFormat="1" ht="18.75" customHeight="1">
      <c r="A62" s="956"/>
      <c r="B62" s="959"/>
      <c r="C62" s="962"/>
      <c r="D62" s="389">
        <v>3</v>
      </c>
      <c r="E62" s="388" t="e">
        <f t="shared" si="1"/>
        <v>#VALUE!</v>
      </c>
      <c r="F62" s="388">
        <f t="shared" si="1"/>
        <v>31531.7</v>
      </c>
      <c r="G62" s="388" t="e">
        <f t="shared" si="1"/>
        <v>#REF!</v>
      </c>
      <c r="H62" s="388" t="e">
        <f t="shared" si="1"/>
        <v>#REF!</v>
      </c>
      <c r="I62" s="388" t="e">
        <f t="shared" si="1"/>
        <v>#REF!</v>
      </c>
      <c r="J62" s="388" t="e">
        <f t="shared" si="1"/>
        <v>#REF!</v>
      </c>
      <c r="K62" s="388" t="e">
        <f t="shared" si="1"/>
        <v>#REF!</v>
      </c>
      <c r="L62" s="388" t="e">
        <f t="shared" si="1"/>
        <v>#VALUE!</v>
      </c>
      <c r="M62" s="388" t="e">
        <f t="shared" si="1"/>
        <v>#VALUE!</v>
      </c>
      <c r="N62" s="388" t="e">
        <f t="shared" si="1"/>
        <v>#VALUE!</v>
      </c>
      <c r="O62" s="388" t="e">
        <f t="shared" si="1"/>
        <v>#REF!</v>
      </c>
      <c r="P62" s="388" t="e">
        <f t="shared" si="1"/>
        <v>#REF!</v>
      </c>
      <c r="Q62" s="388" t="e">
        <f t="shared" si="1"/>
        <v>#REF!</v>
      </c>
      <c r="R62" s="388" t="e">
        <f t="shared" si="1"/>
        <v>#REF!</v>
      </c>
    </row>
    <row r="63" spans="1:18" s="4" customFormat="1" ht="18.75" customHeight="1">
      <c r="A63" s="957"/>
      <c r="B63" s="960"/>
      <c r="C63" s="963"/>
      <c r="D63" s="393">
        <v>4</v>
      </c>
      <c r="E63" s="435" t="e">
        <f t="shared" si="1"/>
        <v>#VALUE!</v>
      </c>
      <c r="F63" s="435">
        <f t="shared" si="1"/>
        <v>37832.800000000003</v>
      </c>
      <c r="G63" s="435" t="e">
        <f t="shared" si="1"/>
        <v>#REF!</v>
      </c>
      <c r="H63" s="435" t="e">
        <f t="shared" si="1"/>
        <v>#REF!</v>
      </c>
      <c r="I63" s="435" t="e">
        <f t="shared" si="1"/>
        <v>#REF!</v>
      </c>
      <c r="J63" s="435" t="e">
        <f t="shared" si="1"/>
        <v>#REF!</v>
      </c>
      <c r="K63" s="435" t="e">
        <f t="shared" si="1"/>
        <v>#REF!</v>
      </c>
      <c r="L63" s="435" t="e">
        <f t="shared" si="1"/>
        <v>#VALUE!</v>
      </c>
      <c r="M63" s="435" t="e">
        <f t="shared" si="1"/>
        <v>#VALUE!</v>
      </c>
      <c r="N63" s="435" t="e">
        <f t="shared" si="1"/>
        <v>#VALUE!</v>
      </c>
      <c r="O63" s="435" t="e">
        <f t="shared" si="1"/>
        <v>#REF!</v>
      </c>
      <c r="P63" s="435" t="e">
        <f t="shared" si="1"/>
        <v>#REF!</v>
      </c>
      <c r="Q63" s="435" t="e">
        <f t="shared" si="1"/>
        <v>#REF!</v>
      </c>
      <c r="R63" s="435" t="e">
        <f t="shared" si="1"/>
        <v>#REF!</v>
      </c>
    </row>
    <row r="64" spans="1:18" s="4" customFormat="1" ht="4.5" customHeight="1">
      <c r="A64" s="87"/>
      <c r="B64" s="79"/>
      <c r="C64" s="79"/>
      <c r="D64" s="87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2"/>
      <c r="P64" s="82"/>
      <c r="Q64" s="52"/>
      <c r="R64" s="63"/>
    </row>
    <row r="65" spans="1:18" s="4" customFormat="1" ht="14.25" hidden="1">
      <c r="A65" s="87"/>
      <c r="B65" s="79"/>
      <c r="C65" s="79"/>
      <c r="D65" s="87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2"/>
      <c r="P65" s="82"/>
      <c r="Q65" s="52"/>
      <c r="R65" s="63"/>
    </row>
    <row r="66" spans="1:18" s="4" customFormat="1" ht="27" hidden="1" customHeight="1">
      <c r="A66" s="976" t="s">
        <v>395</v>
      </c>
      <c r="B66" s="976"/>
      <c r="C66" s="976"/>
      <c r="D66" s="976"/>
      <c r="E66" s="976"/>
      <c r="F66" s="976"/>
      <c r="G66" s="976"/>
      <c r="H66" s="976"/>
      <c r="I66" s="976"/>
      <c r="J66" s="976"/>
      <c r="K66" s="976"/>
      <c r="L66" s="976"/>
      <c r="M66" s="976"/>
      <c r="N66" s="976"/>
      <c r="O66" s="976"/>
      <c r="P66" s="106"/>
      <c r="Q66" s="52"/>
      <c r="R66" s="63"/>
    </row>
    <row r="67" spans="1:18" s="4" customFormat="1" ht="15.75" hidden="1" customHeight="1">
      <c r="A67" s="107"/>
      <c r="B67" s="80"/>
      <c r="C67" s="81"/>
      <c r="D67" s="86"/>
      <c r="E67" s="108"/>
      <c r="F67" s="108"/>
      <c r="G67" s="108"/>
      <c r="H67" s="108"/>
      <c r="I67" s="108"/>
      <c r="J67" s="108"/>
      <c r="K67" s="108"/>
      <c r="L67" s="108"/>
      <c r="M67" s="109"/>
      <c r="N67" s="108"/>
      <c r="O67" s="82"/>
      <c r="P67" s="82"/>
      <c r="Q67" s="52"/>
      <c r="R67" s="63"/>
    </row>
    <row r="68" spans="1:18" s="4" customFormat="1" ht="20.25" hidden="1" customHeight="1">
      <c r="A68" s="970" t="s">
        <v>376</v>
      </c>
      <c r="B68" s="972" t="s">
        <v>377</v>
      </c>
      <c r="C68" s="974" t="s">
        <v>378</v>
      </c>
      <c r="D68" s="970" t="s">
        <v>91</v>
      </c>
      <c r="E68" s="964" t="s">
        <v>368</v>
      </c>
      <c r="F68" s="965"/>
      <c r="G68" s="965"/>
      <c r="H68" s="965"/>
      <c r="I68" s="965"/>
      <c r="J68" s="965"/>
      <c r="K68" s="965"/>
      <c r="L68" s="966"/>
      <c r="M68" s="324" t="s">
        <v>63</v>
      </c>
      <c r="N68" s="974" t="s">
        <v>379</v>
      </c>
      <c r="O68" s="323" t="s">
        <v>18</v>
      </c>
      <c r="P68" s="104" t="s">
        <v>19</v>
      </c>
      <c r="Q68" s="57" t="s">
        <v>19</v>
      </c>
      <c r="R68" s="58" t="s">
        <v>16</v>
      </c>
    </row>
    <row r="69" spans="1:18" s="4" customFormat="1" ht="20.25" hidden="1" customHeight="1">
      <c r="A69" s="971"/>
      <c r="B69" s="973"/>
      <c r="C69" s="975"/>
      <c r="D69" s="971"/>
      <c r="E69" s="327" t="s">
        <v>369</v>
      </c>
      <c r="F69" s="326" t="s">
        <v>370</v>
      </c>
      <c r="G69" s="328">
        <v>0</v>
      </c>
      <c r="H69" s="326" t="s">
        <v>257</v>
      </c>
      <c r="I69" s="326" t="s">
        <v>280</v>
      </c>
      <c r="J69" s="326" t="s">
        <v>261</v>
      </c>
      <c r="K69" s="326" t="s">
        <v>371</v>
      </c>
      <c r="L69" s="326" t="s">
        <v>372</v>
      </c>
      <c r="M69" s="326" t="s">
        <v>48</v>
      </c>
      <c r="N69" s="975"/>
      <c r="O69" s="325" t="s">
        <v>20</v>
      </c>
      <c r="P69" s="105" t="s">
        <v>21</v>
      </c>
      <c r="Q69" s="59" t="s">
        <v>22</v>
      </c>
      <c r="R69" s="60" t="s">
        <v>17</v>
      </c>
    </row>
    <row r="70" spans="1:18" s="4" customFormat="1" ht="17.25" hidden="1" customHeight="1">
      <c r="A70" s="329" t="s">
        <v>52</v>
      </c>
      <c r="B70" s="330" t="s">
        <v>53</v>
      </c>
      <c r="C70" s="330" t="s">
        <v>54</v>
      </c>
      <c r="D70" s="331" t="s">
        <v>55</v>
      </c>
      <c r="E70" s="332" t="s">
        <v>56</v>
      </c>
      <c r="F70" s="332" t="s">
        <v>57</v>
      </c>
      <c r="G70" s="332"/>
      <c r="H70" s="332" t="s">
        <v>58</v>
      </c>
      <c r="I70" s="332" t="s">
        <v>59</v>
      </c>
      <c r="J70" s="332" t="s">
        <v>60</v>
      </c>
      <c r="K70" s="332" t="s">
        <v>61</v>
      </c>
      <c r="L70" s="333" t="s">
        <v>373</v>
      </c>
      <c r="M70" s="333" t="s">
        <v>374</v>
      </c>
      <c r="N70" s="334" t="s">
        <v>375</v>
      </c>
      <c r="O70" s="332" t="s">
        <v>62</v>
      </c>
      <c r="P70" s="48"/>
      <c r="Q70" s="48"/>
      <c r="R70" s="49"/>
    </row>
    <row r="71" spans="1:18" s="4" customFormat="1" ht="21.75" hidden="1" customHeight="1">
      <c r="A71" s="335" t="s">
        <v>3</v>
      </c>
      <c r="B71" s="336" t="s">
        <v>380</v>
      </c>
      <c r="C71" s="337"/>
      <c r="D71" s="344"/>
      <c r="E71" s="345"/>
      <c r="F71" s="345"/>
      <c r="G71" s="345"/>
      <c r="H71" s="345"/>
      <c r="I71" s="345"/>
      <c r="J71" s="345"/>
      <c r="K71" s="345"/>
      <c r="L71" s="346"/>
      <c r="M71" s="346"/>
      <c r="N71" s="345"/>
      <c r="O71" s="347"/>
      <c r="P71" s="407"/>
      <c r="Q71" s="408"/>
      <c r="R71" s="409"/>
    </row>
    <row r="72" spans="1:18" s="4" customFormat="1" ht="15.75" hidden="1" customHeight="1">
      <c r="A72" s="315" t="s">
        <v>9</v>
      </c>
      <c r="B72" s="314" t="s">
        <v>73</v>
      </c>
      <c r="C72" s="318" t="s">
        <v>1</v>
      </c>
      <c r="D72" s="351">
        <v>1</v>
      </c>
      <c r="E72" s="353" t="e">
        <f>'NC-CLBD'!I5/6.25</f>
        <v>#VALUE!</v>
      </c>
      <c r="F72" s="353"/>
      <c r="G72" s="353">
        <f t="shared" ref="G72:G77" si="2">$Q$1*10*P72</f>
        <v>37807.999999999993</v>
      </c>
      <c r="H72" s="353">
        <f>'DCu-CLBD'!J23</f>
        <v>4139.1969230769228</v>
      </c>
      <c r="I72" s="353">
        <f>'VL-CLBD'!H16</f>
        <v>12009.6</v>
      </c>
      <c r="J72" s="353"/>
      <c r="K72" s="353"/>
      <c r="L72" s="353" t="e">
        <f t="shared" ref="L72:L77" si="3">SUM(E72:K72)</f>
        <v>#VALUE!</v>
      </c>
      <c r="M72" s="348" t="e">
        <f>L72*'He so chung'!$D$16/100</f>
        <v>#VALUE!</v>
      </c>
      <c r="N72" s="349" t="e">
        <f t="shared" ref="N72:N77" si="4">M72+L72</f>
        <v>#VALUE!</v>
      </c>
      <c r="O72" s="354">
        <f>'He so chung'!$D$18*R72</f>
        <v>9452</v>
      </c>
      <c r="P72" s="354">
        <f>'He so chung'!$D$19*R72</f>
        <v>7561.5999999999985</v>
      </c>
      <c r="Q72" s="411">
        <f>'He so chung'!$D$20*R72</f>
        <v>1890.4</v>
      </c>
      <c r="R72" s="443">
        <f>'NC-CLBD'!H5/6.25</f>
        <v>1.4143999999999999</v>
      </c>
    </row>
    <row r="73" spans="1:18" s="10" customFormat="1" ht="15.75" hidden="1" customHeight="1">
      <c r="A73" s="351"/>
      <c r="B73" s="437"/>
      <c r="C73" s="438"/>
      <c r="D73" s="351">
        <v>2</v>
      </c>
      <c r="E73" s="353" t="e">
        <f>'NC-CLBD'!I7/6.25</f>
        <v>#VALUE!</v>
      </c>
      <c r="F73" s="353"/>
      <c r="G73" s="353">
        <f t="shared" si="2"/>
        <v>49099.076923076922</v>
      </c>
      <c r="H73" s="353">
        <f>'DCu-CLBD'!J24</f>
        <v>5173.9961538461539</v>
      </c>
      <c r="I73" s="353">
        <f>'VL-CLBD'!H16</f>
        <v>12009.6</v>
      </c>
      <c r="J73" s="353"/>
      <c r="K73" s="353"/>
      <c r="L73" s="353" t="e">
        <f t="shared" si="3"/>
        <v>#VALUE!</v>
      </c>
      <c r="M73" s="348" t="e">
        <f>L73*'He so chung'!$D$16/100</f>
        <v>#VALUE!</v>
      </c>
      <c r="N73" s="349" t="e">
        <f t="shared" si="4"/>
        <v>#VALUE!</v>
      </c>
      <c r="O73" s="354">
        <f>'He so chung'!$D$18*R73</f>
        <v>12274.76923076923</v>
      </c>
      <c r="P73" s="354">
        <f>'He so chung'!$D$19*R73</f>
        <v>9819.8153846153837</v>
      </c>
      <c r="Q73" s="411">
        <f>'He so chung'!$D$20*R73</f>
        <v>2454.9538461538464</v>
      </c>
      <c r="R73" s="443">
        <f>'NC-CLBD'!H7/6.25</f>
        <v>1.8368</v>
      </c>
    </row>
    <row r="74" spans="1:18" s="10" customFormat="1" ht="15.75" hidden="1" customHeight="1">
      <c r="A74" s="351"/>
      <c r="B74" s="437"/>
      <c r="C74" s="438"/>
      <c r="D74" s="351">
        <v>3</v>
      </c>
      <c r="E74" s="353" t="e">
        <f>'NC-CLBD'!I9/6.25</f>
        <v>#VALUE!</v>
      </c>
      <c r="F74" s="353"/>
      <c r="G74" s="353">
        <f t="shared" si="2"/>
        <v>63897.230769230766</v>
      </c>
      <c r="H74" s="353">
        <f>'DCu-CLBD'!J25</f>
        <v>6898.6615384615379</v>
      </c>
      <c r="I74" s="353">
        <f>'VL-CLBD'!H16</f>
        <v>12009.6</v>
      </c>
      <c r="J74" s="353"/>
      <c r="K74" s="353"/>
      <c r="L74" s="353" t="e">
        <f t="shared" si="3"/>
        <v>#VALUE!</v>
      </c>
      <c r="M74" s="348" t="e">
        <f>L74*'He so chung'!$D$16/100</f>
        <v>#VALUE!</v>
      </c>
      <c r="N74" s="349" t="e">
        <f t="shared" si="4"/>
        <v>#VALUE!</v>
      </c>
      <c r="O74" s="354">
        <f>'He so chung'!$D$18*R74</f>
        <v>15974.307692307693</v>
      </c>
      <c r="P74" s="354">
        <f>'He so chung'!$D$19*R74</f>
        <v>12779.446153846153</v>
      </c>
      <c r="Q74" s="411">
        <f>'He so chung'!$D$20*R74</f>
        <v>3194.8615384615387</v>
      </c>
      <c r="R74" s="443">
        <f>'NC-CLBD'!H9/6.25</f>
        <v>2.3904000000000001</v>
      </c>
    </row>
    <row r="75" spans="1:18" s="10" customFormat="1" ht="15.75" hidden="1" customHeight="1">
      <c r="A75" s="351"/>
      <c r="B75" s="437"/>
      <c r="C75" s="438"/>
      <c r="D75" s="351">
        <v>4</v>
      </c>
      <c r="E75" s="353" t="e">
        <f>'NC-CLBD'!I11/6.25</f>
        <v>#VALUE!</v>
      </c>
      <c r="F75" s="353"/>
      <c r="G75" s="353">
        <f t="shared" si="2"/>
        <v>83057.846153846156</v>
      </c>
      <c r="H75" s="353">
        <f>'DCu-CLBD'!J26</f>
        <v>9313.1930769230767</v>
      </c>
      <c r="I75" s="353">
        <f>'VL-CLBD'!H16</f>
        <v>12009.6</v>
      </c>
      <c r="J75" s="353"/>
      <c r="K75" s="353"/>
      <c r="L75" s="353" t="e">
        <f t="shared" si="3"/>
        <v>#VALUE!</v>
      </c>
      <c r="M75" s="348" t="e">
        <f>L75*'He so chung'!$D$16/100</f>
        <v>#VALUE!</v>
      </c>
      <c r="N75" s="349" t="e">
        <f t="shared" si="4"/>
        <v>#VALUE!</v>
      </c>
      <c r="O75" s="354">
        <f>'He so chung'!$D$18*R75</f>
        <v>20764.461538461539</v>
      </c>
      <c r="P75" s="354">
        <f>'He so chung'!$D$19*R75</f>
        <v>16611.56923076923</v>
      </c>
      <c r="Q75" s="411">
        <f>'He so chung'!$D$20*R75</f>
        <v>4152.8923076923083</v>
      </c>
      <c r="R75" s="443">
        <f>'NC-CLBD'!H11/6.25</f>
        <v>3.1072000000000002</v>
      </c>
    </row>
    <row r="76" spans="1:18" s="10" customFormat="1" ht="15.75" hidden="1" customHeight="1">
      <c r="A76" s="351"/>
      <c r="B76" s="437"/>
      <c r="C76" s="438"/>
      <c r="D76" s="351" t="s">
        <v>13</v>
      </c>
      <c r="E76" s="353" t="e">
        <f>'NC-CLBD'!I13/6.25</f>
        <v>#VALUE!</v>
      </c>
      <c r="F76" s="353"/>
      <c r="G76" s="353">
        <f t="shared" si="2"/>
        <v>107949.53846153844</v>
      </c>
      <c r="H76" s="353">
        <f>'DCu-CLBD'!J27</f>
        <v>12072.657692307692</v>
      </c>
      <c r="I76" s="353">
        <f>'VL-CLBD'!H16</f>
        <v>12009.6</v>
      </c>
      <c r="J76" s="353"/>
      <c r="K76" s="353"/>
      <c r="L76" s="353" t="e">
        <f t="shared" si="3"/>
        <v>#VALUE!</v>
      </c>
      <c r="M76" s="348" t="e">
        <f>L76*'He so chung'!$D$16/100</f>
        <v>#VALUE!</v>
      </c>
      <c r="N76" s="349" t="e">
        <f t="shared" si="4"/>
        <v>#VALUE!</v>
      </c>
      <c r="O76" s="354">
        <f>'He so chung'!$D$18*R76</f>
        <v>26987.38461538461</v>
      </c>
      <c r="P76" s="354">
        <f>'He so chung'!$D$19*R76</f>
        <v>21589.907692307686</v>
      </c>
      <c r="Q76" s="411">
        <f>'He so chung'!$D$20*R76</f>
        <v>5397.4769230769225</v>
      </c>
      <c r="R76" s="443">
        <f>'NC-CLBD'!H13/6.25</f>
        <v>4.0383999999999993</v>
      </c>
    </row>
    <row r="77" spans="1:18" s="10" customFormat="1" ht="15.75" hidden="1" customHeight="1">
      <c r="A77" s="351"/>
      <c r="B77" s="437"/>
      <c r="C77" s="438"/>
      <c r="D77" s="351" t="s">
        <v>14</v>
      </c>
      <c r="E77" s="353">
        <f>'NC-CLBD'!I15/6.25</f>
        <v>0</v>
      </c>
      <c r="F77" s="353"/>
      <c r="G77" s="353">
        <f t="shared" si="2"/>
        <v>0</v>
      </c>
      <c r="H77" s="353">
        <f>'DCu-CLBD'!J28</f>
        <v>0</v>
      </c>
      <c r="I77" s="353">
        <f>'VL-CLBD'!H16</f>
        <v>12009.6</v>
      </c>
      <c r="J77" s="353"/>
      <c r="K77" s="353"/>
      <c r="L77" s="353">
        <f t="shared" si="3"/>
        <v>12009.6</v>
      </c>
      <c r="M77" s="348">
        <f>L77*'He so chung'!$D$16/100</f>
        <v>3002.4</v>
      </c>
      <c r="N77" s="349">
        <f t="shared" si="4"/>
        <v>15012</v>
      </c>
      <c r="O77" s="354">
        <f>'He so chung'!$D$18*R77</f>
        <v>0</v>
      </c>
      <c r="P77" s="354">
        <f>'He so chung'!$D$19*R77</f>
        <v>0</v>
      </c>
      <c r="Q77" s="411">
        <f>'He so chung'!$D$20*R77</f>
        <v>0</v>
      </c>
      <c r="R77" s="443">
        <f>'NC-CLBD'!H15/6.25</f>
        <v>0</v>
      </c>
    </row>
    <row r="78" spans="1:18" s="10" customFormat="1" ht="13.5" hidden="1" customHeight="1">
      <c r="A78" s="351"/>
      <c r="B78" s="437"/>
      <c r="C78" s="438"/>
      <c r="D78" s="351"/>
      <c r="E78" s="353"/>
      <c r="F78" s="353"/>
      <c r="G78" s="353"/>
      <c r="H78" s="353"/>
      <c r="I78" s="353"/>
      <c r="J78" s="353"/>
      <c r="K78" s="353"/>
      <c r="L78" s="353"/>
      <c r="M78" s="348"/>
      <c r="N78" s="349"/>
      <c r="O78" s="354"/>
      <c r="P78" s="354"/>
      <c r="Q78" s="411"/>
      <c r="R78" s="443"/>
    </row>
    <row r="79" spans="1:18" s="10" customFormat="1" ht="15.75" hidden="1" customHeight="1">
      <c r="A79" s="315" t="s">
        <v>10</v>
      </c>
      <c r="B79" s="314" t="s">
        <v>381</v>
      </c>
      <c r="C79" s="318" t="s">
        <v>278</v>
      </c>
      <c r="D79" s="351">
        <v>1</v>
      </c>
      <c r="E79" s="353" t="e">
        <f>'NC-CLBD'!I17/100</f>
        <v>#VALUE!</v>
      </c>
      <c r="F79" s="353"/>
      <c r="G79" s="353">
        <f t="shared" ref="G79:G84" si="5">$Q$1*10*P79</f>
        <v>1764.2307692307691</v>
      </c>
      <c r="H79" s="353">
        <f>'DCu-CLBD'!J67</f>
        <v>114.28881490384616</v>
      </c>
      <c r="I79" s="353">
        <f>'VL-CLBD'!H45</f>
        <v>61.738199999999999</v>
      </c>
      <c r="J79" s="353">
        <f>'TBI-CLBD'!I16</f>
        <v>531.91999999999996</v>
      </c>
      <c r="K79" s="353" t="e">
        <f>#REF!</f>
        <v>#REF!</v>
      </c>
      <c r="L79" s="353" t="e">
        <f t="shared" ref="L79:L84" si="6">SUM(E79:K79)</f>
        <v>#VALUE!</v>
      </c>
      <c r="M79" s="348" t="e">
        <f>L79*'He so chung'!$D$16/100</f>
        <v>#VALUE!</v>
      </c>
      <c r="N79" s="349" t="e">
        <f t="shared" ref="N79:N84" si="7">M79+L79</f>
        <v>#VALUE!</v>
      </c>
      <c r="O79" s="354">
        <f>'He so chung'!$D$18*R79</f>
        <v>441.05769230769232</v>
      </c>
      <c r="P79" s="354">
        <f>'He so chung'!$D$19*R79</f>
        <v>352.84615384615381</v>
      </c>
      <c r="Q79" s="411">
        <f>'He so chung'!$D$20*R79</f>
        <v>88.211538461538467</v>
      </c>
      <c r="R79" s="443">
        <f>'NC-CLBD'!H17/100</f>
        <v>6.6000000000000003E-2</v>
      </c>
    </row>
    <row r="80" spans="1:18" s="10" customFormat="1" ht="15.75" hidden="1" customHeight="1">
      <c r="A80" s="315"/>
      <c r="B80" s="314"/>
      <c r="C80" s="318"/>
      <c r="D80" s="351">
        <v>2</v>
      </c>
      <c r="E80" s="353" t="e">
        <f>'NC-CLBD'!I19/100</f>
        <v>#VALUE!</v>
      </c>
      <c r="F80" s="353"/>
      <c r="G80" s="353">
        <f t="shared" si="5"/>
        <v>2205.2884615384614</v>
      </c>
      <c r="H80" s="353">
        <f>'DCu-CLBD'!J68</f>
        <v>142.86101862980769</v>
      </c>
      <c r="I80" s="353">
        <f>'VL-CLBD'!H45</f>
        <v>61.738199999999999</v>
      </c>
      <c r="J80" s="353">
        <f>'TBI-CLBD'!K16</f>
        <v>666.12</v>
      </c>
      <c r="K80" s="353" t="e">
        <f>#REF!</f>
        <v>#REF!</v>
      </c>
      <c r="L80" s="353" t="e">
        <f t="shared" si="6"/>
        <v>#VALUE!</v>
      </c>
      <c r="M80" s="348" t="e">
        <f>L80*'He so chung'!$D$16/100</f>
        <v>#VALUE!</v>
      </c>
      <c r="N80" s="349" t="e">
        <f t="shared" si="7"/>
        <v>#VALUE!</v>
      </c>
      <c r="O80" s="354">
        <f>'He so chung'!$D$18*R80</f>
        <v>551.32211538461536</v>
      </c>
      <c r="P80" s="354">
        <f>'He so chung'!$D$19*R80</f>
        <v>441.05769230769232</v>
      </c>
      <c r="Q80" s="411">
        <f>'He so chung'!$D$20*R80</f>
        <v>110.26442307692309</v>
      </c>
      <c r="R80" s="443">
        <f>'NC-CLBD'!H19/100</f>
        <v>8.2500000000000004E-2</v>
      </c>
    </row>
    <row r="81" spans="1:18" s="10" customFormat="1" ht="15.75" hidden="1" customHeight="1">
      <c r="A81" s="315"/>
      <c r="B81" s="314"/>
      <c r="C81" s="318"/>
      <c r="D81" s="351">
        <v>3</v>
      </c>
      <c r="E81" s="353" t="e">
        <f>'NC-CLBD'!I21/100</f>
        <v>#VALUE!</v>
      </c>
      <c r="F81" s="353"/>
      <c r="G81" s="353">
        <f t="shared" si="5"/>
        <v>2940.3846153846148</v>
      </c>
      <c r="H81" s="353">
        <f>'DCu-CLBD'!J69</f>
        <v>190.48135817307693</v>
      </c>
      <c r="I81" s="353">
        <f>'VL-CLBD'!H45</f>
        <v>61.738199999999999</v>
      </c>
      <c r="J81" s="353">
        <f>'TBI-CLBD'!M16</f>
        <v>888.36</v>
      </c>
      <c r="K81" s="353" t="e">
        <f>#REF!</f>
        <v>#REF!</v>
      </c>
      <c r="L81" s="353" t="e">
        <f t="shared" si="6"/>
        <v>#VALUE!</v>
      </c>
      <c r="M81" s="348" t="e">
        <f>L81*'He so chung'!$D$16/100</f>
        <v>#VALUE!</v>
      </c>
      <c r="N81" s="349" t="e">
        <f t="shared" si="7"/>
        <v>#VALUE!</v>
      </c>
      <c r="O81" s="354">
        <f>'He so chung'!$D$18*R81</f>
        <v>735.09615384615381</v>
      </c>
      <c r="P81" s="354">
        <f>'He so chung'!$D$19*R81</f>
        <v>588.07692307692298</v>
      </c>
      <c r="Q81" s="411">
        <f>'He so chung'!$D$20*R81</f>
        <v>147.01923076923077</v>
      </c>
      <c r="R81" s="443">
        <f>'NC-CLBD'!H21/100</f>
        <v>0.11</v>
      </c>
    </row>
    <row r="82" spans="1:18" s="10" customFormat="1" ht="15.75" hidden="1" customHeight="1">
      <c r="A82" s="315"/>
      <c r="B82" s="314"/>
      <c r="C82" s="318"/>
      <c r="D82" s="351">
        <v>4</v>
      </c>
      <c r="E82" s="353" t="e">
        <f>'NC-CLBD'!I23/100</f>
        <v>#VALUE!</v>
      </c>
      <c r="F82" s="353"/>
      <c r="G82" s="353">
        <f t="shared" si="5"/>
        <v>3969.5192307692309</v>
      </c>
      <c r="H82" s="353">
        <f>'DCu-CLBD'!J70</f>
        <v>257.14983353365386</v>
      </c>
      <c r="I82" s="353">
        <f>'VL-CLBD'!H45</f>
        <v>61.738199999999999</v>
      </c>
      <c r="J82" s="353">
        <f>'TBI-CLBD'!O16</f>
        <v>1198.04</v>
      </c>
      <c r="K82" s="353" t="e">
        <f>#REF!</f>
        <v>#REF!</v>
      </c>
      <c r="L82" s="353" t="e">
        <f t="shared" si="6"/>
        <v>#VALUE!</v>
      </c>
      <c r="M82" s="348" t="e">
        <f>L82*'He so chung'!$D$16/100</f>
        <v>#VALUE!</v>
      </c>
      <c r="N82" s="349" t="e">
        <f t="shared" si="7"/>
        <v>#VALUE!</v>
      </c>
      <c r="O82" s="354">
        <f>'He so chung'!$D$18*R82</f>
        <v>992.37980769230785</v>
      </c>
      <c r="P82" s="354">
        <f>'He so chung'!$D$19*R82</f>
        <v>793.90384615384619</v>
      </c>
      <c r="Q82" s="411">
        <f>'He so chung'!$D$20*R82</f>
        <v>198.47596153846158</v>
      </c>
      <c r="R82" s="443">
        <f>'NC-CLBD'!H23/100</f>
        <v>0.14850000000000002</v>
      </c>
    </row>
    <row r="83" spans="1:18" s="10" customFormat="1" ht="15.75" hidden="1" customHeight="1">
      <c r="A83" s="315"/>
      <c r="B83" s="314"/>
      <c r="C83" s="318"/>
      <c r="D83" s="351" t="s">
        <v>13</v>
      </c>
      <c r="E83" s="353" t="e">
        <f>'NC-CLBD'!I25/100</f>
        <v>#VALUE!</v>
      </c>
      <c r="F83" s="353"/>
      <c r="G83" s="353">
        <f t="shared" si="5"/>
        <v>4998.6538461538466</v>
      </c>
      <c r="H83" s="353">
        <f>'DCu-CLBD'!J71</f>
        <v>333.34237680288464</v>
      </c>
      <c r="I83" s="353">
        <f>'VL-CLBD'!H45</f>
        <v>61.738199999999999</v>
      </c>
      <c r="J83" s="353">
        <f>'TBI-CLBD'!Q16</f>
        <v>1507.72</v>
      </c>
      <c r="K83" s="353" t="e">
        <f>#REF!</f>
        <v>#REF!</v>
      </c>
      <c r="L83" s="353" t="e">
        <f t="shared" si="6"/>
        <v>#VALUE!</v>
      </c>
      <c r="M83" s="348" t="e">
        <f>L83*'He so chung'!$D$16/100</f>
        <v>#VALUE!</v>
      </c>
      <c r="N83" s="349" t="e">
        <f t="shared" si="7"/>
        <v>#VALUE!</v>
      </c>
      <c r="O83" s="354">
        <f>'He so chung'!$D$18*R83</f>
        <v>1249.6634615384617</v>
      </c>
      <c r="P83" s="354">
        <f>'He so chung'!$D$19*R83</f>
        <v>999.73076923076928</v>
      </c>
      <c r="Q83" s="411">
        <f>'He so chung'!$D$20*R83</f>
        <v>249.93269230769238</v>
      </c>
      <c r="R83" s="443">
        <f>'NC-CLBD'!H25/100</f>
        <v>0.18700000000000003</v>
      </c>
    </row>
    <row r="84" spans="1:18" s="10" customFormat="1" ht="15.75" hidden="1" customHeight="1">
      <c r="A84" s="315"/>
      <c r="B84" s="314"/>
      <c r="C84" s="318"/>
      <c r="D84" s="351" t="s">
        <v>14</v>
      </c>
      <c r="E84" s="353" t="e">
        <f>'NC-CLBD'!#REF!/100</f>
        <v>#REF!</v>
      </c>
      <c r="F84" s="353"/>
      <c r="G84" s="353" t="e">
        <f t="shared" si="5"/>
        <v>#REF!</v>
      </c>
      <c r="H84" s="353">
        <f>'DCu-CLBD'!J72</f>
        <v>0</v>
      </c>
      <c r="I84" s="353">
        <f>'VL-CLBD'!H45</f>
        <v>61.738199999999999</v>
      </c>
      <c r="J84" s="353" t="e">
        <f>'TBI-CLBD'!#REF!</f>
        <v>#REF!</v>
      </c>
      <c r="K84" s="353" t="e">
        <f>#REF!</f>
        <v>#REF!</v>
      </c>
      <c r="L84" s="353" t="e">
        <f t="shared" si="6"/>
        <v>#REF!</v>
      </c>
      <c r="M84" s="348" t="e">
        <f>L84*'He so chung'!$D$16/100</f>
        <v>#REF!</v>
      </c>
      <c r="N84" s="349" t="e">
        <f t="shared" si="7"/>
        <v>#REF!</v>
      </c>
      <c r="O84" s="354" t="e">
        <f>'He so chung'!$D$18*R84</f>
        <v>#REF!</v>
      </c>
      <c r="P84" s="354" t="e">
        <f>'He so chung'!$D$19*R84</f>
        <v>#REF!</v>
      </c>
      <c r="Q84" s="411" t="e">
        <f>'He so chung'!$D$20*R84</f>
        <v>#REF!</v>
      </c>
      <c r="R84" s="443" t="e">
        <f>'NC-CLBD'!#REF!/100</f>
        <v>#REF!</v>
      </c>
    </row>
    <row r="85" spans="1:18" s="10" customFormat="1" ht="15.75" hidden="1" customHeight="1">
      <c r="A85" s="314"/>
      <c r="B85" s="314"/>
      <c r="C85" s="314"/>
      <c r="D85" s="351"/>
      <c r="E85" s="353"/>
      <c r="F85" s="353"/>
      <c r="G85" s="353"/>
      <c r="H85" s="353"/>
      <c r="I85" s="353"/>
      <c r="J85" s="353"/>
      <c r="K85" s="353"/>
      <c r="L85" s="353"/>
      <c r="M85" s="348"/>
      <c r="N85" s="349"/>
      <c r="O85" s="354"/>
      <c r="P85" s="354"/>
      <c r="Q85" s="411"/>
      <c r="R85" s="443"/>
    </row>
    <row r="86" spans="1:18" s="10" customFormat="1" ht="15.75" hidden="1" customHeight="1">
      <c r="A86" s="315" t="s">
        <v>11</v>
      </c>
      <c r="B86" s="314" t="s">
        <v>77</v>
      </c>
      <c r="C86" s="318" t="s">
        <v>278</v>
      </c>
      <c r="D86" s="351">
        <v>1</v>
      </c>
      <c r="E86" s="353" t="e">
        <f>'NC-CLBD'!I28/100</f>
        <v>#VALUE!</v>
      </c>
      <c r="F86" s="353">
        <f>'NC-CLBD'!I29/100</f>
        <v>15274.6</v>
      </c>
      <c r="G86" s="353">
        <f t="shared" ref="G86:G91" si="8">$Q$1*10*P86</f>
        <v>22293.461538461539</v>
      </c>
      <c r="H86" s="353">
        <f>'DCu-CLBD'!J112</f>
        <v>1375.4719326923075</v>
      </c>
      <c r="I86" s="353">
        <f>'VL-CLBD'!H39</f>
        <v>1234.7639999999999</v>
      </c>
      <c r="J86" s="353">
        <f>'TBI-CLBD'!I66</f>
        <v>6663.04</v>
      </c>
      <c r="K86" s="353" t="e">
        <f>#REF!</f>
        <v>#REF!</v>
      </c>
      <c r="L86" s="353" t="e">
        <f t="shared" ref="L86:L91" si="9">SUM(E86:K86)</f>
        <v>#VALUE!</v>
      </c>
      <c r="M86" s="348" t="e">
        <f>L86*'He so chung'!$D$16/100</f>
        <v>#VALUE!</v>
      </c>
      <c r="N86" s="349" t="e">
        <f t="shared" ref="N86:N91" si="10">M86+L86</f>
        <v>#VALUE!</v>
      </c>
      <c r="O86" s="354">
        <f>'He so chung'!$D$18*R86</f>
        <v>5573.3653846153848</v>
      </c>
      <c r="P86" s="354">
        <f>'He so chung'!$D$19*R86</f>
        <v>4458.6923076923076</v>
      </c>
      <c r="Q86" s="411">
        <f>'He so chung'!$D$20*R86</f>
        <v>1114.6730769230771</v>
      </c>
      <c r="R86" s="443">
        <f>'NC-CLBD'!H28/100</f>
        <v>0.83400000000000007</v>
      </c>
    </row>
    <row r="87" spans="1:18" s="10" customFormat="1" ht="15.75" hidden="1" customHeight="1">
      <c r="A87" s="315"/>
      <c r="B87" s="314"/>
      <c r="C87" s="318"/>
      <c r="D87" s="351">
        <v>2</v>
      </c>
      <c r="E87" s="353" t="e">
        <f>'NC-CLBD'!I32/100</f>
        <v>#VALUE!</v>
      </c>
      <c r="F87" s="353">
        <f>'NC-CLBD'!I33/100</f>
        <v>18340</v>
      </c>
      <c r="G87" s="353">
        <f t="shared" si="8"/>
        <v>26757.499999999996</v>
      </c>
      <c r="H87" s="353">
        <f>'DCu-CLBD'!J113</f>
        <v>1719.3399158653842</v>
      </c>
      <c r="I87" s="353">
        <f>$I$86</f>
        <v>1234.7639999999999</v>
      </c>
      <c r="J87" s="353">
        <f>'TBI-CLBD'!K66</f>
        <v>8327.32</v>
      </c>
      <c r="K87" s="353" t="e">
        <f>#REF!</f>
        <v>#REF!</v>
      </c>
      <c r="L87" s="353" t="e">
        <f t="shared" si="9"/>
        <v>#VALUE!</v>
      </c>
      <c r="M87" s="348" t="e">
        <f>L87*'He so chung'!$D$16/100</f>
        <v>#VALUE!</v>
      </c>
      <c r="N87" s="349" t="e">
        <f t="shared" si="10"/>
        <v>#VALUE!</v>
      </c>
      <c r="O87" s="354">
        <f>'He so chung'!$D$18*R87</f>
        <v>6689.3749999999991</v>
      </c>
      <c r="P87" s="354">
        <f>'He so chung'!$D$19*R87</f>
        <v>5351.4999999999991</v>
      </c>
      <c r="Q87" s="411">
        <f>'He so chung'!$D$20*R87</f>
        <v>1337.875</v>
      </c>
      <c r="R87" s="443">
        <f>'NC-CLBD'!H32/100</f>
        <v>1.0009999999999999</v>
      </c>
    </row>
    <row r="88" spans="1:18" s="10" customFormat="1" ht="15.75" hidden="1" customHeight="1">
      <c r="A88" s="315"/>
      <c r="B88" s="314"/>
      <c r="C88" s="318"/>
      <c r="D88" s="351">
        <v>3</v>
      </c>
      <c r="E88" s="353" t="e">
        <f>'NC-CLBD'!I36/100</f>
        <v>#VALUE!</v>
      </c>
      <c r="F88" s="353">
        <f>'NC-CLBD'!I37/100</f>
        <v>22008</v>
      </c>
      <c r="G88" s="353">
        <f t="shared" si="8"/>
        <v>32103.653846153837</v>
      </c>
      <c r="H88" s="353">
        <f>'DCu-CLBD'!J114</f>
        <v>2292.4532211538458</v>
      </c>
      <c r="I88" s="353">
        <f>$I$86</f>
        <v>1234.7639999999999</v>
      </c>
      <c r="J88" s="353">
        <f>'TBI-CLBD'!M66</f>
        <v>11103.32</v>
      </c>
      <c r="K88" s="353" t="e">
        <f>#REF!</f>
        <v>#REF!</v>
      </c>
      <c r="L88" s="353" t="e">
        <f t="shared" si="9"/>
        <v>#VALUE!</v>
      </c>
      <c r="M88" s="348" t="e">
        <f>L88*'He so chung'!$D$16/100</f>
        <v>#VALUE!</v>
      </c>
      <c r="N88" s="349" t="e">
        <f t="shared" si="10"/>
        <v>#VALUE!</v>
      </c>
      <c r="O88" s="354">
        <f>'He so chung'!$D$18*R88</f>
        <v>8025.9134615384601</v>
      </c>
      <c r="P88" s="354">
        <f>'He so chung'!$D$19*R88</f>
        <v>6420.7307692307677</v>
      </c>
      <c r="Q88" s="411">
        <f>'He so chung'!$D$20*R88</f>
        <v>1605.1826923076922</v>
      </c>
      <c r="R88" s="443">
        <f>'NC-CLBD'!H36/100</f>
        <v>1.2009999999999998</v>
      </c>
    </row>
    <row r="89" spans="1:18" s="10" customFormat="1" ht="15.75" hidden="1" customHeight="1">
      <c r="A89" s="315"/>
      <c r="B89" s="314"/>
      <c r="C89" s="318"/>
      <c r="D89" s="351">
        <v>4</v>
      </c>
      <c r="E89" s="353" t="e">
        <f>'NC-CLBD'!I40/100</f>
        <v>#VALUE!</v>
      </c>
      <c r="F89" s="353">
        <f>'NC-CLBD'!I41/100</f>
        <v>26396.5</v>
      </c>
      <c r="G89" s="353">
        <f t="shared" si="8"/>
        <v>38519.038461538454</v>
      </c>
      <c r="H89" s="353">
        <f>'DCu-CLBD'!J115</f>
        <v>3094.811848557692</v>
      </c>
      <c r="I89" s="353">
        <f>$I$86</f>
        <v>1234.7639999999999</v>
      </c>
      <c r="J89" s="353">
        <f>'TBI-CLBD'!O66</f>
        <v>14991.04</v>
      </c>
      <c r="K89" s="353" t="e">
        <f>#REF!</f>
        <v>#REF!</v>
      </c>
      <c r="L89" s="353" t="e">
        <f t="shared" si="9"/>
        <v>#VALUE!</v>
      </c>
      <c r="M89" s="348" t="e">
        <f>L89*'He so chung'!$D$16/100</f>
        <v>#VALUE!</v>
      </c>
      <c r="N89" s="349" t="e">
        <f t="shared" si="10"/>
        <v>#VALUE!</v>
      </c>
      <c r="O89" s="354">
        <f>'He so chung'!$D$18*R89</f>
        <v>9629.7596153846134</v>
      </c>
      <c r="P89" s="354">
        <f>'He so chung'!$D$19*R89</f>
        <v>7703.8076923076906</v>
      </c>
      <c r="Q89" s="411">
        <f>'He so chung'!$D$20*R89</f>
        <v>1925.9519230769231</v>
      </c>
      <c r="R89" s="443">
        <f>'NC-CLBD'!H40/100</f>
        <v>1.4409999999999998</v>
      </c>
    </row>
    <row r="90" spans="1:18" s="10" customFormat="1" ht="15.75" hidden="1" customHeight="1">
      <c r="A90" s="315"/>
      <c r="B90" s="314"/>
      <c r="C90" s="318"/>
      <c r="D90" s="351" t="s">
        <v>13</v>
      </c>
      <c r="E90" s="353" t="e">
        <f>'NC-CLBD'!I44/100</f>
        <v>#VALUE!</v>
      </c>
      <c r="F90" s="353">
        <f>'NC-CLBD'!I45/100</f>
        <v>31688.9</v>
      </c>
      <c r="G90" s="353">
        <f t="shared" si="8"/>
        <v>46230.86538461539</v>
      </c>
      <c r="H90" s="353">
        <f>'DCu-CLBD'!J116</f>
        <v>4011.79313701923</v>
      </c>
      <c r="I90" s="353">
        <f>$I$86</f>
        <v>1234.7639999999999</v>
      </c>
      <c r="J90" s="353">
        <f>'TBI-CLBD'!Q66</f>
        <v>18878.080000000002</v>
      </c>
      <c r="K90" s="353" t="e">
        <f>#REF!</f>
        <v>#REF!</v>
      </c>
      <c r="L90" s="353" t="e">
        <f t="shared" si="9"/>
        <v>#VALUE!</v>
      </c>
      <c r="M90" s="348" t="e">
        <f>L90*'He so chung'!$D$16/100</f>
        <v>#VALUE!</v>
      </c>
      <c r="N90" s="349" t="e">
        <f t="shared" si="10"/>
        <v>#VALUE!</v>
      </c>
      <c r="O90" s="354">
        <f>'He so chung'!$D$18*R90</f>
        <v>11557.716346153848</v>
      </c>
      <c r="P90" s="354">
        <f>'He so chung'!$D$19*R90</f>
        <v>9246.173076923078</v>
      </c>
      <c r="Q90" s="411">
        <f>'He so chung'!$D$20*R90</f>
        <v>2311.54326923077</v>
      </c>
      <c r="R90" s="443">
        <f>'NC-CLBD'!H44/100</f>
        <v>1.7295000000000003</v>
      </c>
    </row>
    <row r="91" spans="1:18" s="10" customFormat="1" ht="15.75" hidden="1" customHeight="1">
      <c r="A91" s="315"/>
      <c r="B91" s="314"/>
      <c r="C91" s="318"/>
      <c r="D91" s="351" t="s">
        <v>14</v>
      </c>
      <c r="E91" s="353" t="e">
        <f>'NC-CLBD'!#REF!/100</f>
        <v>#REF!</v>
      </c>
      <c r="F91" s="353" t="e">
        <f>'NC-CLBD'!#REF!/100</f>
        <v>#REF!</v>
      </c>
      <c r="G91" s="353" t="e">
        <f t="shared" si="8"/>
        <v>#REF!</v>
      </c>
      <c r="H91" s="353">
        <f>'DCu-CLBD'!J117</f>
        <v>0</v>
      </c>
      <c r="I91" s="353">
        <f>$I$86</f>
        <v>1234.7639999999999</v>
      </c>
      <c r="J91" s="353" t="e">
        <f>'TBI-CLBD'!#REF!</f>
        <v>#REF!</v>
      </c>
      <c r="K91" s="353" t="e">
        <f>#REF!</f>
        <v>#REF!</v>
      </c>
      <c r="L91" s="353" t="e">
        <f t="shared" si="9"/>
        <v>#REF!</v>
      </c>
      <c r="M91" s="348" t="e">
        <f>L91*'He so chung'!$D$16/100</f>
        <v>#REF!</v>
      </c>
      <c r="N91" s="349" t="e">
        <f t="shared" si="10"/>
        <v>#REF!</v>
      </c>
      <c r="O91" s="354" t="e">
        <f>'He so chung'!$D$18*R91</f>
        <v>#REF!</v>
      </c>
      <c r="P91" s="354" t="e">
        <f>'He so chung'!$D$19*R91</f>
        <v>#REF!</v>
      </c>
      <c r="Q91" s="411" t="e">
        <f>'He so chung'!$D$20*R91</f>
        <v>#REF!</v>
      </c>
      <c r="R91" s="443" t="e">
        <f>'NC-CLBD'!#REF!/100</f>
        <v>#REF!</v>
      </c>
    </row>
    <row r="92" spans="1:18" s="10" customFormat="1" ht="14.25" hidden="1" customHeight="1">
      <c r="A92" s="317"/>
      <c r="B92" s="317"/>
      <c r="C92" s="317"/>
      <c r="D92" s="361"/>
      <c r="E92" s="363"/>
      <c r="F92" s="363"/>
      <c r="G92" s="363"/>
      <c r="H92" s="363"/>
      <c r="I92" s="363"/>
      <c r="J92" s="363"/>
      <c r="K92" s="363"/>
      <c r="L92" s="363"/>
      <c r="M92" s="363"/>
      <c r="N92" s="365"/>
      <c r="O92" s="363"/>
      <c r="P92" s="441"/>
      <c r="Q92" s="442"/>
      <c r="R92" s="443"/>
    </row>
    <row r="93" spans="1:18" s="10" customFormat="1" ht="18.75" hidden="1" customHeight="1">
      <c r="A93" s="439" t="s">
        <v>4</v>
      </c>
      <c r="B93" s="440" t="s">
        <v>382</v>
      </c>
      <c r="C93" s="314"/>
      <c r="D93" s="351"/>
      <c r="E93" s="353"/>
      <c r="F93" s="353"/>
      <c r="G93" s="353"/>
      <c r="H93" s="353"/>
      <c r="I93" s="353"/>
      <c r="J93" s="353"/>
      <c r="K93" s="353"/>
      <c r="L93" s="353"/>
      <c r="M93" s="353"/>
      <c r="N93" s="349"/>
      <c r="O93" s="353"/>
      <c r="P93" s="441"/>
      <c r="Q93" s="442"/>
      <c r="R93" s="443"/>
    </row>
    <row r="94" spans="1:18" s="4" customFormat="1" ht="18.75" hidden="1" customHeight="1">
      <c r="A94" s="315" t="s">
        <v>9</v>
      </c>
      <c r="B94" s="314" t="s">
        <v>383</v>
      </c>
      <c r="C94" s="318"/>
      <c r="D94" s="315"/>
      <c r="E94" s="348"/>
      <c r="F94" s="348"/>
      <c r="G94" s="353"/>
      <c r="H94" s="348"/>
      <c r="I94" s="348"/>
      <c r="J94" s="348"/>
      <c r="K94" s="348"/>
      <c r="L94" s="353"/>
      <c r="M94" s="353"/>
      <c r="N94" s="349"/>
      <c r="O94" s="353"/>
      <c r="P94" s="350"/>
      <c r="Q94" s="410"/>
      <c r="R94" s="410"/>
    </row>
    <row r="95" spans="1:18" s="4" customFormat="1" ht="15" hidden="1" customHeight="1">
      <c r="A95" s="315"/>
      <c r="B95" s="314"/>
      <c r="C95" s="318"/>
      <c r="D95" s="315"/>
      <c r="E95" s="348"/>
      <c r="F95" s="348"/>
      <c r="G95" s="353"/>
      <c r="H95" s="348"/>
      <c r="I95" s="348"/>
      <c r="J95" s="348"/>
      <c r="K95" s="348"/>
      <c r="L95" s="353"/>
      <c r="M95" s="353"/>
      <c r="N95" s="349"/>
      <c r="O95" s="353"/>
      <c r="P95" s="350"/>
      <c r="Q95" s="410"/>
      <c r="R95" s="410"/>
    </row>
    <row r="96" spans="1:18" s="4" customFormat="1" ht="17.25" hidden="1" customHeight="1">
      <c r="A96" s="315" t="s">
        <v>10</v>
      </c>
      <c r="B96" s="314" t="s">
        <v>80</v>
      </c>
      <c r="C96" s="318" t="s">
        <v>278</v>
      </c>
      <c r="D96" s="351">
        <v>1</v>
      </c>
      <c r="E96" s="348" t="e">
        <f>'NC-CLBD'!#REF!/100</f>
        <v>#REF!</v>
      </c>
      <c r="F96" s="348"/>
      <c r="G96" s="353" t="e">
        <f t="shared" ref="G96:G101" si="11">$Q$1*10*P96</f>
        <v>#REF!</v>
      </c>
      <c r="H96" s="348" t="e">
        <f>'DCu-CLBD'!#REF!</f>
        <v>#REF!</v>
      </c>
      <c r="I96" s="348" t="e">
        <f>'VL-CLBD'!#REF!</f>
        <v>#REF!</v>
      </c>
      <c r="J96" s="348" t="e">
        <f>'TBI-CLBD'!#REF!</f>
        <v>#REF!</v>
      </c>
      <c r="K96" s="348" t="e">
        <f>#REF!</f>
        <v>#REF!</v>
      </c>
      <c r="L96" s="353" t="e">
        <f t="shared" ref="L96:L101" si="12">SUM(E96:K96)</f>
        <v>#REF!</v>
      </c>
      <c r="M96" s="353" t="e">
        <f>L96*'He so chung'!$D$17/100</f>
        <v>#REF!</v>
      </c>
      <c r="N96" s="349" t="e">
        <f t="shared" ref="N96:N101" si="13">M96+L96</f>
        <v>#REF!</v>
      </c>
      <c r="O96" s="354" t="e">
        <f>'He so chung'!$D$21*R96</f>
        <v>#REF!</v>
      </c>
      <c r="P96" s="354" t="e">
        <f>'He so chung'!$D$22*R96</f>
        <v>#REF!</v>
      </c>
      <c r="Q96" s="411" t="e">
        <f>'He so chung'!$D$23*R96</f>
        <v>#REF!</v>
      </c>
      <c r="R96" s="412" t="e">
        <f>'NC-CLBD'!#REF!/100</f>
        <v>#REF!</v>
      </c>
    </row>
    <row r="97" spans="1:18" s="4" customFormat="1" ht="17.25" hidden="1" customHeight="1">
      <c r="A97" s="315"/>
      <c r="B97" s="314"/>
      <c r="C97" s="318"/>
      <c r="D97" s="351">
        <v>2</v>
      </c>
      <c r="E97" s="348" t="e">
        <f>'NC-CLBD'!#REF!/100</f>
        <v>#REF!</v>
      </c>
      <c r="F97" s="348"/>
      <c r="G97" s="353" t="e">
        <f t="shared" si="11"/>
        <v>#REF!</v>
      </c>
      <c r="H97" s="348" t="e">
        <f>'DCu-CLBD'!#REF!</f>
        <v>#REF!</v>
      </c>
      <c r="I97" s="348" t="e">
        <f>$I$96</f>
        <v>#REF!</v>
      </c>
      <c r="J97" s="348" t="e">
        <f>'TBI-CLBD'!#REF!</f>
        <v>#REF!</v>
      </c>
      <c r="K97" s="348" t="e">
        <f>#REF!</f>
        <v>#REF!</v>
      </c>
      <c r="L97" s="353" t="e">
        <f t="shared" si="12"/>
        <v>#REF!</v>
      </c>
      <c r="M97" s="353" t="e">
        <f>L97*'He so chung'!$D$17/100</f>
        <v>#REF!</v>
      </c>
      <c r="N97" s="349" t="e">
        <f t="shared" si="13"/>
        <v>#REF!</v>
      </c>
      <c r="O97" s="354" t="e">
        <f>'He so chung'!$D$21*R97</f>
        <v>#REF!</v>
      </c>
      <c r="P97" s="354" t="e">
        <f>'He so chung'!$D$22*R97</f>
        <v>#REF!</v>
      </c>
      <c r="Q97" s="411" t="e">
        <f>'He so chung'!$D$23*R97</f>
        <v>#REF!</v>
      </c>
      <c r="R97" s="412" t="e">
        <f>'NC-CLBD'!#REF!/100</f>
        <v>#REF!</v>
      </c>
    </row>
    <row r="98" spans="1:18" s="4" customFormat="1" ht="17.25" hidden="1" customHeight="1">
      <c r="A98" s="315"/>
      <c r="B98" s="314"/>
      <c r="C98" s="318"/>
      <c r="D98" s="351">
        <v>3</v>
      </c>
      <c r="E98" s="348" t="e">
        <f>'NC-CLBD'!#REF!/100</f>
        <v>#REF!</v>
      </c>
      <c r="F98" s="348"/>
      <c r="G98" s="353" t="e">
        <f t="shared" si="11"/>
        <v>#REF!</v>
      </c>
      <c r="H98" s="348" t="e">
        <f>'DCu-CLBD'!#REF!</f>
        <v>#REF!</v>
      </c>
      <c r="I98" s="348" t="e">
        <f>$I$96</f>
        <v>#REF!</v>
      </c>
      <c r="J98" s="348" t="e">
        <f>'TBI-CLBD'!#REF!</f>
        <v>#REF!</v>
      </c>
      <c r="K98" s="348" t="e">
        <f>#REF!</f>
        <v>#REF!</v>
      </c>
      <c r="L98" s="353" t="e">
        <f t="shared" si="12"/>
        <v>#REF!</v>
      </c>
      <c r="M98" s="353" t="e">
        <f>L98*'He so chung'!$D$17/100</f>
        <v>#REF!</v>
      </c>
      <c r="N98" s="349" t="e">
        <f t="shared" si="13"/>
        <v>#REF!</v>
      </c>
      <c r="O98" s="354" t="e">
        <f>'He so chung'!$D$21*R98</f>
        <v>#REF!</v>
      </c>
      <c r="P98" s="354" t="e">
        <f>'He so chung'!$D$22*R98</f>
        <v>#REF!</v>
      </c>
      <c r="Q98" s="411" t="e">
        <f>'He so chung'!$D$23*R98</f>
        <v>#REF!</v>
      </c>
      <c r="R98" s="412" t="e">
        <f>'NC-CLBD'!#REF!/100</f>
        <v>#REF!</v>
      </c>
    </row>
    <row r="99" spans="1:18" s="4" customFormat="1" ht="17.25" hidden="1" customHeight="1">
      <c r="A99" s="315"/>
      <c r="B99" s="314"/>
      <c r="C99" s="318"/>
      <c r="D99" s="351">
        <v>4</v>
      </c>
      <c r="E99" s="348" t="e">
        <f>'NC-CLBD'!#REF!/100</f>
        <v>#REF!</v>
      </c>
      <c r="F99" s="348"/>
      <c r="G99" s="353" t="e">
        <f t="shared" si="11"/>
        <v>#REF!</v>
      </c>
      <c r="H99" s="348" t="e">
        <f>'DCu-CLBD'!#REF!</f>
        <v>#REF!</v>
      </c>
      <c r="I99" s="348" t="e">
        <f>$I$96</f>
        <v>#REF!</v>
      </c>
      <c r="J99" s="348" t="e">
        <f>'TBI-CLBD'!#REF!</f>
        <v>#REF!</v>
      </c>
      <c r="K99" s="348" t="e">
        <f>#REF!</f>
        <v>#REF!</v>
      </c>
      <c r="L99" s="353" t="e">
        <f t="shared" si="12"/>
        <v>#REF!</v>
      </c>
      <c r="M99" s="353" t="e">
        <f>L99*'He so chung'!$D$17/100</f>
        <v>#REF!</v>
      </c>
      <c r="N99" s="349" t="e">
        <f t="shared" si="13"/>
        <v>#REF!</v>
      </c>
      <c r="O99" s="354" t="e">
        <f>'He so chung'!$D$21*R99</f>
        <v>#REF!</v>
      </c>
      <c r="P99" s="354" t="e">
        <f>'He so chung'!$D$22*R99</f>
        <v>#REF!</v>
      </c>
      <c r="Q99" s="411" t="e">
        <f>'He so chung'!$D$23*R99</f>
        <v>#REF!</v>
      </c>
      <c r="R99" s="412" t="e">
        <f>'NC-CLBD'!#REF!/100</f>
        <v>#REF!</v>
      </c>
    </row>
    <row r="100" spans="1:18" s="4" customFormat="1" ht="17.25" hidden="1" customHeight="1">
      <c r="A100" s="315"/>
      <c r="B100" s="314"/>
      <c r="C100" s="318"/>
      <c r="D100" s="351" t="s">
        <v>13</v>
      </c>
      <c r="E100" s="348" t="e">
        <f>'NC-CLBD'!#REF!/100</f>
        <v>#REF!</v>
      </c>
      <c r="F100" s="348"/>
      <c r="G100" s="353" t="e">
        <f t="shared" si="11"/>
        <v>#REF!</v>
      </c>
      <c r="H100" s="348" t="e">
        <f>'DCu-CLBD'!#REF!</f>
        <v>#REF!</v>
      </c>
      <c r="I100" s="348" t="e">
        <f>$I$96</f>
        <v>#REF!</v>
      </c>
      <c r="J100" s="348" t="e">
        <f>'TBI-CLBD'!#REF!</f>
        <v>#REF!</v>
      </c>
      <c r="K100" s="348" t="e">
        <f>#REF!</f>
        <v>#REF!</v>
      </c>
      <c r="L100" s="353" t="e">
        <f t="shared" si="12"/>
        <v>#REF!</v>
      </c>
      <c r="M100" s="353" t="e">
        <f>L100*'He so chung'!$D$17/100</f>
        <v>#REF!</v>
      </c>
      <c r="N100" s="349" t="e">
        <f t="shared" si="13"/>
        <v>#REF!</v>
      </c>
      <c r="O100" s="354" t="e">
        <f>'He so chung'!$D$21*R100</f>
        <v>#REF!</v>
      </c>
      <c r="P100" s="354" t="e">
        <f>'He so chung'!$D$22*R100</f>
        <v>#REF!</v>
      </c>
      <c r="Q100" s="411" t="e">
        <f>'He so chung'!$D$23*R100</f>
        <v>#REF!</v>
      </c>
      <c r="R100" s="412" t="e">
        <f>'NC-CLBD'!#REF!/100</f>
        <v>#REF!</v>
      </c>
    </row>
    <row r="101" spans="1:18" s="4" customFormat="1" ht="17.25" hidden="1" customHeight="1">
      <c r="A101" s="315"/>
      <c r="B101" s="314"/>
      <c r="C101" s="318"/>
      <c r="D101" s="351" t="s">
        <v>14</v>
      </c>
      <c r="E101" s="348" t="e">
        <f>'NC-CLBD'!#REF!/100</f>
        <v>#REF!</v>
      </c>
      <c r="F101" s="348"/>
      <c r="G101" s="353" t="e">
        <f t="shared" si="11"/>
        <v>#REF!</v>
      </c>
      <c r="H101" s="348" t="e">
        <f>'DCu-CLBD'!#REF!</f>
        <v>#REF!</v>
      </c>
      <c r="I101" s="348" t="e">
        <f>$I$96</f>
        <v>#REF!</v>
      </c>
      <c r="J101" s="348" t="e">
        <f>'TBI-CLBD'!#REF!</f>
        <v>#REF!</v>
      </c>
      <c r="K101" s="348" t="e">
        <f>#REF!</f>
        <v>#REF!</v>
      </c>
      <c r="L101" s="353" t="e">
        <f t="shared" si="12"/>
        <v>#REF!</v>
      </c>
      <c r="M101" s="353" t="e">
        <f>L101*'He so chung'!$D$17/100</f>
        <v>#REF!</v>
      </c>
      <c r="N101" s="349" t="e">
        <f t="shared" si="13"/>
        <v>#REF!</v>
      </c>
      <c r="O101" s="354" t="e">
        <f>'He so chung'!$D$21*R101</f>
        <v>#REF!</v>
      </c>
      <c r="P101" s="354" t="e">
        <f>'He so chung'!$D$22*R101</f>
        <v>#REF!</v>
      </c>
      <c r="Q101" s="411" t="e">
        <f>'He so chung'!$D$23*R101</f>
        <v>#REF!</v>
      </c>
      <c r="R101" s="412" t="e">
        <f>'NC-CLBD'!#REF!/100</f>
        <v>#REF!</v>
      </c>
    </row>
    <row r="102" spans="1:18" s="4" customFormat="1" ht="10.5" hidden="1" customHeight="1">
      <c r="A102" s="317"/>
      <c r="B102" s="317"/>
      <c r="C102" s="317"/>
      <c r="D102" s="361"/>
      <c r="E102" s="364"/>
      <c r="F102" s="364"/>
      <c r="G102" s="363"/>
      <c r="H102" s="364"/>
      <c r="I102" s="364"/>
      <c r="J102" s="364"/>
      <c r="K102" s="364"/>
      <c r="L102" s="363"/>
      <c r="M102" s="363"/>
      <c r="N102" s="365"/>
      <c r="O102" s="363"/>
      <c r="P102" s="354"/>
      <c r="Q102" s="411"/>
      <c r="R102" s="412"/>
    </row>
    <row r="103" spans="1:18" s="4" customFormat="1" ht="12" hidden="1" customHeight="1">
      <c r="A103" s="119"/>
      <c r="B103" s="119"/>
      <c r="C103" s="119"/>
      <c r="D103" s="367"/>
      <c r="E103" s="369"/>
      <c r="F103" s="369"/>
      <c r="G103" s="368"/>
      <c r="H103" s="369"/>
      <c r="I103" s="369"/>
      <c r="J103" s="369"/>
      <c r="K103" s="369"/>
      <c r="L103" s="368"/>
      <c r="M103" s="368"/>
      <c r="N103" s="370"/>
      <c r="O103" s="368"/>
      <c r="P103" s="366"/>
      <c r="Q103" s="434"/>
      <c r="R103" s="425"/>
    </row>
    <row r="104" spans="1:18" s="4" customFormat="1" ht="12" hidden="1" customHeight="1">
      <c r="A104" s="117"/>
      <c r="B104" s="117"/>
      <c r="C104" s="117"/>
      <c r="D104" s="372"/>
      <c r="E104" s="374"/>
      <c r="F104" s="374"/>
      <c r="G104" s="373"/>
      <c r="H104" s="374"/>
      <c r="I104" s="374"/>
      <c r="J104" s="374"/>
      <c r="K104" s="374"/>
      <c r="L104" s="373"/>
      <c r="M104" s="373"/>
      <c r="N104" s="375"/>
      <c r="O104" s="373"/>
      <c r="P104" s="376"/>
      <c r="Q104" s="452"/>
      <c r="R104" s="453"/>
    </row>
    <row r="105" spans="1:18" s="4" customFormat="1" ht="18" hidden="1" customHeight="1">
      <c r="A105" s="970" t="s">
        <v>376</v>
      </c>
      <c r="B105" s="972" t="s">
        <v>377</v>
      </c>
      <c r="C105" s="974" t="s">
        <v>378</v>
      </c>
      <c r="D105" s="970" t="s">
        <v>91</v>
      </c>
      <c r="E105" s="964" t="s">
        <v>368</v>
      </c>
      <c r="F105" s="965"/>
      <c r="G105" s="965"/>
      <c r="H105" s="965"/>
      <c r="I105" s="965"/>
      <c r="J105" s="965"/>
      <c r="K105" s="965"/>
      <c r="L105" s="966"/>
      <c r="M105" s="324" t="s">
        <v>63</v>
      </c>
      <c r="N105" s="974" t="s">
        <v>379</v>
      </c>
      <c r="O105" s="323" t="s">
        <v>18</v>
      </c>
      <c r="P105" s="418" t="s">
        <v>19</v>
      </c>
      <c r="Q105" s="419" t="s">
        <v>19</v>
      </c>
      <c r="R105" s="420" t="s">
        <v>16</v>
      </c>
    </row>
    <row r="106" spans="1:18" s="4" customFormat="1" ht="18" hidden="1" customHeight="1">
      <c r="A106" s="971"/>
      <c r="B106" s="973"/>
      <c r="C106" s="975"/>
      <c r="D106" s="971"/>
      <c r="E106" s="327" t="s">
        <v>369</v>
      </c>
      <c r="F106" s="326" t="s">
        <v>370</v>
      </c>
      <c r="G106" s="328">
        <v>0</v>
      </c>
      <c r="H106" s="326" t="s">
        <v>257</v>
      </c>
      <c r="I106" s="326" t="s">
        <v>280</v>
      </c>
      <c r="J106" s="326" t="s">
        <v>261</v>
      </c>
      <c r="K106" s="326" t="s">
        <v>371</v>
      </c>
      <c r="L106" s="326" t="s">
        <v>372</v>
      </c>
      <c r="M106" s="326" t="s">
        <v>48</v>
      </c>
      <c r="N106" s="975"/>
      <c r="O106" s="325" t="s">
        <v>20</v>
      </c>
      <c r="P106" s="325" t="s">
        <v>21</v>
      </c>
      <c r="Q106" s="421" t="s">
        <v>22</v>
      </c>
      <c r="R106" s="422" t="s">
        <v>17</v>
      </c>
    </row>
    <row r="107" spans="1:18" s="4" customFormat="1" ht="15" hidden="1" customHeight="1">
      <c r="A107" s="329" t="s">
        <v>52</v>
      </c>
      <c r="B107" s="330" t="s">
        <v>53</v>
      </c>
      <c r="C107" s="330" t="s">
        <v>54</v>
      </c>
      <c r="D107" s="331" t="s">
        <v>55</v>
      </c>
      <c r="E107" s="332" t="s">
        <v>56</v>
      </c>
      <c r="F107" s="332" t="s">
        <v>57</v>
      </c>
      <c r="G107" s="332"/>
      <c r="H107" s="332" t="s">
        <v>58</v>
      </c>
      <c r="I107" s="332" t="s">
        <v>59</v>
      </c>
      <c r="J107" s="332" t="s">
        <v>60</v>
      </c>
      <c r="K107" s="332" t="s">
        <v>61</v>
      </c>
      <c r="L107" s="333" t="s">
        <v>373</v>
      </c>
      <c r="M107" s="333" t="s">
        <v>374</v>
      </c>
      <c r="N107" s="334" t="s">
        <v>375</v>
      </c>
      <c r="O107" s="332" t="s">
        <v>62</v>
      </c>
      <c r="P107" s="408"/>
      <c r="Q107" s="408"/>
      <c r="R107" s="409"/>
    </row>
    <row r="108" spans="1:18" s="4" customFormat="1" ht="18" hidden="1" customHeight="1">
      <c r="A108" s="315" t="s">
        <v>11</v>
      </c>
      <c r="B108" s="402" t="s">
        <v>392</v>
      </c>
      <c r="C108" s="318" t="s">
        <v>278</v>
      </c>
      <c r="D108" s="351" t="s">
        <v>8</v>
      </c>
      <c r="E108" s="348" t="e">
        <f>'NC-CLBD'!#REF!/100</f>
        <v>#REF!</v>
      </c>
      <c r="F108" s="348"/>
      <c r="G108" s="353" t="e">
        <f>$Q$1*10*P108</f>
        <v>#REF!</v>
      </c>
      <c r="H108" s="348"/>
      <c r="I108" s="348"/>
      <c r="J108" s="348"/>
      <c r="K108" s="348"/>
      <c r="L108" s="353" t="e">
        <f>SUM(E108:K108)</f>
        <v>#REF!</v>
      </c>
      <c r="M108" s="353" t="e">
        <f>L108*'He so chung'!$D$17/100</f>
        <v>#REF!</v>
      </c>
      <c r="N108" s="349" t="e">
        <f>M108+L108</f>
        <v>#REF!</v>
      </c>
      <c r="O108" s="354" t="e">
        <f>'He so chung'!$D$21*R108</f>
        <v>#REF!</v>
      </c>
      <c r="P108" s="354" t="e">
        <f>'He so chung'!$D$22*R108</f>
        <v>#REF!</v>
      </c>
      <c r="Q108" s="411" t="e">
        <f>'He so chung'!$D$23*R108</f>
        <v>#REF!</v>
      </c>
      <c r="R108" s="412" t="e">
        <f>'NC-CLBD'!#REF!/100</f>
        <v>#REF!</v>
      </c>
    </row>
    <row r="109" spans="1:18" s="4" customFormat="1" ht="15.75" hidden="1" customHeight="1">
      <c r="A109" s="315"/>
      <c r="B109" s="402" t="s">
        <v>393</v>
      </c>
      <c r="C109" s="318"/>
      <c r="D109" s="351"/>
      <c r="E109" s="348"/>
      <c r="F109" s="348"/>
      <c r="G109" s="353"/>
      <c r="H109" s="348"/>
      <c r="I109" s="348"/>
      <c r="J109" s="348"/>
      <c r="K109" s="348"/>
      <c r="L109" s="353"/>
      <c r="M109" s="353"/>
      <c r="N109" s="349"/>
      <c r="O109" s="353"/>
      <c r="P109" s="354"/>
      <c r="Q109" s="411"/>
      <c r="R109" s="412"/>
    </row>
    <row r="110" spans="1:18" s="4" customFormat="1" ht="12.75" hidden="1" customHeight="1">
      <c r="A110" s="314"/>
      <c r="B110" s="314"/>
      <c r="C110" s="314"/>
      <c r="D110" s="351"/>
      <c r="E110" s="348"/>
      <c r="F110" s="348"/>
      <c r="G110" s="353"/>
      <c r="H110" s="348"/>
      <c r="I110" s="348"/>
      <c r="J110" s="348"/>
      <c r="K110" s="348"/>
      <c r="L110" s="353"/>
      <c r="M110" s="353"/>
      <c r="N110" s="349"/>
      <c r="O110" s="353"/>
      <c r="P110" s="354"/>
      <c r="Q110" s="411"/>
      <c r="R110" s="412"/>
    </row>
    <row r="111" spans="1:18" s="4" customFormat="1" ht="18" hidden="1" customHeight="1">
      <c r="A111" s="315" t="s">
        <v>12</v>
      </c>
      <c r="B111" s="314" t="s">
        <v>81</v>
      </c>
      <c r="C111" s="318" t="s">
        <v>278</v>
      </c>
      <c r="D111" s="351">
        <v>1</v>
      </c>
      <c r="E111" s="348" t="e">
        <f>'NC-CLBD'!I54/100</f>
        <v>#VALUE!</v>
      </c>
      <c r="F111" s="348"/>
      <c r="G111" s="353">
        <f t="shared" ref="G111:G116" si="14">$Q$1*10*P111</f>
        <v>871.42307692307679</v>
      </c>
      <c r="H111" s="348">
        <f>'DCu-CLBD'!J156</f>
        <v>170.98423676923082</v>
      </c>
      <c r="I111" s="348">
        <f>'VL-CLBD'!H71</f>
        <v>5611.8959999999997</v>
      </c>
      <c r="J111" s="348">
        <f>'TBI-CLBD'!I116</f>
        <v>188.3064</v>
      </c>
      <c r="K111" s="348" t="e">
        <f>#REF!</f>
        <v>#REF!</v>
      </c>
      <c r="L111" s="353" t="e">
        <f t="shared" ref="L111:L116" si="15">SUM(E111:K111)</f>
        <v>#VALUE!</v>
      </c>
      <c r="M111" s="353" t="e">
        <f>L111*'He so chung'!$D$17/100</f>
        <v>#VALUE!</v>
      </c>
      <c r="N111" s="349" t="e">
        <f t="shared" ref="N111:N116" si="16">M111+L111</f>
        <v>#VALUE!</v>
      </c>
      <c r="O111" s="354">
        <f>'He so chung'!$D$21*R111</f>
        <v>200.42730769230766</v>
      </c>
      <c r="P111" s="354">
        <f>'He so chung'!$D$22*R111</f>
        <v>174.28461538461536</v>
      </c>
      <c r="Q111" s="411">
        <f>'He so chung'!$D$23*R111</f>
        <v>26.142692307692304</v>
      </c>
      <c r="R111" s="412">
        <f>'NC-CLBD'!H54/100</f>
        <v>3.2599999999999997E-2</v>
      </c>
    </row>
    <row r="112" spans="1:18" s="4" customFormat="1" ht="18" hidden="1" customHeight="1">
      <c r="A112" s="315"/>
      <c r="B112" s="314"/>
      <c r="C112" s="318"/>
      <c r="D112" s="351">
        <v>2</v>
      </c>
      <c r="E112" s="348" t="e">
        <f>'NC-CLBD'!I56/100</f>
        <v>#VALUE!</v>
      </c>
      <c r="F112" s="348"/>
      <c r="G112" s="353">
        <f t="shared" si="14"/>
        <v>1085.2692307692305</v>
      </c>
      <c r="H112" s="348">
        <f>'DCu-CLBD'!J157</f>
        <v>213.7302959615385</v>
      </c>
      <c r="I112" s="348">
        <f>$I$111</f>
        <v>5611.8959999999997</v>
      </c>
      <c r="J112" s="348">
        <f>'TBI-CLBD'!K116</f>
        <v>204.458</v>
      </c>
      <c r="K112" s="348" t="e">
        <f>#REF!</f>
        <v>#REF!</v>
      </c>
      <c r="L112" s="353" t="e">
        <f t="shared" si="15"/>
        <v>#VALUE!</v>
      </c>
      <c r="M112" s="353" t="e">
        <f>L112*'He so chung'!$D$17/100</f>
        <v>#VALUE!</v>
      </c>
      <c r="N112" s="349" t="e">
        <f t="shared" si="16"/>
        <v>#VALUE!</v>
      </c>
      <c r="O112" s="354">
        <f>'He so chung'!$D$21*R112</f>
        <v>249.61192307692306</v>
      </c>
      <c r="P112" s="354">
        <f>'He so chung'!$D$22*R112</f>
        <v>217.05384615384611</v>
      </c>
      <c r="Q112" s="411">
        <f>'He so chung'!$D$23*R112</f>
        <v>32.558076923076918</v>
      </c>
      <c r="R112" s="412">
        <f>'NC-CLBD'!H56/100</f>
        <v>4.0599999999999997E-2</v>
      </c>
    </row>
    <row r="113" spans="1:18" s="4" customFormat="1" ht="18" hidden="1" customHeight="1">
      <c r="A113" s="315"/>
      <c r="B113" s="314"/>
      <c r="C113" s="318"/>
      <c r="D113" s="351">
        <v>3</v>
      </c>
      <c r="E113" s="348" t="e">
        <f>'NC-CLBD'!I58/100</f>
        <v>#VALUE!</v>
      </c>
      <c r="F113" s="348"/>
      <c r="G113" s="353">
        <f t="shared" si="14"/>
        <v>1160.1153846153845</v>
      </c>
      <c r="H113" s="348">
        <f>'DCu-CLBD'!J158</f>
        <v>284.97372794871802</v>
      </c>
      <c r="I113" s="348">
        <f>$I$111</f>
        <v>5611.8959999999997</v>
      </c>
      <c r="J113" s="348">
        <f>'TBI-CLBD'!M116</f>
        <v>232.25959999999998</v>
      </c>
      <c r="K113" s="348" t="e">
        <f>#REF!</f>
        <v>#REF!</v>
      </c>
      <c r="L113" s="353" t="e">
        <f t="shared" si="15"/>
        <v>#VALUE!</v>
      </c>
      <c r="M113" s="353" t="e">
        <f>L113*'He so chung'!$D$17/100</f>
        <v>#VALUE!</v>
      </c>
      <c r="N113" s="349" t="e">
        <f t="shared" si="16"/>
        <v>#VALUE!</v>
      </c>
      <c r="O113" s="354">
        <f>'He so chung'!$D$21*R113</f>
        <v>266.82653846153846</v>
      </c>
      <c r="P113" s="354">
        <f>'He so chung'!$D$22*R113</f>
        <v>232.0230769230769</v>
      </c>
      <c r="Q113" s="411">
        <f>'He so chung'!$D$23*R113</f>
        <v>34.803461538461541</v>
      </c>
      <c r="R113" s="412">
        <f>'NC-CLBD'!H58/100</f>
        <v>4.3400000000000001E-2</v>
      </c>
    </row>
    <row r="114" spans="1:18" s="4" customFormat="1" ht="18" hidden="1" customHeight="1">
      <c r="A114" s="315"/>
      <c r="B114" s="314"/>
      <c r="C114" s="318"/>
      <c r="D114" s="351">
        <v>4</v>
      </c>
      <c r="E114" s="348" t="e">
        <f>'NC-CLBD'!I60/100</f>
        <v>#VALUE!</v>
      </c>
      <c r="F114" s="348"/>
      <c r="G114" s="353">
        <f t="shared" si="14"/>
        <v>1956.6923076923076</v>
      </c>
      <c r="H114" s="348">
        <f>'DCu-CLBD'!J159</f>
        <v>384.71453273076935</v>
      </c>
      <c r="I114" s="348">
        <f>$I$111</f>
        <v>5611.8959999999997</v>
      </c>
      <c r="J114" s="348">
        <f>'TBI-CLBD'!O116</f>
        <v>271.1112</v>
      </c>
      <c r="K114" s="348" t="e">
        <f>#REF!</f>
        <v>#REF!</v>
      </c>
      <c r="L114" s="353" t="e">
        <f t="shared" si="15"/>
        <v>#VALUE!</v>
      </c>
      <c r="M114" s="353" t="e">
        <f>L114*'He so chung'!$D$17/100</f>
        <v>#VALUE!</v>
      </c>
      <c r="N114" s="349" t="e">
        <f t="shared" si="16"/>
        <v>#VALUE!</v>
      </c>
      <c r="O114" s="354">
        <f>'He so chung'!$D$21*R114</f>
        <v>450.03923076923076</v>
      </c>
      <c r="P114" s="354">
        <f>'He so chung'!$D$22*R114</f>
        <v>391.3384615384615</v>
      </c>
      <c r="Q114" s="411">
        <f>'He so chung'!$D$23*R114</f>
        <v>58.700769230769232</v>
      </c>
      <c r="R114" s="412">
        <f>'NC-CLBD'!H60/100</f>
        <v>7.3200000000000001E-2</v>
      </c>
    </row>
    <row r="115" spans="1:18" s="4" customFormat="1" ht="18" hidden="1" customHeight="1">
      <c r="A115" s="315"/>
      <c r="B115" s="314"/>
      <c r="C115" s="318"/>
      <c r="D115" s="351" t="s">
        <v>13</v>
      </c>
      <c r="E115" s="348" t="e">
        <f>'NC-CLBD'!I62/100</f>
        <v>#VALUE!</v>
      </c>
      <c r="F115" s="348"/>
      <c r="G115" s="353">
        <f t="shared" si="14"/>
        <v>2464.5769230769229</v>
      </c>
      <c r="H115" s="348">
        <f>'DCu-CLBD'!J160</f>
        <v>498.70402391025652</v>
      </c>
      <c r="I115" s="348">
        <f>$I$111</f>
        <v>5611.8959999999997</v>
      </c>
      <c r="J115" s="348">
        <f>'TBI-CLBD'!Q116</f>
        <v>309.6728</v>
      </c>
      <c r="K115" s="348" t="e">
        <f>#REF!</f>
        <v>#REF!</v>
      </c>
      <c r="L115" s="353" t="e">
        <f t="shared" si="15"/>
        <v>#VALUE!</v>
      </c>
      <c r="M115" s="353" t="e">
        <f>L115*'He so chung'!$D$17/100</f>
        <v>#VALUE!</v>
      </c>
      <c r="N115" s="349" t="e">
        <f t="shared" si="16"/>
        <v>#VALUE!</v>
      </c>
      <c r="O115" s="354">
        <f>'He so chung'!$D$21*R115</f>
        <v>566.85269230769234</v>
      </c>
      <c r="P115" s="354">
        <f>'He so chung'!$D$22*R115</f>
        <v>492.9153846153846</v>
      </c>
      <c r="Q115" s="411">
        <f>'He so chung'!$D$23*R115</f>
        <v>73.937307692307698</v>
      </c>
      <c r="R115" s="412">
        <f>'NC-CLBD'!H62/100</f>
        <v>9.2200000000000004E-2</v>
      </c>
    </row>
    <row r="116" spans="1:18" s="4" customFormat="1" ht="18" hidden="1" customHeight="1">
      <c r="A116" s="315"/>
      <c r="B116" s="314"/>
      <c r="C116" s="318"/>
      <c r="D116" s="351" t="s">
        <v>14</v>
      </c>
      <c r="E116" s="348" t="e">
        <f>'NC-CLBD'!#REF!/100</f>
        <v>#REF!</v>
      </c>
      <c r="F116" s="348"/>
      <c r="G116" s="353" t="e">
        <f t="shared" si="14"/>
        <v>#REF!</v>
      </c>
      <c r="H116" s="348">
        <f>'DCu-CLBD'!J161</f>
        <v>0</v>
      </c>
      <c r="I116" s="348">
        <f>$I$111</f>
        <v>5611.8959999999997</v>
      </c>
      <c r="J116" s="348" t="e">
        <f>'TBI-CLBD'!#REF!</f>
        <v>#REF!</v>
      </c>
      <c r="K116" s="348" t="e">
        <f>#REF!</f>
        <v>#REF!</v>
      </c>
      <c r="L116" s="353" t="e">
        <f t="shared" si="15"/>
        <v>#REF!</v>
      </c>
      <c r="M116" s="353" t="e">
        <f>L116*'He so chung'!$D$17/100</f>
        <v>#REF!</v>
      </c>
      <c r="N116" s="349" t="e">
        <f t="shared" si="16"/>
        <v>#REF!</v>
      </c>
      <c r="O116" s="354" t="e">
        <f>'He so chung'!$D$21*R116</f>
        <v>#REF!</v>
      </c>
      <c r="P116" s="354" t="e">
        <f>'He so chung'!$D$22*R116</f>
        <v>#REF!</v>
      </c>
      <c r="Q116" s="411" t="e">
        <f>'He so chung'!$D$23*R116</f>
        <v>#REF!</v>
      </c>
      <c r="R116" s="412" t="e">
        <f>'NC-CLBD'!#REF!/100</f>
        <v>#REF!</v>
      </c>
    </row>
    <row r="117" spans="1:18" s="4" customFormat="1" ht="14.25" hidden="1" customHeight="1">
      <c r="A117" s="314"/>
      <c r="B117" s="314"/>
      <c r="C117" s="314"/>
      <c r="D117" s="351"/>
      <c r="E117" s="348"/>
      <c r="F117" s="348"/>
      <c r="G117" s="353"/>
      <c r="H117" s="348"/>
      <c r="I117" s="348"/>
      <c r="J117" s="348"/>
      <c r="K117" s="348"/>
      <c r="L117" s="353"/>
      <c r="M117" s="353"/>
      <c r="N117" s="349"/>
      <c r="O117" s="354"/>
      <c r="P117" s="354"/>
      <c r="Q117" s="411"/>
      <c r="R117" s="412"/>
    </row>
    <row r="118" spans="1:18" s="4" customFormat="1" ht="17.25" hidden="1" customHeight="1">
      <c r="A118" s="315" t="s">
        <v>13</v>
      </c>
      <c r="B118" s="314" t="s">
        <v>384</v>
      </c>
      <c r="C118" s="318" t="s">
        <v>278</v>
      </c>
      <c r="D118" s="351" t="s">
        <v>8</v>
      </c>
      <c r="E118" s="348" t="e">
        <f>'NC-CLBD'!I64/100</f>
        <v>#VALUE!</v>
      </c>
      <c r="F118" s="348"/>
      <c r="G118" s="353">
        <f>$Q$1*10*P118</f>
        <v>801.92307692307679</v>
      </c>
      <c r="H118" s="348"/>
      <c r="I118" s="348"/>
      <c r="J118" s="348"/>
      <c r="K118" s="348"/>
      <c r="L118" s="353" t="e">
        <f>SUM(E118:K118)</f>
        <v>#VALUE!</v>
      </c>
      <c r="M118" s="353" t="e">
        <f>L118*'He so chung'!$D$17/100</f>
        <v>#VALUE!</v>
      </c>
      <c r="N118" s="349" t="e">
        <f>M118+L118</f>
        <v>#VALUE!</v>
      </c>
      <c r="O118" s="354">
        <f>'He so chung'!$D$21*R118</f>
        <v>184.44230769230768</v>
      </c>
      <c r="P118" s="354">
        <f>'He so chung'!$D$22*R118</f>
        <v>160.38461538461536</v>
      </c>
      <c r="Q118" s="411">
        <f>'He so chung'!$D$23*R118</f>
        <v>24.057692307692307</v>
      </c>
      <c r="R118" s="412">
        <f>'NC-CLBD'!H64/100</f>
        <v>0.03</v>
      </c>
    </row>
    <row r="119" spans="1:18" s="4" customFormat="1" ht="17.25" hidden="1" customHeight="1">
      <c r="A119" s="315"/>
      <c r="B119" s="314" t="s">
        <v>385</v>
      </c>
      <c r="C119" s="318"/>
      <c r="D119" s="351"/>
      <c r="E119" s="348"/>
      <c r="F119" s="348"/>
      <c r="G119" s="353"/>
      <c r="H119" s="348"/>
      <c r="I119" s="348"/>
      <c r="J119" s="348"/>
      <c r="K119" s="348"/>
      <c r="L119" s="353"/>
      <c r="M119" s="353"/>
      <c r="N119" s="349"/>
      <c r="O119" s="354"/>
      <c r="P119" s="354"/>
      <c r="Q119" s="411"/>
      <c r="R119" s="412"/>
    </row>
    <row r="120" spans="1:18" s="4" customFormat="1" ht="14.25" hidden="1" customHeight="1">
      <c r="A120" s="315"/>
      <c r="B120" s="314"/>
      <c r="C120" s="318"/>
      <c r="D120" s="351"/>
      <c r="E120" s="348"/>
      <c r="F120" s="348"/>
      <c r="G120" s="353"/>
      <c r="H120" s="348"/>
      <c r="I120" s="348"/>
      <c r="J120" s="348"/>
      <c r="K120" s="348"/>
      <c r="L120" s="353"/>
      <c r="M120" s="353"/>
      <c r="N120" s="349"/>
      <c r="O120" s="354"/>
      <c r="P120" s="354"/>
      <c r="Q120" s="411"/>
      <c r="R120" s="425"/>
    </row>
    <row r="121" spans="1:18" s="4" customFormat="1" ht="17.25" hidden="1" customHeight="1">
      <c r="A121" s="315" t="s">
        <v>14</v>
      </c>
      <c r="B121" s="314" t="s">
        <v>363</v>
      </c>
      <c r="C121" s="318" t="s">
        <v>278</v>
      </c>
      <c r="D121" s="351" t="s">
        <v>8</v>
      </c>
      <c r="E121" s="352" t="e">
        <f>'NC-CLBD'!I67/100</f>
        <v>#VALUE!</v>
      </c>
      <c r="F121" s="353"/>
      <c r="G121" s="353">
        <f>$Q$1*10*P121</f>
        <v>695</v>
      </c>
      <c r="H121" s="353">
        <f>'DCu-CLBD'!J186</f>
        <v>184.59746666666666</v>
      </c>
      <c r="I121" s="353">
        <f>'VL-CLBD'!H92</f>
        <v>1232.28</v>
      </c>
      <c r="J121" s="353">
        <f>'TBI-CLBD'!I155</f>
        <v>105.78</v>
      </c>
      <c r="K121" s="353" t="e">
        <f>#REF!</f>
        <v>#REF!</v>
      </c>
      <c r="L121" s="348" t="e">
        <f>SUM(E121:K121)</f>
        <v>#VALUE!</v>
      </c>
      <c r="M121" s="353" t="e">
        <f>L121*'He so chung'!$D$17/100</f>
        <v>#VALUE!</v>
      </c>
      <c r="N121" s="349" t="e">
        <f>M121+L121</f>
        <v>#VALUE!</v>
      </c>
      <c r="O121" s="354">
        <f>'He so chung'!$D$21*R121</f>
        <v>159.85000000000002</v>
      </c>
      <c r="P121" s="354">
        <f>'He so chung'!$D$22*R121</f>
        <v>139</v>
      </c>
      <c r="Q121" s="411">
        <f>'He so chung'!$D$23*R121</f>
        <v>20.85</v>
      </c>
      <c r="R121" s="412">
        <f>'NC-CLBD'!H67/100</f>
        <v>2.6000000000000002E-2</v>
      </c>
    </row>
    <row r="122" spans="1:18" s="4" customFormat="1" ht="15" hidden="1" customHeight="1">
      <c r="A122" s="316"/>
      <c r="B122" s="317"/>
      <c r="C122" s="121"/>
      <c r="D122" s="361"/>
      <c r="E122" s="362"/>
      <c r="F122" s="363"/>
      <c r="G122" s="353"/>
      <c r="H122" s="363"/>
      <c r="I122" s="363"/>
      <c r="J122" s="363"/>
      <c r="K122" s="363"/>
      <c r="L122" s="348"/>
      <c r="M122" s="353"/>
      <c r="N122" s="349"/>
      <c r="O122" s="354"/>
      <c r="P122" s="354"/>
      <c r="Q122" s="411"/>
      <c r="R122" s="425"/>
    </row>
    <row r="123" spans="1:18" s="4" customFormat="1" ht="17.25" hidden="1" customHeight="1">
      <c r="A123" s="315" t="s">
        <v>85</v>
      </c>
      <c r="B123" s="314" t="s">
        <v>364</v>
      </c>
      <c r="C123" s="318" t="s">
        <v>1</v>
      </c>
      <c r="D123" s="351" t="s">
        <v>8</v>
      </c>
      <c r="E123" s="362" t="e">
        <f>'NC-CLBD'!I69/6.25</f>
        <v>#VALUE!</v>
      </c>
      <c r="F123" s="363"/>
      <c r="G123" s="353">
        <f>$Q$1*10*P123</f>
        <v>2566.1538461538457</v>
      </c>
      <c r="H123" s="363">
        <f>'DCu-CLBD'!J209*70%</f>
        <v>1014.3178410256412</v>
      </c>
      <c r="I123" s="363">
        <f>'VL-CLBD'!H112*70%</f>
        <v>17986.752</v>
      </c>
      <c r="J123" s="363">
        <f>'TBI-CLBD'!I174*70%</f>
        <v>392</v>
      </c>
      <c r="K123" s="363" t="e">
        <f>#REF!*70%</f>
        <v>#REF!</v>
      </c>
      <c r="L123" s="348" t="e">
        <f>SUM(E123:K123)</f>
        <v>#VALUE!</v>
      </c>
      <c r="M123" s="353" t="e">
        <f>L123*'He so chung'!$D$17/100</f>
        <v>#VALUE!</v>
      </c>
      <c r="N123" s="349" t="e">
        <f>M123+L123</f>
        <v>#VALUE!</v>
      </c>
      <c r="O123" s="354">
        <f>'He so chung'!$D$21*R123</f>
        <v>590.21538461538466</v>
      </c>
      <c r="P123" s="354">
        <f>'He so chung'!$D$22*R123</f>
        <v>513.23076923076917</v>
      </c>
      <c r="Q123" s="411">
        <f>'He so chung'!$D$23*R123</f>
        <v>76.984615384615381</v>
      </c>
      <c r="R123" s="425">
        <f>'NC-CLBD'!H69/6.25</f>
        <v>9.6000000000000002E-2</v>
      </c>
    </row>
    <row r="124" spans="1:18" s="4" customFormat="1" ht="14.25" hidden="1" customHeight="1">
      <c r="A124" s="102"/>
      <c r="B124" s="103"/>
      <c r="C124" s="121"/>
      <c r="D124" s="361"/>
      <c r="E124" s="362"/>
      <c r="F124" s="363"/>
      <c r="G124" s="353"/>
      <c r="H124" s="363"/>
      <c r="I124" s="363"/>
      <c r="J124" s="363"/>
      <c r="K124" s="363"/>
      <c r="L124" s="348"/>
      <c r="M124" s="353"/>
      <c r="N124" s="349"/>
      <c r="O124" s="354"/>
      <c r="P124" s="354"/>
      <c r="Q124" s="411"/>
      <c r="R124" s="425"/>
    </row>
    <row r="125" spans="1:18" s="4" customFormat="1" ht="17.25" hidden="1" customHeight="1">
      <c r="A125" s="315" t="s">
        <v>87</v>
      </c>
      <c r="B125" s="314" t="s">
        <v>365</v>
      </c>
      <c r="C125" s="318" t="s">
        <v>1</v>
      </c>
      <c r="D125" s="351" t="s">
        <v>8</v>
      </c>
      <c r="E125" s="362" t="e">
        <f>'NC-CLBD'!I71/6.25</f>
        <v>#VALUE!</v>
      </c>
      <c r="F125" s="363"/>
      <c r="G125" s="353">
        <f>$Q$1*10*P125</f>
        <v>2566.1538461538457</v>
      </c>
      <c r="H125" s="363">
        <f>'DCu-CLBD'!J209*15%</f>
        <v>217.35382307692313</v>
      </c>
      <c r="I125" s="363">
        <f>'VL-CLBD'!H112*15%</f>
        <v>3854.3040000000001</v>
      </c>
      <c r="J125" s="363">
        <f>'TBI-CLBD'!I174*15%</f>
        <v>84</v>
      </c>
      <c r="K125" s="363" t="e">
        <f>#REF!*15%</f>
        <v>#REF!</v>
      </c>
      <c r="L125" s="348" t="e">
        <f>SUM(E125:K125)</f>
        <v>#VALUE!</v>
      </c>
      <c r="M125" s="353" t="e">
        <f>L125*'He so chung'!$D$17/100</f>
        <v>#VALUE!</v>
      </c>
      <c r="N125" s="349" t="e">
        <f>M125+L125</f>
        <v>#VALUE!</v>
      </c>
      <c r="O125" s="354">
        <f>'He so chung'!$D$21*R125</f>
        <v>590.21538461538466</v>
      </c>
      <c r="P125" s="354">
        <f>'He so chung'!$D$22*R125</f>
        <v>513.23076923076917</v>
      </c>
      <c r="Q125" s="411">
        <f>'He so chung'!$D$23*R125</f>
        <v>76.984615384615381</v>
      </c>
      <c r="R125" s="425">
        <f>'NC-CLBD'!H71/6.25</f>
        <v>9.6000000000000002E-2</v>
      </c>
    </row>
    <row r="126" spans="1:18" s="4" customFormat="1" ht="15" hidden="1" customHeight="1">
      <c r="A126" s="316"/>
      <c r="B126" s="317"/>
      <c r="C126" s="121"/>
      <c r="D126" s="361"/>
      <c r="E126" s="362"/>
      <c r="F126" s="363"/>
      <c r="G126" s="353"/>
      <c r="H126" s="363"/>
      <c r="I126" s="363"/>
      <c r="J126" s="363"/>
      <c r="K126" s="363"/>
      <c r="L126" s="348"/>
      <c r="M126" s="353"/>
      <c r="N126" s="349"/>
      <c r="O126" s="354"/>
      <c r="P126" s="354"/>
      <c r="Q126" s="411"/>
      <c r="R126" s="425"/>
    </row>
    <row r="127" spans="1:18" s="4" customFormat="1" ht="17.25" hidden="1" customHeight="1">
      <c r="A127" s="316" t="s">
        <v>88</v>
      </c>
      <c r="B127" s="317" t="s">
        <v>366</v>
      </c>
      <c r="C127" s="405" t="s">
        <v>1</v>
      </c>
      <c r="D127" s="361" t="s">
        <v>8</v>
      </c>
      <c r="E127" s="362" t="e">
        <f>'NC-CLBD'!I73/6.25</f>
        <v>#VALUE!</v>
      </c>
      <c r="F127" s="363"/>
      <c r="G127" s="353">
        <f>$Q$1*10*P127</f>
        <v>5388.9230769230762</v>
      </c>
      <c r="H127" s="363">
        <f>'DCu-CLBD'!J209*15%</f>
        <v>217.35382307692313</v>
      </c>
      <c r="I127" s="363">
        <f>'VL-CLBD'!H112*15%</f>
        <v>3854.3040000000001</v>
      </c>
      <c r="J127" s="363">
        <f>'TBI-CLBD'!I174*15%</f>
        <v>84</v>
      </c>
      <c r="K127" s="363" t="e">
        <f>#REF!*15%</f>
        <v>#REF!</v>
      </c>
      <c r="L127" s="364" t="e">
        <f>SUM(E127:K127)</f>
        <v>#VALUE!</v>
      </c>
      <c r="M127" s="353" t="e">
        <f>L127*'He so chung'!$D$17/100</f>
        <v>#VALUE!</v>
      </c>
      <c r="N127" s="365" t="e">
        <f>M127+L127</f>
        <v>#VALUE!</v>
      </c>
      <c r="O127" s="354">
        <f>'He so chung'!$D$21*R127</f>
        <v>1239.4523076923076</v>
      </c>
      <c r="P127" s="354">
        <f>'He so chung'!$D$22*R127</f>
        <v>1077.7846153846153</v>
      </c>
      <c r="Q127" s="411">
        <f>'He so chung'!$D$23*R127</f>
        <v>161.66769230769231</v>
      </c>
      <c r="R127" s="425">
        <f>'NC-CLBD'!H73/6.25</f>
        <v>0.2016</v>
      </c>
    </row>
    <row r="128" spans="1:18" s="4" customFormat="1" ht="8.25" hidden="1" customHeight="1">
      <c r="A128" s="403"/>
      <c r="B128" s="401"/>
      <c r="C128" s="404"/>
      <c r="D128" s="377"/>
      <c r="E128" s="379"/>
      <c r="F128" s="379"/>
      <c r="G128" s="379"/>
      <c r="H128" s="379"/>
      <c r="I128" s="379"/>
      <c r="J128" s="379"/>
      <c r="K128" s="379"/>
      <c r="L128" s="380"/>
      <c r="M128" s="379"/>
      <c r="N128" s="381"/>
      <c r="O128" s="382"/>
      <c r="P128" s="382"/>
      <c r="Q128" s="423"/>
      <c r="R128" s="424"/>
    </row>
    <row r="129" spans="1:18" s="4" customFormat="1" ht="6" hidden="1" customHeight="1">
      <c r="A129" s="444"/>
      <c r="B129" s="445"/>
      <c r="C129" s="446"/>
      <c r="D129" s="447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22"/>
      <c r="P129" s="322"/>
      <c r="Q129" s="426"/>
      <c r="R129" s="427"/>
    </row>
    <row r="130" spans="1:18" s="4" customFormat="1" ht="17.25" customHeight="1">
      <c r="A130" s="95"/>
      <c r="B130" s="501" t="s">
        <v>420</v>
      </c>
      <c r="C130" s="113"/>
      <c r="D130" s="384"/>
      <c r="E130" s="385"/>
      <c r="F130" s="385"/>
      <c r="G130" s="385"/>
      <c r="H130" s="385"/>
      <c r="I130" s="385"/>
      <c r="J130" s="385"/>
      <c r="K130" s="385"/>
      <c r="L130" s="385"/>
      <c r="M130" s="385"/>
      <c r="N130" s="385"/>
      <c r="O130" s="386"/>
      <c r="P130" s="428"/>
      <c r="Q130" s="429"/>
      <c r="R130" s="430"/>
    </row>
    <row r="131" spans="1:18" s="4" customFormat="1" ht="17.25" customHeight="1">
      <c r="A131" s="955" t="s">
        <v>3</v>
      </c>
      <c r="B131" s="958" t="s">
        <v>390</v>
      </c>
      <c r="C131" s="961" t="s">
        <v>1</v>
      </c>
      <c r="D131" s="387" t="s">
        <v>9</v>
      </c>
      <c r="E131" s="388" t="e">
        <f t="shared" ref="E131:R136" si="17">E72+E$123+E$125+E$127</f>
        <v>#VALUE!</v>
      </c>
      <c r="F131" s="388">
        <f t="shared" si="17"/>
        <v>0</v>
      </c>
      <c r="G131" s="388">
        <f t="shared" si="17"/>
        <v>48329.230769230759</v>
      </c>
      <c r="H131" s="388">
        <f t="shared" si="17"/>
        <v>5588.2224102564096</v>
      </c>
      <c r="I131" s="388">
        <f t="shared" si="17"/>
        <v>37704.960000000006</v>
      </c>
      <c r="J131" s="388">
        <f t="shared" si="17"/>
        <v>560</v>
      </c>
      <c r="K131" s="388" t="e">
        <f t="shared" si="17"/>
        <v>#REF!</v>
      </c>
      <c r="L131" s="388" t="e">
        <f t="shared" si="17"/>
        <v>#VALUE!</v>
      </c>
      <c r="M131" s="388" t="e">
        <f t="shared" si="17"/>
        <v>#VALUE!</v>
      </c>
      <c r="N131" s="388" t="e">
        <f t="shared" si="17"/>
        <v>#VALUE!</v>
      </c>
      <c r="O131" s="388">
        <f t="shared" si="17"/>
        <v>11871.883076923077</v>
      </c>
      <c r="P131" s="388">
        <f t="shared" si="17"/>
        <v>9665.8461538461524</v>
      </c>
      <c r="Q131" s="388">
        <f t="shared" si="17"/>
        <v>2206.0369230769234</v>
      </c>
      <c r="R131" s="388">
        <f t="shared" si="17"/>
        <v>1.8080000000000001</v>
      </c>
    </row>
    <row r="132" spans="1:18" s="4" customFormat="1" ht="17.25" customHeight="1">
      <c r="A132" s="956"/>
      <c r="B132" s="959"/>
      <c r="C132" s="962"/>
      <c r="D132" s="389" t="s">
        <v>10</v>
      </c>
      <c r="E132" s="388" t="e">
        <f t="shared" si="17"/>
        <v>#VALUE!</v>
      </c>
      <c r="F132" s="388">
        <f t="shared" si="17"/>
        <v>0</v>
      </c>
      <c r="G132" s="388">
        <f t="shared" si="17"/>
        <v>59620.307692307688</v>
      </c>
      <c r="H132" s="388">
        <f t="shared" si="17"/>
        <v>6623.0216410256407</v>
      </c>
      <c r="I132" s="388">
        <f t="shared" si="17"/>
        <v>37704.960000000006</v>
      </c>
      <c r="J132" s="388">
        <f t="shared" si="17"/>
        <v>560</v>
      </c>
      <c r="K132" s="388" t="e">
        <f t="shared" si="17"/>
        <v>#REF!</v>
      </c>
      <c r="L132" s="388" t="e">
        <f t="shared" si="17"/>
        <v>#VALUE!</v>
      </c>
      <c r="M132" s="388" t="e">
        <f t="shared" si="17"/>
        <v>#VALUE!</v>
      </c>
      <c r="N132" s="388" t="e">
        <f t="shared" si="17"/>
        <v>#VALUE!</v>
      </c>
      <c r="O132" s="388">
        <f t="shared" si="17"/>
        <v>14694.652307692308</v>
      </c>
      <c r="P132" s="388">
        <f t="shared" si="17"/>
        <v>11924.061538461538</v>
      </c>
      <c r="Q132" s="388">
        <f t="shared" si="17"/>
        <v>2770.5907692307696</v>
      </c>
      <c r="R132" s="388">
        <f t="shared" si="17"/>
        <v>2.2303999999999999</v>
      </c>
    </row>
    <row r="133" spans="1:18" s="4" customFormat="1" ht="17.25" customHeight="1">
      <c r="A133" s="956"/>
      <c r="B133" s="959"/>
      <c r="C133" s="962"/>
      <c r="D133" s="389" t="s">
        <v>11</v>
      </c>
      <c r="E133" s="388" t="e">
        <f t="shared" si="17"/>
        <v>#VALUE!</v>
      </c>
      <c r="F133" s="388">
        <f t="shared" si="17"/>
        <v>0</v>
      </c>
      <c r="G133" s="388">
        <f t="shared" si="17"/>
        <v>74418.461538461532</v>
      </c>
      <c r="H133" s="388">
        <f t="shared" si="17"/>
        <v>8347.6870256410257</v>
      </c>
      <c r="I133" s="388">
        <f t="shared" si="17"/>
        <v>37704.960000000006</v>
      </c>
      <c r="J133" s="388">
        <f t="shared" si="17"/>
        <v>560</v>
      </c>
      <c r="K133" s="388" t="e">
        <f t="shared" si="17"/>
        <v>#REF!</v>
      </c>
      <c r="L133" s="388" t="e">
        <f t="shared" si="17"/>
        <v>#VALUE!</v>
      </c>
      <c r="M133" s="388" t="e">
        <f t="shared" si="17"/>
        <v>#VALUE!</v>
      </c>
      <c r="N133" s="388" t="e">
        <f t="shared" si="17"/>
        <v>#VALUE!</v>
      </c>
      <c r="O133" s="388">
        <f t="shared" si="17"/>
        <v>18394.190769230769</v>
      </c>
      <c r="P133" s="388">
        <f t="shared" si="17"/>
        <v>14883.692307692307</v>
      </c>
      <c r="Q133" s="388">
        <f t="shared" si="17"/>
        <v>3510.4984615384624</v>
      </c>
      <c r="R133" s="388">
        <f t="shared" si="17"/>
        <v>2.7840000000000003</v>
      </c>
    </row>
    <row r="134" spans="1:18" s="4" customFormat="1" ht="17.25" customHeight="1">
      <c r="A134" s="956"/>
      <c r="B134" s="959"/>
      <c r="C134" s="962"/>
      <c r="D134" s="391" t="s">
        <v>12</v>
      </c>
      <c r="E134" s="388" t="e">
        <f t="shared" si="17"/>
        <v>#VALUE!</v>
      </c>
      <c r="F134" s="388">
        <f t="shared" si="17"/>
        <v>0</v>
      </c>
      <c r="G134" s="388">
        <f t="shared" si="17"/>
        <v>93579.076923076922</v>
      </c>
      <c r="H134" s="388">
        <f t="shared" si="17"/>
        <v>10762.218564102563</v>
      </c>
      <c r="I134" s="388">
        <f t="shared" si="17"/>
        <v>37704.960000000006</v>
      </c>
      <c r="J134" s="388">
        <f t="shared" si="17"/>
        <v>560</v>
      </c>
      <c r="K134" s="388" t="e">
        <f t="shared" si="17"/>
        <v>#REF!</v>
      </c>
      <c r="L134" s="388" t="e">
        <f t="shared" si="17"/>
        <v>#VALUE!</v>
      </c>
      <c r="M134" s="388" t="e">
        <f t="shared" si="17"/>
        <v>#VALUE!</v>
      </c>
      <c r="N134" s="388" t="e">
        <f t="shared" si="17"/>
        <v>#VALUE!</v>
      </c>
      <c r="O134" s="388">
        <f t="shared" si="17"/>
        <v>23184.344615384616</v>
      </c>
      <c r="P134" s="388">
        <f t="shared" si="17"/>
        <v>18715.815384615384</v>
      </c>
      <c r="Q134" s="388">
        <f t="shared" si="17"/>
        <v>4468.5292307692316</v>
      </c>
      <c r="R134" s="388">
        <f t="shared" si="17"/>
        <v>3.5008000000000004</v>
      </c>
    </row>
    <row r="135" spans="1:18" s="4" customFormat="1" ht="17.25" customHeight="1">
      <c r="A135" s="956"/>
      <c r="B135" s="959"/>
      <c r="C135" s="962"/>
      <c r="D135" s="389" t="s">
        <v>13</v>
      </c>
      <c r="E135" s="388" t="e">
        <f t="shared" si="17"/>
        <v>#VALUE!</v>
      </c>
      <c r="F135" s="388">
        <f t="shared" si="17"/>
        <v>0</v>
      </c>
      <c r="G135" s="388">
        <f t="shared" si="17"/>
        <v>118470.76923076921</v>
      </c>
      <c r="H135" s="388">
        <f t="shared" si="17"/>
        <v>13521.683179487178</v>
      </c>
      <c r="I135" s="388">
        <f t="shared" si="17"/>
        <v>37704.960000000006</v>
      </c>
      <c r="J135" s="388">
        <f t="shared" si="17"/>
        <v>560</v>
      </c>
      <c r="K135" s="388" t="e">
        <f t="shared" si="17"/>
        <v>#REF!</v>
      </c>
      <c r="L135" s="388" t="e">
        <f t="shared" si="17"/>
        <v>#VALUE!</v>
      </c>
      <c r="M135" s="388" t="e">
        <f t="shared" si="17"/>
        <v>#VALUE!</v>
      </c>
      <c r="N135" s="388" t="e">
        <f t="shared" si="17"/>
        <v>#VALUE!</v>
      </c>
      <c r="O135" s="388">
        <f t="shared" si="17"/>
        <v>29407.267692307687</v>
      </c>
      <c r="P135" s="388">
        <f t="shared" si="17"/>
        <v>23694.15384615384</v>
      </c>
      <c r="Q135" s="388">
        <f t="shared" si="17"/>
        <v>5713.1138461538458</v>
      </c>
      <c r="R135" s="388">
        <f t="shared" si="17"/>
        <v>4.4319999999999995</v>
      </c>
    </row>
    <row r="136" spans="1:18" s="4" customFormat="1" ht="17.25" customHeight="1">
      <c r="A136" s="967"/>
      <c r="B136" s="968"/>
      <c r="C136" s="969"/>
      <c r="D136" s="387" t="s">
        <v>14</v>
      </c>
      <c r="E136" s="388" t="e">
        <f t="shared" si="17"/>
        <v>#VALUE!</v>
      </c>
      <c r="F136" s="388">
        <f t="shared" si="17"/>
        <v>0</v>
      </c>
      <c r="G136" s="388">
        <f t="shared" si="17"/>
        <v>10521.230769230768</v>
      </c>
      <c r="H136" s="388">
        <f t="shared" si="17"/>
        <v>1449.0254871794875</v>
      </c>
      <c r="I136" s="388">
        <f t="shared" si="17"/>
        <v>37704.960000000006</v>
      </c>
      <c r="J136" s="388">
        <f t="shared" si="17"/>
        <v>560</v>
      </c>
      <c r="K136" s="388" t="e">
        <f t="shared" si="17"/>
        <v>#REF!</v>
      </c>
      <c r="L136" s="388" t="e">
        <f t="shared" si="17"/>
        <v>#VALUE!</v>
      </c>
      <c r="M136" s="388" t="e">
        <f t="shared" si="17"/>
        <v>#VALUE!</v>
      </c>
      <c r="N136" s="388" t="e">
        <f t="shared" si="17"/>
        <v>#VALUE!</v>
      </c>
      <c r="O136" s="388">
        <f t="shared" si="17"/>
        <v>2419.8830769230772</v>
      </c>
      <c r="P136" s="388">
        <f t="shared" si="17"/>
        <v>2104.2461538461539</v>
      </c>
      <c r="Q136" s="388">
        <f t="shared" si="17"/>
        <v>315.63692307692304</v>
      </c>
      <c r="R136" s="388">
        <f t="shared" si="17"/>
        <v>0.39360000000000001</v>
      </c>
    </row>
    <row r="137" spans="1:18" s="4" customFormat="1" ht="12.75" customHeight="1">
      <c r="A137" s="395"/>
      <c r="B137" s="396"/>
      <c r="C137" s="397"/>
      <c r="D137" s="387"/>
      <c r="E137" s="390"/>
      <c r="F137" s="390"/>
      <c r="G137" s="390"/>
      <c r="H137" s="390"/>
      <c r="I137" s="390"/>
      <c r="J137" s="390"/>
      <c r="K137" s="390"/>
      <c r="L137" s="390"/>
      <c r="M137" s="390"/>
      <c r="N137" s="390"/>
      <c r="O137" s="390"/>
      <c r="P137" s="431"/>
      <c r="Q137" s="432"/>
      <c r="R137" s="433"/>
    </row>
    <row r="138" spans="1:18" s="4" customFormat="1" ht="17.25" customHeight="1">
      <c r="A138" s="955" t="s">
        <v>4</v>
      </c>
      <c r="B138" s="958" t="s">
        <v>391</v>
      </c>
      <c r="C138" s="961" t="s">
        <v>278</v>
      </c>
      <c r="D138" s="387" t="s">
        <v>9</v>
      </c>
      <c r="E138" s="448" t="e">
        <f t="shared" ref="E138:R143" si="18">E79+E86+E96+E$108+E111+E$118+E$121</f>
        <v>#VALUE!</v>
      </c>
      <c r="F138" s="448">
        <f t="shared" si="18"/>
        <v>15274.6</v>
      </c>
      <c r="G138" s="448" t="e">
        <f t="shared" si="18"/>
        <v>#REF!</v>
      </c>
      <c r="H138" s="448" t="e">
        <f t="shared" si="18"/>
        <v>#REF!</v>
      </c>
      <c r="I138" s="448" t="e">
        <f t="shared" si="18"/>
        <v>#REF!</v>
      </c>
      <c r="J138" s="448" t="e">
        <f t="shared" si="18"/>
        <v>#REF!</v>
      </c>
      <c r="K138" s="448" t="e">
        <f t="shared" si="18"/>
        <v>#REF!</v>
      </c>
      <c r="L138" s="448" t="e">
        <f t="shared" si="18"/>
        <v>#VALUE!</v>
      </c>
      <c r="M138" s="448" t="e">
        <f t="shared" si="18"/>
        <v>#VALUE!</v>
      </c>
      <c r="N138" s="448" t="e">
        <f t="shared" si="18"/>
        <v>#VALUE!</v>
      </c>
      <c r="O138" s="448" t="e">
        <f t="shared" si="18"/>
        <v>#REF!</v>
      </c>
      <c r="P138" s="448" t="e">
        <f t="shared" si="18"/>
        <v>#REF!</v>
      </c>
      <c r="Q138" s="448" t="e">
        <f t="shared" si="18"/>
        <v>#REF!</v>
      </c>
      <c r="R138" s="448" t="e">
        <f t="shared" si="18"/>
        <v>#REF!</v>
      </c>
    </row>
    <row r="139" spans="1:18" s="4" customFormat="1" ht="17.25" customHeight="1">
      <c r="A139" s="956"/>
      <c r="B139" s="959"/>
      <c r="C139" s="962"/>
      <c r="D139" s="389" t="s">
        <v>10</v>
      </c>
      <c r="E139" s="449" t="e">
        <f t="shared" si="18"/>
        <v>#VALUE!</v>
      </c>
      <c r="F139" s="449">
        <f t="shared" si="18"/>
        <v>18340</v>
      </c>
      <c r="G139" s="449" t="e">
        <f t="shared" si="18"/>
        <v>#REF!</v>
      </c>
      <c r="H139" s="449" t="e">
        <f t="shared" si="18"/>
        <v>#REF!</v>
      </c>
      <c r="I139" s="449" t="e">
        <f t="shared" si="18"/>
        <v>#REF!</v>
      </c>
      <c r="J139" s="449" t="e">
        <f t="shared" si="18"/>
        <v>#REF!</v>
      </c>
      <c r="K139" s="449" t="e">
        <f t="shared" si="18"/>
        <v>#REF!</v>
      </c>
      <c r="L139" s="449" t="e">
        <f t="shared" si="18"/>
        <v>#VALUE!</v>
      </c>
      <c r="M139" s="449" t="e">
        <f t="shared" si="18"/>
        <v>#VALUE!</v>
      </c>
      <c r="N139" s="449" t="e">
        <f t="shared" si="18"/>
        <v>#VALUE!</v>
      </c>
      <c r="O139" s="449" t="e">
        <f t="shared" si="18"/>
        <v>#REF!</v>
      </c>
      <c r="P139" s="449" t="e">
        <f t="shared" si="18"/>
        <v>#REF!</v>
      </c>
      <c r="Q139" s="449" t="e">
        <f t="shared" si="18"/>
        <v>#REF!</v>
      </c>
      <c r="R139" s="449" t="e">
        <f t="shared" si="18"/>
        <v>#REF!</v>
      </c>
    </row>
    <row r="140" spans="1:18" s="4" customFormat="1" ht="17.25" customHeight="1">
      <c r="A140" s="956"/>
      <c r="B140" s="959"/>
      <c r="C140" s="962"/>
      <c r="D140" s="389" t="s">
        <v>11</v>
      </c>
      <c r="E140" s="449" t="e">
        <f t="shared" si="18"/>
        <v>#VALUE!</v>
      </c>
      <c r="F140" s="449">
        <f t="shared" si="18"/>
        <v>22008</v>
      </c>
      <c r="G140" s="449" t="e">
        <f t="shared" si="18"/>
        <v>#REF!</v>
      </c>
      <c r="H140" s="449" t="e">
        <f t="shared" si="18"/>
        <v>#REF!</v>
      </c>
      <c r="I140" s="449" t="e">
        <f t="shared" si="18"/>
        <v>#REF!</v>
      </c>
      <c r="J140" s="449" t="e">
        <f t="shared" si="18"/>
        <v>#REF!</v>
      </c>
      <c r="K140" s="449" t="e">
        <f t="shared" si="18"/>
        <v>#REF!</v>
      </c>
      <c r="L140" s="449" t="e">
        <f t="shared" si="18"/>
        <v>#VALUE!</v>
      </c>
      <c r="M140" s="449" t="e">
        <f t="shared" si="18"/>
        <v>#VALUE!</v>
      </c>
      <c r="N140" s="449" t="e">
        <f t="shared" si="18"/>
        <v>#VALUE!</v>
      </c>
      <c r="O140" s="449" t="e">
        <f t="shared" si="18"/>
        <v>#REF!</v>
      </c>
      <c r="P140" s="449" t="e">
        <f t="shared" si="18"/>
        <v>#REF!</v>
      </c>
      <c r="Q140" s="449" t="e">
        <f t="shared" si="18"/>
        <v>#REF!</v>
      </c>
      <c r="R140" s="449" t="e">
        <f t="shared" si="18"/>
        <v>#REF!</v>
      </c>
    </row>
    <row r="141" spans="1:18" s="4" customFormat="1" ht="17.25" customHeight="1">
      <c r="A141" s="956"/>
      <c r="B141" s="959"/>
      <c r="C141" s="962"/>
      <c r="D141" s="391" t="s">
        <v>12</v>
      </c>
      <c r="E141" s="449" t="e">
        <f t="shared" si="18"/>
        <v>#VALUE!</v>
      </c>
      <c r="F141" s="449">
        <f t="shared" si="18"/>
        <v>26396.5</v>
      </c>
      <c r="G141" s="449" t="e">
        <f t="shared" si="18"/>
        <v>#REF!</v>
      </c>
      <c r="H141" s="449" t="e">
        <f t="shared" si="18"/>
        <v>#REF!</v>
      </c>
      <c r="I141" s="449" t="e">
        <f t="shared" si="18"/>
        <v>#REF!</v>
      </c>
      <c r="J141" s="449" t="e">
        <f t="shared" si="18"/>
        <v>#REF!</v>
      </c>
      <c r="K141" s="449" t="e">
        <f t="shared" si="18"/>
        <v>#REF!</v>
      </c>
      <c r="L141" s="449" t="e">
        <f t="shared" si="18"/>
        <v>#VALUE!</v>
      </c>
      <c r="M141" s="449" t="e">
        <f t="shared" si="18"/>
        <v>#VALUE!</v>
      </c>
      <c r="N141" s="449" t="e">
        <f t="shared" si="18"/>
        <v>#VALUE!</v>
      </c>
      <c r="O141" s="449" t="e">
        <f t="shared" si="18"/>
        <v>#REF!</v>
      </c>
      <c r="P141" s="449" t="e">
        <f t="shared" si="18"/>
        <v>#REF!</v>
      </c>
      <c r="Q141" s="449" t="e">
        <f t="shared" si="18"/>
        <v>#REF!</v>
      </c>
      <c r="R141" s="449" t="e">
        <f t="shared" si="18"/>
        <v>#REF!</v>
      </c>
    </row>
    <row r="142" spans="1:18" s="4" customFormat="1" ht="17.25" customHeight="1">
      <c r="A142" s="956"/>
      <c r="B142" s="959"/>
      <c r="C142" s="962"/>
      <c r="D142" s="389" t="s">
        <v>13</v>
      </c>
      <c r="E142" s="449" t="e">
        <f t="shared" si="18"/>
        <v>#VALUE!</v>
      </c>
      <c r="F142" s="449">
        <f t="shared" si="18"/>
        <v>31688.9</v>
      </c>
      <c r="G142" s="449" t="e">
        <f t="shared" si="18"/>
        <v>#REF!</v>
      </c>
      <c r="H142" s="449" t="e">
        <f t="shared" si="18"/>
        <v>#REF!</v>
      </c>
      <c r="I142" s="449" t="e">
        <f t="shared" si="18"/>
        <v>#REF!</v>
      </c>
      <c r="J142" s="449" t="e">
        <f t="shared" si="18"/>
        <v>#REF!</v>
      </c>
      <c r="K142" s="449" t="e">
        <f t="shared" si="18"/>
        <v>#REF!</v>
      </c>
      <c r="L142" s="449" t="e">
        <f t="shared" si="18"/>
        <v>#VALUE!</v>
      </c>
      <c r="M142" s="449" t="e">
        <f t="shared" si="18"/>
        <v>#VALUE!</v>
      </c>
      <c r="N142" s="449" t="e">
        <f t="shared" si="18"/>
        <v>#VALUE!</v>
      </c>
      <c r="O142" s="449" t="e">
        <f t="shared" si="18"/>
        <v>#REF!</v>
      </c>
      <c r="P142" s="449" t="e">
        <f t="shared" si="18"/>
        <v>#REF!</v>
      </c>
      <c r="Q142" s="449" t="e">
        <f t="shared" si="18"/>
        <v>#REF!</v>
      </c>
      <c r="R142" s="449" t="e">
        <f t="shared" si="18"/>
        <v>#REF!</v>
      </c>
    </row>
    <row r="143" spans="1:18" s="4" customFormat="1" ht="17.25" customHeight="1">
      <c r="A143" s="957"/>
      <c r="B143" s="960"/>
      <c r="C143" s="963"/>
      <c r="D143" s="393" t="s">
        <v>14</v>
      </c>
      <c r="E143" s="450" t="e">
        <f t="shared" si="18"/>
        <v>#REF!</v>
      </c>
      <c r="F143" s="450" t="e">
        <f t="shared" si="18"/>
        <v>#REF!</v>
      </c>
      <c r="G143" s="450" t="e">
        <f t="shared" si="18"/>
        <v>#REF!</v>
      </c>
      <c r="H143" s="450" t="e">
        <f t="shared" si="18"/>
        <v>#REF!</v>
      </c>
      <c r="I143" s="450" t="e">
        <f t="shared" si="18"/>
        <v>#REF!</v>
      </c>
      <c r="J143" s="450" t="e">
        <f t="shared" si="18"/>
        <v>#REF!</v>
      </c>
      <c r="K143" s="450" t="e">
        <f t="shared" si="18"/>
        <v>#REF!</v>
      </c>
      <c r="L143" s="450" t="e">
        <f t="shared" si="18"/>
        <v>#REF!</v>
      </c>
      <c r="M143" s="450" t="e">
        <f t="shared" si="18"/>
        <v>#REF!</v>
      </c>
      <c r="N143" s="450" t="e">
        <f t="shared" si="18"/>
        <v>#REF!</v>
      </c>
      <c r="O143" s="450" t="e">
        <f t="shared" si="18"/>
        <v>#REF!</v>
      </c>
      <c r="P143" s="450" t="e">
        <f t="shared" si="18"/>
        <v>#REF!</v>
      </c>
      <c r="Q143" s="450" t="e">
        <f t="shared" si="18"/>
        <v>#REF!</v>
      </c>
      <c r="R143" s="450" t="e">
        <f t="shared" si="18"/>
        <v>#REF!</v>
      </c>
    </row>
    <row r="144" spans="1:18" s="4" customFormat="1" ht="6.75" customHeight="1">
      <c r="A144" s="87"/>
      <c r="B144" s="79"/>
      <c r="C144" s="79"/>
      <c r="D144" s="87"/>
      <c r="E144" s="110"/>
      <c r="F144" s="83"/>
      <c r="G144" s="83"/>
      <c r="H144" s="83"/>
      <c r="I144" s="83"/>
      <c r="J144" s="83"/>
      <c r="K144" s="83"/>
      <c r="L144" s="83"/>
      <c r="M144" s="83"/>
      <c r="N144" s="83"/>
      <c r="O144" s="82"/>
      <c r="P144" s="82"/>
      <c r="Q144" s="52"/>
      <c r="R144" s="63"/>
    </row>
    <row r="145" spans="1:18" s="4" customFormat="1" ht="26.25" hidden="1" customHeight="1">
      <c r="A145" s="976" t="s">
        <v>394</v>
      </c>
      <c r="B145" s="976"/>
      <c r="C145" s="976"/>
      <c r="D145" s="976"/>
      <c r="E145" s="976"/>
      <c r="F145" s="976"/>
      <c r="G145" s="976"/>
      <c r="H145" s="976"/>
      <c r="I145" s="976"/>
      <c r="J145" s="976"/>
      <c r="K145" s="976"/>
      <c r="L145" s="976"/>
      <c r="M145" s="976"/>
      <c r="N145" s="976"/>
      <c r="O145" s="976"/>
      <c r="P145" s="82"/>
      <c r="Q145" s="52"/>
      <c r="R145" s="63"/>
    </row>
    <row r="146" spans="1:18" s="4" customFormat="1" ht="15" hidden="1">
      <c r="A146" s="107"/>
      <c r="B146" s="80"/>
      <c r="C146" s="81"/>
      <c r="D146" s="86"/>
      <c r="E146" s="108"/>
      <c r="F146" s="108"/>
      <c r="G146" s="108"/>
      <c r="H146" s="108"/>
      <c r="I146" s="108"/>
      <c r="J146" s="108"/>
      <c r="K146" s="108"/>
      <c r="L146" s="108"/>
      <c r="M146" s="109"/>
      <c r="N146" s="108"/>
      <c r="O146" s="82"/>
      <c r="P146" s="82"/>
      <c r="Q146" s="52"/>
      <c r="R146" s="63"/>
    </row>
    <row r="147" spans="1:18" s="4" customFormat="1" ht="20.25" hidden="1" customHeight="1">
      <c r="A147" s="970" t="s">
        <v>376</v>
      </c>
      <c r="B147" s="972" t="s">
        <v>377</v>
      </c>
      <c r="C147" s="974" t="s">
        <v>378</v>
      </c>
      <c r="D147" s="970" t="s">
        <v>91</v>
      </c>
      <c r="E147" s="964" t="s">
        <v>368</v>
      </c>
      <c r="F147" s="965"/>
      <c r="G147" s="965"/>
      <c r="H147" s="965"/>
      <c r="I147" s="965"/>
      <c r="J147" s="965"/>
      <c r="K147" s="965"/>
      <c r="L147" s="966"/>
      <c r="M147" s="324" t="s">
        <v>63</v>
      </c>
      <c r="N147" s="974" t="s">
        <v>379</v>
      </c>
      <c r="O147" s="323" t="s">
        <v>18</v>
      </c>
      <c r="P147" s="104" t="s">
        <v>19</v>
      </c>
      <c r="Q147" s="57" t="s">
        <v>19</v>
      </c>
      <c r="R147" s="58" t="s">
        <v>16</v>
      </c>
    </row>
    <row r="148" spans="1:18" s="4" customFormat="1" ht="20.25" hidden="1" customHeight="1">
      <c r="A148" s="971"/>
      <c r="B148" s="973"/>
      <c r="C148" s="975"/>
      <c r="D148" s="971"/>
      <c r="E148" s="327" t="s">
        <v>369</v>
      </c>
      <c r="F148" s="326" t="s">
        <v>370</v>
      </c>
      <c r="G148" s="328">
        <v>0</v>
      </c>
      <c r="H148" s="326" t="s">
        <v>257</v>
      </c>
      <c r="I148" s="326" t="s">
        <v>280</v>
      </c>
      <c r="J148" s="326" t="s">
        <v>261</v>
      </c>
      <c r="K148" s="326" t="s">
        <v>371</v>
      </c>
      <c r="L148" s="326" t="s">
        <v>372</v>
      </c>
      <c r="M148" s="326" t="s">
        <v>48</v>
      </c>
      <c r="N148" s="975"/>
      <c r="O148" s="325" t="s">
        <v>20</v>
      </c>
      <c r="P148" s="105" t="s">
        <v>21</v>
      </c>
      <c r="Q148" s="59" t="s">
        <v>22</v>
      </c>
      <c r="R148" s="60" t="s">
        <v>17</v>
      </c>
    </row>
    <row r="149" spans="1:18" s="4" customFormat="1" ht="17.25" hidden="1" customHeight="1">
      <c r="A149" s="329" t="s">
        <v>52</v>
      </c>
      <c r="B149" s="330" t="s">
        <v>53</v>
      </c>
      <c r="C149" s="330" t="s">
        <v>54</v>
      </c>
      <c r="D149" s="331" t="s">
        <v>55</v>
      </c>
      <c r="E149" s="332" t="s">
        <v>56</v>
      </c>
      <c r="F149" s="332" t="s">
        <v>57</v>
      </c>
      <c r="G149" s="332"/>
      <c r="H149" s="332" t="s">
        <v>58</v>
      </c>
      <c r="I149" s="332" t="s">
        <v>59</v>
      </c>
      <c r="J149" s="332" t="s">
        <v>60</v>
      </c>
      <c r="K149" s="332" t="s">
        <v>61</v>
      </c>
      <c r="L149" s="333" t="s">
        <v>373</v>
      </c>
      <c r="M149" s="333" t="s">
        <v>374</v>
      </c>
      <c r="N149" s="334" t="s">
        <v>375</v>
      </c>
      <c r="O149" s="332" t="s">
        <v>62</v>
      </c>
      <c r="P149" s="48"/>
      <c r="Q149" s="48"/>
      <c r="R149" s="49"/>
    </row>
    <row r="150" spans="1:18" s="4" customFormat="1" ht="18.75" hidden="1" customHeight="1">
      <c r="A150" s="335" t="s">
        <v>3</v>
      </c>
      <c r="B150" s="336" t="s">
        <v>380</v>
      </c>
      <c r="C150" s="337"/>
      <c r="D150" s="344"/>
      <c r="E150" s="345"/>
      <c r="F150" s="345"/>
      <c r="G150" s="345"/>
      <c r="H150" s="345"/>
      <c r="I150" s="345"/>
      <c r="J150" s="345"/>
      <c r="K150" s="345"/>
      <c r="L150" s="346"/>
      <c r="M150" s="346"/>
      <c r="N150" s="345"/>
      <c r="O150" s="347"/>
      <c r="P150" s="407"/>
      <c r="Q150" s="408"/>
      <c r="R150" s="409"/>
    </row>
    <row r="151" spans="1:18" s="4" customFormat="1" ht="18" hidden="1" customHeight="1">
      <c r="A151" s="315" t="s">
        <v>9</v>
      </c>
      <c r="B151" s="314" t="s">
        <v>73</v>
      </c>
      <c r="C151" s="318" t="s">
        <v>1</v>
      </c>
      <c r="D151" s="351" t="s">
        <v>9</v>
      </c>
      <c r="E151" s="353" t="e">
        <f>'NC-CLBD'!K5/25</f>
        <v>#VALUE!</v>
      </c>
      <c r="F151" s="353"/>
      <c r="G151" s="353">
        <f t="shared" ref="G151:G156" si="19">$Q$1*10*P151</f>
        <v>14178</v>
      </c>
      <c r="H151" s="353">
        <f>'DCu-CLBD'!L23</f>
        <v>1551.8017307692305</v>
      </c>
      <c r="I151" s="353">
        <f>'VL-CLBD'!J16</f>
        <v>3002.4</v>
      </c>
      <c r="J151" s="353"/>
      <c r="K151" s="353"/>
      <c r="L151" s="353" t="e">
        <f t="shared" ref="L151:L156" si="20">SUM(E151:K151)</f>
        <v>#VALUE!</v>
      </c>
      <c r="M151" s="348" t="e">
        <f>L151*'He so chung'!$D$16/100</f>
        <v>#VALUE!</v>
      </c>
      <c r="N151" s="349" t="e">
        <f t="shared" ref="N151:N156" si="21">M151+L151</f>
        <v>#VALUE!</v>
      </c>
      <c r="O151" s="354">
        <f>'He so chung'!$D$18*R151</f>
        <v>3544.5</v>
      </c>
      <c r="P151" s="354">
        <f>'He so chung'!$D$19*R151</f>
        <v>2835.6</v>
      </c>
      <c r="Q151" s="411">
        <f>'He so chung'!$D$20*R151</f>
        <v>708.90000000000009</v>
      </c>
      <c r="R151" s="443">
        <f>'NC-CLBD'!J5/25</f>
        <v>0.53039999999999998</v>
      </c>
    </row>
    <row r="152" spans="1:18" s="4" customFormat="1" ht="18" hidden="1" customHeight="1">
      <c r="A152" s="351"/>
      <c r="B152" s="437"/>
      <c r="C152" s="438"/>
      <c r="D152" s="351" t="s">
        <v>10</v>
      </c>
      <c r="E152" s="353" t="e">
        <f>'NC-CLBD'!K7/25</f>
        <v>#VALUE!</v>
      </c>
      <c r="F152" s="353"/>
      <c r="G152" s="353">
        <f t="shared" si="19"/>
        <v>18433.538461538461</v>
      </c>
      <c r="H152" s="353">
        <f>'DCu-CLBD'!L24</f>
        <v>1939.7521634615382</v>
      </c>
      <c r="I152" s="353">
        <f>$I$151</f>
        <v>3002.4</v>
      </c>
      <c r="J152" s="353"/>
      <c r="K152" s="353"/>
      <c r="L152" s="353" t="e">
        <f t="shared" si="20"/>
        <v>#VALUE!</v>
      </c>
      <c r="M152" s="348" t="e">
        <f>L152*'He so chung'!$D$16/100</f>
        <v>#VALUE!</v>
      </c>
      <c r="N152" s="349" t="e">
        <f t="shared" si="21"/>
        <v>#VALUE!</v>
      </c>
      <c r="O152" s="354">
        <f>'He so chung'!$D$18*R152</f>
        <v>4608.3846153846152</v>
      </c>
      <c r="P152" s="354">
        <f>'He so chung'!$D$19*R152</f>
        <v>3686.707692307692</v>
      </c>
      <c r="Q152" s="411">
        <f>'He so chung'!$D$20*R152</f>
        <v>921.67692307692312</v>
      </c>
      <c r="R152" s="443">
        <f>'NC-CLBD'!J7/25</f>
        <v>0.68959999999999999</v>
      </c>
    </row>
    <row r="153" spans="1:18" s="4" customFormat="1" ht="18" hidden="1" customHeight="1">
      <c r="A153" s="351"/>
      <c r="B153" s="437"/>
      <c r="C153" s="438"/>
      <c r="D153" s="351" t="s">
        <v>11</v>
      </c>
      <c r="E153" s="353" t="e">
        <f>'NC-CLBD'!K9/25</f>
        <v>#VALUE!</v>
      </c>
      <c r="F153" s="353"/>
      <c r="G153" s="353">
        <f t="shared" si="19"/>
        <v>23950.769230769227</v>
      </c>
      <c r="H153" s="353">
        <f>'DCu-CLBD'!L25</f>
        <v>2586.3362179487176</v>
      </c>
      <c r="I153" s="353">
        <f>$I$151</f>
        <v>3002.4</v>
      </c>
      <c r="J153" s="353"/>
      <c r="K153" s="353"/>
      <c r="L153" s="353" t="e">
        <f t="shared" si="20"/>
        <v>#VALUE!</v>
      </c>
      <c r="M153" s="348" t="e">
        <f>L153*'He so chung'!$D$16/100</f>
        <v>#VALUE!</v>
      </c>
      <c r="N153" s="349" t="e">
        <f t="shared" si="21"/>
        <v>#VALUE!</v>
      </c>
      <c r="O153" s="354">
        <f>'He so chung'!$D$18*R153</f>
        <v>5987.6923076923067</v>
      </c>
      <c r="P153" s="354">
        <f>'He so chung'!$D$19*R153</f>
        <v>4790.1538461538457</v>
      </c>
      <c r="Q153" s="411">
        <f>'He so chung'!$D$20*R153</f>
        <v>1197.5384615384614</v>
      </c>
      <c r="R153" s="443">
        <f>'NC-CLBD'!J9/25</f>
        <v>0.89599999999999991</v>
      </c>
    </row>
    <row r="154" spans="1:18" s="4" customFormat="1" ht="18" hidden="1" customHeight="1">
      <c r="A154" s="351"/>
      <c r="B154" s="437"/>
      <c r="C154" s="438"/>
      <c r="D154" s="351" t="s">
        <v>12</v>
      </c>
      <c r="E154" s="353" t="e">
        <f>'NC-CLBD'!K11/25</f>
        <v>#VALUE!</v>
      </c>
      <c r="F154" s="353"/>
      <c r="G154" s="353">
        <f t="shared" si="19"/>
        <v>31136</v>
      </c>
      <c r="H154" s="353">
        <f>'DCu-CLBD'!L26</f>
        <v>3491.5538942307689</v>
      </c>
      <c r="I154" s="353">
        <f>$I$151</f>
        <v>3002.4</v>
      </c>
      <c r="J154" s="353"/>
      <c r="K154" s="353"/>
      <c r="L154" s="353" t="e">
        <f t="shared" si="20"/>
        <v>#VALUE!</v>
      </c>
      <c r="M154" s="348" t="e">
        <f>L154*'He so chung'!$D$16/100</f>
        <v>#VALUE!</v>
      </c>
      <c r="N154" s="349" t="e">
        <f t="shared" si="21"/>
        <v>#VALUE!</v>
      </c>
      <c r="O154" s="354">
        <f>'He so chung'!$D$18*R154</f>
        <v>7784</v>
      </c>
      <c r="P154" s="354">
        <f>'He so chung'!$D$19*R154</f>
        <v>6227.2</v>
      </c>
      <c r="Q154" s="411">
        <f>'He so chung'!$D$20*R154</f>
        <v>1556.8000000000002</v>
      </c>
      <c r="R154" s="443">
        <f>'NC-CLBD'!J11/25</f>
        <v>1.1648000000000001</v>
      </c>
    </row>
    <row r="155" spans="1:18" s="4" customFormat="1" ht="18" hidden="1" customHeight="1">
      <c r="A155" s="351"/>
      <c r="B155" s="437"/>
      <c r="C155" s="438"/>
      <c r="D155" s="351" t="s">
        <v>13</v>
      </c>
      <c r="E155" s="353" t="e">
        <f>'NC-CLBD'!K13/25</f>
        <v>#VALUE!</v>
      </c>
      <c r="F155" s="353"/>
      <c r="G155" s="353">
        <f t="shared" si="19"/>
        <v>40481.076923076922</v>
      </c>
      <c r="H155" s="353">
        <f>'DCu-CLBD'!L27</f>
        <v>4526.0883814102563</v>
      </c>
      <c r="I155" s="353">
        <f>$I$151</f>
        <v>3002.4</v>
      </c>
      <c r="J155" s="353"/>
      <c r="K155" s="353"/>
      <c r="L155" s="353" t="e">
        <f t="shared" si="20"/>
        <v>#VALUE!</v>
      </c>
      <c r="M155" s="348" t="e">
        <f>L155*'He so chung'!$D$16/100</f>
        <v>#VALUE!</v>
      </c>
      <c r="N155" s="349" t="e">
        <f t="shared" si="21"/>
        <v>#VALUE!</v>
      </c>
      <c r="O155" s="354">
        <f>'He so chung'!$D$18*R155</f>
        <v>10120.26923076923</v>
      </c>
      <c r="P155" s="354">
        <f>'He so chung'!$D$19*R155</f>
        <v>8096.2153846153842</v>
      </c>
      <c r="Q155" s="411">
        <f>'He so chung'!$D$20*R155</f>
        <v>2024.0538461538463</v>
      </c>
      <c r="R155" s="443">
        <f>'NC-CLBD'!J13/25</f>
        <v>1.5144</v>
      </c>
    </row>
    <row r="156" spans="1:18" s="4" customFormat="1" ht="18" hidden="1" customHeight="1">
      <c r="A156" s="351"/>
      <c r="B156" s="437"/>
      <c r="C156" s="438"/>
      <c r="D156" s="351" t="s">
        <v>14</v>
      </c>
      <c r="E156" s="353">
        <f>'NC-CLBD'!K15/25</f>
        <v>0</v>
      </c>
      <c r="F156" s="353"/>
      <c r="G156" s="353">
        <f t="shared" si="19"/>
        <v>0</v>
      </c>
      <c r="H156" s="353">
        <f>'DCu-CLBD'!L28</f>
        <v>0</v>
      </c>
      <c r="I156" s="353">
        <f>$I$151</f>
        <v>3002.4</v>
      </c>
      <c r="J156" s="353"/>
      <c r="K156" s="353"/>
      <c r="L156" s="353">
        <f t="shared" si="20"/>
        <v>3002.4</v>
      </c>
      <c r="M156" s="348">
        <f>L156*'He so chung'!$D$16/100</f>
        <v>750.6</v>
      </c>
      <c r="N156" s="349">
        <f t="shared" si="21"/>
        <v>3753</v>
      </c>
      <c r="O156" s="354">
        <f>'He so chung'!$D$18*R156</f>
        <v>0</v>
      </c>
      <c r="P156" s="354">
        <f>'He so chung'!$D$19*R156</f>
        <v>0</v>
      </c>
      <c r="Q156" s="411">
        <f>'He so chung'!$D$20*R156</f>
        <v>0</v>
      </c>
      <c r="R156" s="443">
        <f>'NC-CLBD'!J15/25</f>
        <v>0</v>
      </c>
    </row>
    <row r="157" spans="1:18" s="4" customFormat="1" ht="14.25" hidden="1" customHeight="1">
      <c r="A157" s="351"/>
      <c r="B157" s="437"/>
      <c r="C157" s="438"/>
      <c r="D157" s="351"/>
      <c r="E157" s="353"/>
      <c r="F157" s="353"/>
      <c r="G157" s="353"/>
      <c r="H157" s="353"/>
      <c r="I157" s="353"/>
      <c r="J157" s="353"/>
      <c r="K157" s="353"/>
      <c r="L157" s="353"/>
      <c r="M157" s="348"/>
      <c r="N157" s="349"/>
      <c r="O157" s="354"/>
      <c r="P157" s="354"/>
      <c r="Q157" s="411"/>
      <c r="R157" s="443"/>
    </row>
    <row r="158" spans="1:18" s="4" customFormat="1" ht="16.5" hidden="1" customHeight="1">
      <c r="A158" s="315" t="s">
        <v>10</v>
      </c>
      <c r="B158" s="314" t="s">
        <v>381</v>
      </c>
      <c r="C158" s="318" t="s">
        <v>278</v>
      </c>
      <c r="D158" s="351" t="s">
        <v>9</v>
      </c>
      <c r="E158" s="353" t="e">
        <f>'NC-CLBD'!K17/100</f>
        <v>#VALUE!</v>
      </c>
      <c r="F158" s="353"/>
      <c r="G158" s="353">
        <f t="shared" ref="G158:G163" si="22">$Q$1*10*P158</f>
        <v>481.15384615384608</v>
      </c>
      <c r="H158" s="353">
        <f>'DCu-CLBD'!L67</f>
        <v>31.170158653846148</v>
      </c>
      <c r="I158" s="353">
        <f>'VL-CLBD'!J45</f>
        <v>58.549500000000002</v>
      </c>
      <c r="J158" s="353">
        <f>'TBI-CLBD'!I23</f>
        <v>148.16</v>
      </c>
      <c r="K158" s="353" t="e">
        <f>#REF!</f>
        <v>#REF!</v>
      </c>
      <c r="L158" s="353" t="e">
        <f t="shared" ref="L158:L163" si="23">SUM(E158:K158)</f>
        <v>#VALUE!</v>
      </c>
      <c r="M158" s="348" t="e">
        <f>L158*'He so chung'!$D$16/100</f>
        <v>#VALUE!</v>
      </c>
      <c r="N158" s="349" t="e">
        <f t="shared" ref="N158:N163" si="24">M158+L158</f>
        <v>#VALUE!</v>
      </c>
      <c r="O158" s="354">
        <f>'He so chung'!$D$18*R158</f>
        <v>120.28846153846153</v>
      </c>
      <c r="P158" s="354">
        <f>'He so chung'!$D$19*R158</f>
        <v>96.230769230769212</v>
      </c>
      <c r="Q158" s="411">
        <f>'He so chung'!$D$20*R158</f>
        <v>24.057692307692307</v>
      </c>
      <c r="R158" s="443">
        <f>'NC-CLBD'!J17/100</f>
        <v>1.7999999999999999E-2</v>
      </c>
    </row>
    <row r="159" spans="1:18" s="4" customFormat="1" ht="16.5" hidden="1" customHeight="1">
      <c r="A159" s="315"/>
      <c r="B159" s="314"/>
      <c r="C159" s="318"/>
      <c r="D159" s="351" t="s">
        <v>10</v>
      </c>
      <c r="E159" s="353" t="e">
        <f>'NC-CLBD'!K19/100</f>
        <v>#VALUE!</v>
      </c>
      <c r="F159" s="353"/>
      <c r="G159" s="353">
        <f t="shared" si="22"/>
        <v>601.44230769230762</v>
      </c>
      <c r="H159" s="353">
        <f>'DCu-CLBD'!L68</f>
        <v>38.962698317307684</v>
      </c>
      <c r="I159" s="353">
        <f>$I$158</f>
        <v>58.549500000000002</v>
      </c>
      <c r="J159" s="353">
        <f>'TBI-CLBD'!K23</f>
        <v>181.56000000000003</v>
      </c>
      <c r="K159" s="353" t="e">
        <f>#REF!</f>
        <v>#REF!</v>
      </c>
      <c r="L159" s="353" t="e">
        <f t="shared" si="23"/>
        <v>#VALUE!</v>
      </c>
      <c r="M159" s="348" t="e">
        <f>L159*'He so chung'!$D$16/100</f>
        <v>#VALUE!</v>
      </c>
      <c r="N159" s="349" t="e">
        <f t="shared" si="24"/>
        <v>#VALUE!</v>
      </c>
      <c r="O159" s="354">
        <f>'He so chung'!$D$18*R159</f>
        <v>150.36057692307691</v>
      </c>
      <c r="P159" s="354">
        <f>'He so chung'!$D$19*R159</f>
        <v>120.28846153846152</v>
      </c>
      <c r="Q159" s="411">
        <f>'He so chung'!$D$20*R159</f>
        <v>30.072115384615387</v>
      </c>
      <c r="R159" s="443">
        <f>'NC-CLBD'!J19/100</f>
        <v>2.2499999999999999E-2</v>
      </c>
    </row>
    <row r="160" spans="1:18" s="4" customFormat="1" ht="16.5" hidden="1" customHeight="1">
      <c r="A160" s="315"/>
      <c r="B160" s="314"/>
      <c r="C160" s="318"/>
      <c r="D160" s="351" t="s">
        <v>11</v>
      </c>
      <c r="E160" s="353" t="e">
        <f>'NC-CLBD'!K21/100</f>
        <v>#VALUE!</v>
      </c>
      <c r="F160" s="353"/>
      <c r="G160" s="353">
        <f t="shared" si="22"/>
        <v>801.92307692307679</v>
      </c>
      <c r="H160" s="353">
        <f>'DCu-CLBD'!L69</f>
        <v>51.950264423076916</v>
      </c>
      <c r="I160" s="353">
        <f>$I$158</f>
        <v>58.549500000000002</v>
      </c>
      <c r="J160" s="353">
        <f>'TBI-CLBD'!M23</f>
        <v>242.28</v>
      </c>
      <c r="K160" s="353" t="e">
        <f>#REF!</f>
        <v>#REF!</v>
      </c>
      <c r="L160" s="353" t="e">
        <f t="shared" si="23"/>
        <v>#VALUE!</v>
      </c>
      <c r="M160" s="348" t="e">
        <f>L160*'He so chung'!$D$16/100</f>
        <v>#VALUE!</v>
      </c>
      <c r="N160" s="349" t="e">
        <f t="shared" si="24"/>
        <v>#VALUE!</v>
      </c>
      <c r="O160" s="354">
        <f>'He so chung'!$D$18*R160</f>
        <v>200.48076923076923</v>
      </c>
      <c r="P160" s="354">
        <f>'He so chung'!$D$19*R160</f>
        <v>160.38461538461536</v>
      </c>
      <c r="Q160" s="411">
        <f>'He so chung'!$D$20*R160</f>
        <v>40.096153846153847</v>
      </c>
      <c r="R160" s="443">
        <f>'NC-CLBD'!J21/100</f>
        <v>0.03</v>
      </c>
    </row>
    <row r="161" spans="1:18" s="4" customFormat="1" ht="16.5" hidden="1" customHeight="1">
      <c r="A161" s="315"/>
      <c r="B161" s="314"/>
      <c r="C161" s="318"/>
      <c r="D161" s="351" t="s">
        <v>12</v>
      </c>
      <c r="E161" s="353" t="e">
        <f>'NC-CLBD'!K23/100</f>
        <v>#VALUE!</v>
      </c>
      <c r="F161" s="353"/>
      <c r="G161" s="353">
        <f t="shared" si="22"/>
        <v>1082.596153846154</v>
      </c>
      <c r="H161" s="353">
        <f>'DCu-CLBD'!L70</f>
        <v>70.132856971153842</v>
      </c>
      <c r="I161" s="353">
        <f>$I$158</f>
        <v>58.549500000000002</v>
      </c>
      <c r="J161" s="353">
        <f>'TBI-CLBD'!O23</f>
        <v>329.72</v>
      </c>
      <c r="K161" s="353" t="e">
        <f>#REF!</f>
        <v>#REF!</v>
      </c>
      <c r="L161" s="353" t="e">
        <f t="shared" si="23"/>
        <v>#VALUE!</v>
      </c>
      <c r="M161" s="348" t="e">
        <f>L161*'He so chung'!$D$16/100</f>
        <v>#VALUE!</v>
      </c>
      <c r="N161" s="349" t="e">
        <f t="shared" si="24"/>
        <v>#VALUE!</v>
      </c>
      <c r="O161" s="354">
        <f>'He so chung'!$D$18*R161</f>
        <v>270.64903846153851</v>
      </c>
      <c r="P161" s="354">
        <f>'He so chung'!$D$19*R161</f>
        <v>216.5192307692308</v>
      </c>
      <c r="Q161" s="411">
        <f>'He so chung'!$D$20*R161</f>
        <v>54.129807692307708</v>
      </c>
      <c r="R161" s="443">
        <f>'NC-CLBD'!J23/100</f>
        <v>4.0500000000000008E-2</v>
      </c>
    </row>
    <row r="162" spans="1:18" s="4" customFormat="1" ht="16.5" hidden="1" customHeight="1">
      <c r="A162" s="315"/>
      <c r="B162" s="314"/>
      <c r="C162" s="318"/>
      <c r="D162" s="351" t="s">
        <v>13</v>
      </c>
      <c r="E162" s="353" t="e">
        <f>'NC-CLBD'!K25/100</f>
        <v>#VALUE!</v>
      </c>
      <c r="F162" s="353"/>
      <c r="G162" s="353">
        <f t="shared" si="22"/>
        <v>1390</v>
      </c>
      <c r="H162" s="353">
        <f>'DCu-CLBD'!L71</f>
        <v>90.9129627403846</v>
      </c>
      <c r="I162" s="353">
        <f>$I$158</f>
        <v>58.549500000000002</v>
      </c>
      <c r="J162" s="353">
        <f>'TBI-CLBD'!Q23</f>
        <v>417.16</v>
      </c>
      <c r="K162" s="353" t="e">
        <f>#REF!</f>
        <v>#REF!</v>
      </c>
      <c r="L162" s="353" t="e">
        <f t="shared" si="23"/>
        <v>#VALUE!</v>
      </c>
      <c r="M162" s="348" t="e">
        <f>L162*'He so chung'!$D$16/100</f>
        <v>#VALUE!</v>
      </c>
      <c r="N162" s="349" t="e">
        <f t="shared" si="24"/>
        <v>#VALUE!</v>
      </c>
      <c r="O162" s="354">
        <f>'He so chung'!$D$18*R162</f>
        <v>347.5</v>
      </c>
      <c r="P162" s="354">
        <f>'He so chung'!$D$19*R162</f>
        <v>278</v>
      </c>
      <c r="Q162" s="411">
        <f>'He so chung'!$D$20*R162</f>
        <v>69.500000000000014</v>
      </c>
      <c r="R162" s="443">
        <f>'NC-CLBD'!J25/100</f>
        <v>5.2000000000000005E-2</v>
      </c>
    </row>
    <row r="163" spans="1:18" s="4" customFormat="1" ht="16.5" hidden="1" customHeight="1">
      <c r="A163" s="315"/>
      <c r="B163" s="314"/>
      <c r="C163" s="318"/>
      <c r="D163" s="351" t="s">
        <v>14</v>
      </c>
      <c r="E163" s="353" t="e">
        <f>'NC-CLBD'!#REF!/100</f>
        <v>#REF!</v>
      </c>
      <c r="F163" s="353"/>
      <c r="G163" s="353" t="e">
        <f t="shared" si="22"/>
        <v>#REF!</v>
      </c>
      <c r="H163" s="353">
        <f>'DCu-CLBD'!L72</f>
        <v>0</v>
      </c>
      <c r="I163" s="353">
        <f>$I$158</f>
        <v>58.549500000000002</v>
      </c>
      <c r="J163" s="353" t="e">
        <f>'TBI-CLBD'!#REF!</f>
        <v>#REF!</v>
      </c>
      <c r="K163" s="353" t="e">
        <f>#REF!</f>
        <v>#REF!</v>
      </c>
      <c r="L163" s="353" t="e">
        <f t="shared" si="23"/>
        <v>#REF!</v>
      </c>
      <c r="M163" s="348" t="e">
        <f>L163*'He so chung'!$D$16/100</f>
        <v>#REF!</v>
      </c>
      <c r="N163" s="349" t="e">
        <f t="shared" si="24"/>
        <v>#REF!</v>
      </c>
      <c r="O163" s="354" t="e">
        <f>'He so chung'!$D$18*R163</f>
        <v>#REF!</v>
      </c>
      <c r="P163" s="354" t="e">
        <f>'He so chung'!$D$19*R163</f>
        <v>#REF!</v>
      </c>
      <c r="Q163" s="411" t="e">
        <f>'He so chung'!$D$20*R163</f>
        <v>#REF!</v>
      </c>
      <c r="R163" s="443" t="e">
        <f>'NC-CLBD'!#REF!/100</f>
        <v>#REF!</v>
      </c>
    </row>
    <row r="164" spans="1:18" s="4" customFormat="1" ht="14.25" hidden="1" customHeight="1">
      <c r="A164" s="314"/>
      <c r="B164" s="314"/>
      <c r="C164" s="314"/>
      <c r="D164" s="351"/>
      <c r="E164" s="353"/>
      <c r="F164" s="353"/>
      <c r="G164" s="353"/>
      <c r="H164" s="353"/>
      <c r="I164" s="353"/>
      <c r="J164" s="353"/>
      <c r="K164" s="353"/>
      <c r="L164" s="353"/>
      <c r="M164" s="348"/>
      <c r="N164" s="349"/>
      <c r="O164" s="354"/>
      <c r="P164" s="354"/>
      <c r="Q164" s="411"/>
      <c r="R164" s="443"/>
    </row>
    <row r="165" spans="1:18" s="4" customFormat="1" ht="15.75" hidden="1" customHeight="1">
      <c r="A165" s="315" t="s">
        <v>11</v>
      </c>
      <c r="B165" s="314" t="s">
        <v>77</v>
      </c>
      <c r="C165" s="318" t="s">
        <v>278</v>
      </c>
      <c r="D165" s="351" t="s">
        <v>9</v>
      </c>
      <c r="E165" s="353" t="e">
        <f>'NC-CLBD'!K28/100</f>
        <v>#VALUE!</v>
      </c>
      <c r="F165" s="353">
        <f>'NC-CLBD'!K29/100</f>
        <v>5567.5</v>
      </c>
      <c r="G165" s="353">
        <f t="shared" ref="G165:G170" si="25">$Q$1*10*P165</f>
        <v>8139.5192307692296</v>
      </c>
      <c r="H165" s="353">
        <f>'DCu-CLBD'!L112</f>
        <v>554.38364423076905</v>
      </c>
      <c r="I165" s="353">
        <f>'VL-CLBD'!J39</f>
        <v>1170.99</v>
      </c>
      <c r="J165" s="353">
        <f>'TBI-CLBD'!I73</f>
        <v>2689.52</v>
      </c>
      <c r="K165" s="353" t="e">
        <f>#REF!</f>
        <v>#REF!</v>
      </c>
      <c r="L165" s="353" t="e">
        <f t="shared" ref="L165:L170" si="26">SUM(E165:K165)</f>
        <v>#VALUE!</v>
      </c>
      <c r="M165" s="348" t="e">
        <f>L165*'He so chung'!$D$16/100</f>
        <v>#VALUE!</v>
      </c>
      <c r="N165" s="349" t="e">
        <f t="shared" ref="N165:N170" si="27">M165+L165</f>
        <v>#VALUE!</v>
      </c>
      <c r="O165" s="354">
        <f>'He so chung'!$D$18*R165</f>
        <v>2034.8798076923076</v>
      </c>
      <c r="P165" s="354">
        <f>'He so chung'!$D$19*R165</f>
        <v>1627.903846153846</v>
      </c>
      <c r="Q165" s="411">
        <f>'He so chung'!$D$20*R165</f>
        <v>406.97596153846155</v>
      </c>
      <c r="R165" s="443">
        <f>'NC-CLBD'!J28/100</f>
        <v>0.30449999999999999</v>
      </c>
    </row>
    <row r="166" spans="1:18" s="4" customFormat="1" ht="15.75" hidden="1" customHeight="1">
      <c r="A166" s="315"/>
      <c r="B166" s="314"/>
      <c r="C166" s="318"/>
      <c r="D166" s="351" t="s">
        <v>10</v>
      </c>
      <c r="E166" s="353" t="e">
        <f>'NC-CLBD'!K32/100</f>
        <v>#VALUE!</v>
      </c>
      <c r="F166" s="353">
        <f>'NC-CLBD'!K33/100</f>
        <v>6694.1</v>
      </c>
      <c r="G166" s="353">
        <f t="shared" si="25"/>
        <v>9770.0961538461524</v>
      </c>
      <c r="H166" s="353">
        <f>'DCu-CLBD'!L113</f>
        <v>692.97955528846137</v>
      </c>
      <c r="I166" s="353">
        <f>$I$165</f>
        <v>1170.99</v>
      </c>
      <c r="J166" s="353">
        <f>'TBI-CLBD'!K73</f>
        <v>3361.56</v>
      </c>
      <c r="K166" s="353" t="e">
        <f>#REF!</f>
        <v>#REF!</v>
      </c>
      <c r="L166" s="353" t="e">
        <f t="shared" si="26"/>
        <v>#VALUE!</v>
      </c>
      <c r="M166" s="348" t="e">
        <f>L166*'He so chung'!$D$16/100</f>
        <v>#VALUE!</v>
      </c>
      <c r="N166" s="349" t="e">
        <f t="shared" si="27"/>
        <v>#VALUE!</v>
      </c>
      <c r="O166" s="354">
        <f>'He so chung'!$D$18*R166</f>
        <v>2442.5240384615386</v>
      </c>
      <c r="P166" s="354">
        <f>'He so chung'!$D$19*R166</f>
        <v>1954.0192307692305</v>
      </c>
      <c r="Q166" s="411">
        <f>'He so chung'!$D$20*R166</f>
        <v>488.50480769230774</v>
      </c>
      <c r="R166" s="443">
        <f>'NC-CLBD'!J32/100</f>
        <v>0.36549999999999999</v>
      </c>
    </row>
    <row r="167" spans="1:18" s="4" customFormat="1" ht="15.75" hidden="1" customHeight="1">
      <c r="A167" s="315"/>
      <c r="B167" s="314"/>
      <c r="C167" s="318"/>
      <c r="D167" s="351" t="s">
        <v>11</v>
      </c>
      <c r="E167" s="353" t="e">
        <f>'NC-CLBD'!K36/100</f>
        <v>#VALUE!</v>
      </c>
      <c r="F167" s="353">
        <f>'NC-CLBD'!K37/100</f>
        <v>8017.2</v>
      </c>
      <c r="G167" s="353">
        <f t="shared" si="25"/>
        <v>11708.076923076922</v>
      </c>
      <c r="H167" s="353">
        <f>'DCu-CLBD'!L114</f>
        <v>923.97274038461512</v>
      </c>
      <c r="I167" s="353">
        <f>$I$165</f>
        <v>1170.99</v>
      </c>
      <c r="J167" s="353">
        <f>'TBI-CLBD'!M73</f>
        <v>4473.96</v>
      </c>
      <c r="K167" s="353" t="e">
        <f>#REF!</f>
        <v>#REF!</v>
      </c>
      <c r="L167" s="353" t="e">
        <f t="shared" si="26"/>
        <v>#VALUE!</v>
      </c>
      <c r="M167" s="348" t="e">
        <f>L167*'He so chung'!$D$16/100</f>
        <v>#VALUE!</v>
      </c>
      <c r="N167" s="349" t="e">
        <f t="shared" si="27"/>
        <v>#VALUE!</v>
      </c>
      <c r="O167" s="354">
        <f>'He so chung'!$D$18*R167</f>
        <v>2927.0192307692305</v>
      </c>
      <c r="P167" s="354">
        <f>'He so chung'!$D$19*R167</f>
        <v>2341.6153846153843</v>
      </c>
      <c r="Q167" s="411">
        <f>'He so chung'!$D$20*R167</f>
        <v>585.40384615384619</v>
      </c>
      <c r="R167" s="443">
        <f>'NC-CLBD'!J36/100</f>
        <v>0.43799999999999994</v>
      </c>
    </row>
    <row r="168" spans="1:18" s="4" customFormat="1" ht="15.75" hidden="1" customHeight="1">
      <c r="A168" s="315"/>
      <c r="B168" s="314"/>
      <c r="C168" s="318"/>
      <c r="D168" s="351" t="s">
        <v>12</v>
      </c>
      <c r="E168" s="353" t="e">
        <f>'NC-CLBD'!K40/100</f>
        <v>#VALUE!</v>
      </c>
      <c r="F168" s="353">
        <f>'NC-CLBD'!K41/100</f>
        <v>9628.5</v>
      </c>
      <c r="G168" s="353">
        <f t="shared" si="25"/>
        <v>14060.384615384612</v>
      </c>
      <c r="H168" s="353">
        <f>'DCu-CLBD'!L115</f>
        <v>1247.3631995192304</v>
      </c>
      <c r="I168" s="353">
        <f>$I$165</f>
        <v>1170.99</v>
      </c>
      <c r="J168" s="353">
        <f>'TBI-CLBD'!O73</f>
        <v>6051.08</v>
      </c>
      <c r="K168" s="353" t="e">
        <f>#REF!</f>
        <v>#REF!</v>
      </c>
      <c r="L168" s="353" t="e">
        <f t="shared" si="26"/>
        <v>#VALUE!</v>
      </c>
      <c r="M168" s="348" t="e">
        <f>L168*'He so chung'!$D$16/100</f>
        <v>#VALUE!</v>
      </c>
      <c r="N168" s="349" t="e">
        <f t="shared" si="27"/>
        <v>#VALUE!</v>
      </c>
      <c r="O168" s="354">
        <f>'He so chung'!$D$18*R168</f>
        <v>3515.0961538461534</v>
      </c>
      <c r="P168" s="354">
        <f>'He so chung'!$D$19*R168</f>
        <v>2812.0769230769224</v>
      </c>
      <c r="Q168" s="411">
        <f>'He so chung'!$D$20*R168</f>
        <v>703.01923076923072</v>
      </c>
      <c r="R168" s="443">
        <f>'NC-CLBD'!J40/100</f>
        <v>0.52599999999999991</v>
      </c>
    </row>
    <row r="169" spans="1:18" s="4" customFormat="1" ht="15.75" hidden="1" customHeight="1">
      <c r="A169" s="315"/>
      <c r="B169" s="314"/>
      <c r="C169" s="318"/>
      <c r="D169" s="351" t="s">
        <v>13</v>
      </c>
      <c r="E169" s="353" t="e">
        <f>'NC-CLBD'!K44/100</f>
        <v>#VALUE!</v>
      </c>
      <c r="F169" s="353">
        <f>'NC-CLBD'!K45/100</f>
        <v>11554.2</v>
      </c>
      <c r="G169" s="353">
        <f t="shared" si="25"/>
        <v>16867.115384615383</v>
      </c>
      <c r="H169" s="353">
        <f>'DCu-CLBD'!L116</f>
        <v>1616.9522956730764</v>
      </c>
      <c r="I169" s="353">
        <f>$I$165</f>
        <v>1170.99</v>
      </c>
      <c r="J169" s="353">
        <f>'TBI-CLBD'!Q73</f>
        <v>7835.52</v>
      </c>
      <c r="K169" s="353" t="e">
        <f>#REF!</f>
        <v>#REF!</v>
      </c>
      <c r="L169" s="353" t="e">
        <f t="shared" si="26"/>
        <v>#VALUE!</v>
      </c>
      <c r="M169" s="348" t="e">
        <f>L169*'He so chung'!$D$16/100</f>
        <v>#VALUE!</v>
      </c>
      <c r="N169" s="349" t="e">
        <f t="shared" si="27"/>
        <v>#VALUE!</v>
      </c>
      <c r="O169" s="354">
        <f>'He so chung'!$D$18*R169</f>
        <v>4216.7788461538457</v>
      </c>
      <c r="P169" s="354">
        <f>'He so chung'!$D$19*R169</f>
        <v>3373.4230769230762</v>
      </c>
      <c r="Q169" s="411">
        <f>'He so chung'!$D$20*R169</f>
        <v>843.35576923076917</v>
      </c>
      <c r="R169" s="443">
        <f>'NC-CLBD'!J44/100</f>
        <v>0.63099999999999989</v>
      </c>
    </row>
    <row r="170" spans="1:18" s="4" customFormat="1" ht="15.75" hidden="1" customHeight="1">
      <c r="A170" s="315"/>
      <c r="B170" s="314"/>
      <c r="C170" s="318"/>
      <c r="D170" s="351" t="s">
        <v>14</v>
      </c>
      <c r="E170" s="353" t="e">
        <f>'NC-CLBD'!#REF!/100</f>
        <v>#REF!</v>
      </c>
      <c r="F170" s="353" t="e">
        <f>'NC-CLBD'!#REF!/100</f>
        <v>#REF!</v>
      </c>
      <c r="G170" s="353" t="e">
        <f t="shared" si="25"/>
        <v>#REF!</v>
      </c>
      <c r="H170" s="353">
        <f>'DCu-CLBD'!L117</f>
        <v>0</v>
      </c>
      <c r="I170" s="353">
        <f>$I$165</f>
        <v>1170.99</v>
      </c>
      <c r="J170" s="353" t="e">
        <f>'TBI-CLBD'!#REF!</f>
        <v>#REF!</v>
      </c>
      <c r="K170" s="353" t="e">
        <f>#REF!</f>
        <v>#REF!</v>
      </c>
      <c r="L170" s="353" t="e">
        <f t="shared" si="26"/>
        <v>#REF!</v>
      </c>
      <c r="M170" s="348" t="e">
        <f>L170*'He so chung'!$D$16/100</f>
        <v>#REF!</v>
      </c>
      <c r="N170" s="349" t="e">
        <f t="shared" si="27"/>
        <v>#REF!</v>
      </c>
      <c r="O170" s="354" t="e">
        <f>'He so chung'!$D$18*R170</f>
        <v>#REF!</v>
      </c>
      <c r="P170" s="354" t="e">
        <f>'He so chung'!$D$19*R170</f>
        <v>#REF!</v>
      </c>
      <c r="Q170" s="411" t="e">
        <f>'He so chung'!$D$20*R170</f>
        <v>#REF!</v>
      </c>
      <c r="R170" s="443" t="e">
        <f>'NC-CLBD'!#REF!/100</f>
        <v>#REF!</v>
      </c>
    </row>
    <row r="171" spans="1:18" s="4" customFormat="1" ht="14.25" hidden="1" customHeight="1">
      <c r="A171" s="315"/>
      <c r="B171" s="314"/>
      <c r="C171" s="318"/>
      <c r="D171" s="351"/>
      <c r="E171" s="353"/>
      <c r="F171" s="353"/>
      <c r="G171" s="353"/>
      <c r="H171" s="353"/>
      <c r="I171" s="353"/>
      <c r="J171" s="353"/>
      <c r="K171" s="353"/>
      <c r="L171" s="353"/>
      <c r="M171" s="353"/>
      <c r="N171" s="349"/>
      <c r="O171" s="353"/>
      <c r="P171" s="441"/>
      <c r="Q171" s="442"/>
      <c r="R171" s="443"/>
    </row>
    <row r="172" spans="1:18" s="4" customFormat="1" ht="19.5" hidden="1" customHeight="1">
      <c r="A172" s="339" t="s">
        <v>4</v>
      </c>
      <c r="B172" s="340" t="s">
        <v>382</v>
      </c>
      <c r="C172" s="451"/>
      <c r="D172" s="355"/>
      <c r="E172" s="357"/>
      <c r="F172" s="357"/>
      <c r="G172" s="357"/>
      <c r="H172" s="357"/>
      <c r="I172" s="357"/>
      <c r="J172" s="357"/>
      <c r="K172" s="357"/>
      <c r="L172" s="357"/>
      <c r="M172" s="357"/>
      <c r="N172" s="359"/>
      <c r="O172" s="357"/>
      <c r="P172" s="441"/>
      <c r="Q172" s="442"/>
      <c r="R172" s="443"/>
    </row>
    <row r="173" spans="1:18" s="4" customFormat="1" ht="21" hidden="1" customHeight="1">
      <c r="A173" s="315" t="s">
        <v>9</v>
      </c>
      <c r="B173" s="314" t="s">
        <v>383</v>
      </c>
      <c r="C173" s="318"/>
      <c r="D173" s="315"/>
      <c r="E173" s="348"/>
      <c r="F173" s="348"/>
      <c r="G173" s="353"/>
      <c r="H173" s="348"/>
      <c r="I173" s="348"/>
      <c r="J173" s="348"/>
      <c r="K173" s="348"/>
      <c r="L173" s="353"/>
      <c r="M173" s="353"/>
      <c r="N173" s="349"/>
      <c r="O173" s="353"/>
      <c r="P173" s="350"/>
      <c r="Q173" s="410"/>
      <c r="R173" s="410"/>
    </row>
    <row r="174" spans="1:18" s="4" customFormat="1" ht="13.5" hidden="1" customHeight="1">
      <c r="A174" s="315"/>
      <c r="B174" s="314"/>
      <c r="C174" s="318"/>
      <c r="D174" s="315"/>
      <c r="E174" s="348"/>
      <c r="F174" s="348"/>
      <c r="G174" s="353"/>
      <c r="H174" s="348"/>
      <c r="I174" s="348"/>
      <c r="J174" s="348"/>
      <c r="K174" s="348"/>
      <c r="L174" s="353"/>
      <c r="M174" s="353"/>
      <c r="N174" s="349"/>
      <c r="O174" s="353"/>
      <c r="P174" s="350"/>
      <c r="Q174" s="410"/>
      <c r="R174" s="410"/>
    </row>
    <row r="175" spans="1:18" s="4" customFormat="1" ht="16.5" hidden="1" customHeight="1">
      <c r="A175" s="315" t="s">
        <v>10</v>
      </c>
      <c r="B175" s="314" t="s">
        <v>80</v>
      </c>
      <c r="C175" s="318" t="s">
        <v>278</v>
      </c>
      <c r="D175" s="351" t="s">
        <v>9</v>
      </c>
      <c r="E175" s="348" t="e">
        <f>'NC-CLBD'!#REF!/100</f>
        <v>#REF!</v>
      </c>
      <c r="F175" s="348"/>
      <c r="G175" s="353" t="e">
        <f t="shared" ref="G175:G180" si="28">$Q$1*10*P175</f>
        <v>#REF!</v>
      </c>
      <c r="H175" s="348" t="e">
        <f>'DCu-CLBD'!#REF!</f>
        <v>#REF!</v>
      </c>
      <c r="I175" s="348" t="e">
        <f>'VL-CLBD'!#REF!</f>
        <v>#REF!</v>
      </c>
      <c r="J175" s="348" t="e">
        <f>'TBI-CLBD'!#REF!</f>
        <v>#REF!</v>
      </c>
      <c r="K175" s="348" t="e">
        <f>#REF!</f>
        <v>#REF!</v>
      </c>
      <c r="L175" s="353" t="e">
        <f t="shared" ref="L175:L180" si="29">SUM(E175:K175)</f>
        <v>#REF!</v>
      </c>
      <c r="M175" s="353" t="e">
        <f>L175*'He so chung'!$D$17/100</f>
        <v>#REF!</v>
      </c>
      <c r="N175" s="349" t="e">
        <f t="shared" ref="N175:N180" si="30">M175+L175</f>
        <v>#REF!</v>
      </c>
      <c r="O175" s="354" t="e">
        <f>'He so chung'!$D$21*R175</f>
        <v>#REF!</v>
      </c>
      <c r="P175" s="354" t="e">
        <f>'He so chung'!$D$22*R175</f>
        <v>#REF!</v>
      </c>
      <c r="Q175" s="411" t="e">
        <f>'He so chung'!$D$23*R175</f>
        <v>#REF!</v>
      </c>
      <c r="R175" s="412" t="e">
        <f>'NC-CLBD'!#REF!/100</f>
        <v>#REF!</v>
      </c>
    </row>
    <row r="176" spans="1:18" s="4" customFormat="1" ht="16.5" hidden="1" customHeight="1">
      <c r="A176" s="315"/>
      <c r="B176" s="314"/>
      <c r="C176" s="318"/>
      <c r="D176" s="351" t="s">
        <v>10</v>
      </c>
      <c r="E176" s="348" t="e">
        <f>'NC-CLBD'!#REF!/100</f>
        <v>#REF!</v>
      </c>
      <c r="F176" s="348"/>
      <c r="G176" s="353" t="e">
        <f t="shared" si="28"/>
        <v>#REF!</v>
      </c>
      <c r="H176" s="348" t="e">
        <f>'DCu-CLBD'!#REF!</f>
        <v>#REF!</v>
      </c>
      <c r="I176" s="348" t="e">
        <f>$I$175</f>
        <v>#REF!</v>
      </c>
      <c r="J176" s="348" t="e">
        <f>'TBI-CLBD'!#REF!</f>
        <v>#REF!</v>
      </c>
      <c r="K176" s="348" t="e">
        <f>#REF!</f>
        <v>#REF!</v>
      </c>
      <c r="L176" s="353" t="e">
        <f t="shared" si="29"/>
        <v>#REF!</v>
      </c>
      <c r="M176" s="353" t="e">
        <f>L176*'He so chung'!$D$17/100</f>
        <v>#REF!</v>
      </c>
      <c r="N176" s="349" t="e">
        <f t="shared" si="30"/>
        <v>#REF!</v>
      </c>
      <c r="O176" s="354" t="e">
        <f>'He so chung'!$D$21*R176</f>
        <v>#REF!</v>
      </c>
      <c r="P176" s="354" t="e">
        <f>'He so chung'!$D$22*R176</f>
        <v>#REF!</v>
      </c>
      <c r="Q176" s="411" t="e">
        <f>'He so chung'!$D$23*R176</f>
        <v>#REF!</v>
      </c>
      <c r="R176" s="412" t="e">
        <f>'NC-CLBD'!#REF!/100</f>
        <v>#REF!</v>
      </c>
    </row>
    <row r="177" spans="1:18" s="4" customFormat="1" ht="16.5" hidden="1" customHeight="1">
      <c r="A177" s="315"/>
      <c r="B177" s="314"/>
      <c r="C177" s="318"/>
      <c r="D177" s="351" t="s">
        <v>11</v>
      </c>
      <c r="E177" s="348" t="e">
        <f>'NC-CLBD'!#REF!/100</f>
        <v>#REF!</v>
      </c>
      <c r="F177" s="348"/>
      <c r="G177" s="353" t="e">
        <f t="shared" si="28"/>
        <v>#REF!</v>
      </c>
      <c r="H177" s="348" t="e">
        <f>'DCu-CLBD'!#REF!</f>
        <v>#REF!</v>
      </c>
      <c r="I177" s="348" t="e">
        <f>$I$175</f>
        <v>#REF!</v>
      </c>
      <c r="J177" s="348" t="e">
        <f>'TBI-CLBD'!#REF!</f>
        <v>#REF!</v>
      </c>
      <c r="K177" s="348" t="e">
        <f>#REF!</f>
        <v>#REF!</v>
      </c>
      <c r="L177" s="353" t="e">
        <f t="shared" si="29"/>
        <v>#REF!</v>
      </c>
      <c r="M177" s="353" t="e">
        <f>L177*'He so chung'!$D$17/100</f>
        <v>#REF!</v>
      </c>
      <c r="N177" s="349" t="e">
        <f t="shared" si="30"/>
        <v>#REF!</v>
      </c>
      <c r="O177" s="354" t="e">
        <f>'He so chung'!$D$21*R177</f>
        <v>#REF!</v>
      </c>
      <c r="P177" s="354" t="e">
        <f>'He so chung'!$D$22*R177</f>
        <v>#REF!</v>
      </c>
      <c r="Q177" s="411" t="e">
        <f>'He so chung'!$D$23*R177</f>
        <v>#REF!</v>
      </c>
      <c r="R177" s="412" t="e">
        <f>'NC-CLBD'!#REF!/100</f>
        <v>#REF!</v>
      </c>
    </row>
    <row r="178" spans="1:18" s="4" customFormat="1" ht="16.5" hidden="1" customHeight="1">
      <c r="A178" s="315"/>
      <c r="B178" s="314"/>
      <c r="C178" s="318"/>
      <c r="D178" s="351" t="s">
        <v>12</v>
      </c>
      <c r="E178" s="348" t="e">
        <f>'NC-CLBD'!#REF!/100</f>
        <v>#REF!</v>
      </c>
      <c r="F178" s="348"/>
      <c r="G178" s="353" t="e">
        <f t="shared" si="28"/>
        <v>#REF!</v>
      </c>
      <c r="H178" s="348" t="e">
        <f>'DCu-CLBD'!#REF!</f>
        <v>#REF!</v>
      </c>
      <c r="I178" s="348" t="e">
        <f>$I$175</f>
        <v>#REF!</v>
      </c>
      <c r="J178" s="348" t="e">
        <f>'TBI-CLBD'!#REF!</f>
        <v>#REF!</v>
      </c>
      <c r="K178" s="348" t="e">
        <f>#REF!</f>
        <v>#REF!</v>
      </c>
      <c r="L178" s="353" t="e">
        <f t="shared" si="29"/>
        <v>#REF!</v>
      </c>
      <c r="M178" s="353" t="e">
        <f>L178*'He so chung'!$D$17/100</f>
        <v>#REF!</v>
      </c>
      <c r="N178" s="349" t="e">
        <f t="shared" si="30"/>
        <v>#REF!</v>
      </c>
      <c r="O178" s="354" t="e">
        <f>'He so chung'!$D$21*R178</f>
        <v>#REF!</v>
      </c>
      <c r="P178" s="354" t="e">
        <f>'He so chung'!$D$22*R178</f>
        <v>#REF!</v>
      </c>
      <c r="Q178" s="411" t="e">
        <f>'He so chung'!$D$23*R178</f>
        <v>#REF!</v>
      </c>
      <c r="R178" s="412" t="e">
        <f>'NC-CLBD'!#REF!/100</f>
        <v>#REF!</v>
      </c>
    </row>
    <row r="179" spans="1:18" s="4" customFormat="1" ht="16.5" hidden="1" customHeight="1">
      <c r="A179" s="315"/>
      <c r="B179" s="314"/>
      <c r="C179" s="318"/>
      <c r="D179" s="351" t="s">
        <v>13</v>
      </c>
      <c r="E179" s="348" t="e">
        <f>'NC-CLBD'!#REF!/100</f>
        <v>#REF!</v>
      </c>
      <c r="F179" s="348"/>
      <c r="G179" s="353" t="e">
        <f t="shared" si="28"/>
        <v>#REF!</v>
      </c>
      <c r="H179" s="348" t="e">
        <f>'DCu-CLBD'!#REF!</f>
        <v>#REF!</v>
      </c>
      <c r="I179" s="348" t="e">
        <f>$I$175</f>
        <v>#REF!</v>
      </c>
      <c r="J179" s="348" t="e">
        <f>'TBI-CLBD'!#REF!</f>
        <v>#REF!</v>
      </c>
      <c r="K179" s="348" t="e">
        <f>#REF!</f>
        <v>#REF!</v>
      </c>
      <c r="L179" s="353" t="e">
        <f t="shared" si="29"/>
        <v>#REF!</v>
      </c>
      <c r="M179" s="353" t="e">
        <f>L179*'He so chung'!$D$17/100</f>
        <v>#REF!</v>
      </c>
      <c r="N179" s="349" t="e">
        <f t="shared" si="30"/>
        <v>#REF!</v>
      </c>
      <c r="O179" s="354" t="e">
        <f>'He so chung'!$D$21*R179</f>
        <v>#REF!</v>
      </c>
      <c r="P179" s="354" t="e">
        <f>'He so chung'!$D$22*R179</f>
        <v>#REF!</v>
      </c>
      <c r="Q179" s="411" t="e">
        <f>'He so chung'!$D$23*R179</f>
        <v>#REF!</v>
      </c>
      <c r="R179" s="412" t="e">
        <f>'NC-CLBD'!#REF!/100</f>
        <v>#REF!</v>
      </c>
    </row>
    <row r="180" spans="1:18" s="4" customFormat="1" ht="16.5" hidden="1" customHeight="1">
      <c r="A180" s="316"/>
      <c r="B180" s="317"/>
      <c r="C180" s="405"/>
      <c r="D180" s="361" t="s">
        <v>14</v>
      </c>
      <c r="E180" s="364" t="e">
        <f>'NC-CLBD'!#REF!/100</f>
        <v>#REF!</v>
      </c>
      <c r="F180" s="364"/>
      <c r="G180" s="353" t="e">
        <f t="shared" si="28"/>
        <v>#REF!</v>
      </c>
      <c r="H180" s="348" t="e">
        <f>'DCu-CLBD'!#REF!</f>
        <v>#REF!</v>
      </c>
      <c r="I180" s="364" t="e">
        <f>$I$175</f>
        <v>#REF!</v>
      </c>
      <c r="J180" s="364" t="e">
        <f>'TBI-CLBD'!#REF!</f>
        <v>#REF!</v>
      </c>
      <c r="K180" s="364" t="e">
        <f>#REF!</f>
        <v>#REF!</v>
      </c>
      <c r="L180" s="363" t="e">
        <f t="shared" si="29"/>
        <v>#REF!</v>
      </c>
      <c r="M180" s="353" t="e">
        <f>L180*'He so chung'!$D$17/100</f>
        <v>#REF!</v>
      </c>
      <c r="N180" s="365" t="e">
        <f t="shared" si="30"/>
        <v>#REF!</v>
      </c>
      <c r="O180" s="354" t="e">
        <f>'He so chung'!$D$21*R180</f>
        <v>#REF!</v>
      </c>
      <c r="P180" s="354" t="e">
        <f>'He so chung'!$D$22*R180</f>
        <v>#REF!</v>
      </c>
      <c r="Q180" s="411" t="e">
        <f>'He so chung'!$D$23*R180</f>
        <v>#REF!</v>
      </c>
      <c r="R180" s="412" t="e">
        <f>'NC-CLBD'!#REF!/100</f>
        <v>#REF!</v>
      </c>
    </row>
    <row r="181" spans="1:18" s="4" customFormat="1" ht="14.25" hidden="1" customHeight="1">
      <c r="A181" s="122"/>
      <c r="B181" s="123"/>
      <c r="C181" s="124"/>
      <c r="D181" s="120"/>
      <c r="E181" s="369"/>
      <c r="F181" s="369"/>
      <c r="G181" s="368"/>
      <c r="H181" s="369"/>
      <c r="I181" s="369"/>
      <c r="J181" s="369"/>
      <c r="K181" s="369"/>
      <c r="L181" s="368"/>
      <c r="M181" s="368"/>
      <c r="N181" s="370"/>
      <c r="O181" s="368"/>
      <c r="P181" s="366"/>
      <c r="Q181" s="434"/>
      <c r="R181" s="425"/>
    </row>
    <row r="182" spans="1:18" s="4" customFormat="1" ht="14.25" hidden="1" customHeight="1">
      <c r="A182" s="125"/>
      <c r="B182" s="126"/>
      <c r="C182" s="127"/>
      <c r="D182" s="118"/>
      <c r="E182" s="374"/>
      <c r="F182" s="374"/>
      <c r="G182" s="373"/>
      <c r="H182" s="374"/>
      <c r="I182" s="374"/>
      <c r="J182" s="374"/>
      <c r="K182" s="374"/>
      <c r="L182" s="373"/>
      <c r="M182" s="373"/>
      <c r="N182" s="375"/>
      <c r="O182" s="373"/>
      <c r="P182" s="376"/>
      <c r="Q182" s="452"/>
      <c r="R182" s="453"/>
    </row>
    <row r="183" spans="1:18" s="4" customFormat="1" ht="19.5" hidden="1" customHeight="1">
      <c r="A183" s="970" t="s">
        <v>376</v>
      </c>
      <c r="B183" s="972" t="s">
        <v>377</v>
      </c>
      <c r="C183" s="974" t="s">
        <v>378</v>
      </c>
      <c r="D183" s="970" t="s">
        <v>91</v>
      </c>
      <c r="E183" s="964" t="s">
        <v>368</v>
      </c>
      <c r="F183" s="965"/>
      <c r="G183" s="965"/>
      <c r="H183" s="965"/>
      <c r="I183" s="965"/>
      <c r="J183" s="965"/>
      <c r="K183" s="965"/>
      <c r="L183" s="966"/>
      <c r="M183" s="324" t="s">
        <v>63</v>
      </c>
      <c r="N183" s="974" t="s">
        <v>379</v>
      </c>
      <c r="O183" s="323" t="s">
        <v>18</v>
      </c>
      <c r="P183" s="418" t="s">
        <v>19</v>
      </c>
      <c r="Q183" s="419" t="s">
        <v>19</v>
      </c>
      <c r="R183" s="420" t="s">
        <v>16</v>
      </c>
    </row>
    <row r="184" spans="1:18" s="4" customFormat="1" ht="19.5" hidden="1" customHeight="1">
      <c r="A184" s="971"/>
      <c r="B184" s="973"/>
      <c r="C184" s="975"/>
      <c r="D184" s="971"/>
      <c r="E184" s="327" t="s">
        <v>369</v>
      </c>
      <c r="F184" s="326" t="s">
        <v>370</v>
      </c>
      <c r="G184" s="328">
        <v>0</v>
      </c>
      <c r="H184" s="326" t="s">
        <v>257</v>
      </c>
      <c r="I184" s="326" t="s">
        <v>280</v>
      </c>
      <c r="J184" s="326" t="s">
        <v>261</v>
      </c>
      <c r="K184" s="326" t="s">
        <v>371</v>
      </c>
      <c r="L184" s="326" t="s">
        <v>372</v>
      </c>
      <c r="M184" s="326" t="s">
        <v>48</v>
      </c>
      <c r="N184" s="975"/>
      <c r="O184" s="325" t="s">
        <v>20</v>
      </c>
      <c r="P184" s="325" t="s">
        <v>21</v>
      </c>
      <c r="Q184" s="421" t="s">
        <v>22</v>
      </c>
      <c r="R184" s="422" t="s">
        <v>17</v>
      </c>
    </row>
    <row r="185" spans="1:18" s="4" customFormat="1" ht="14.25" hidden="1" customHeight="1">
      <c r="A185" s="329" t="s">
        <v>52</v>
      </c>
      <c r="B185" s="330" t="s">
        <v>53</v>
      </c>
      <c r="C185" s="330" t="s">
        <v>54</v>
      </c>
      <c r="D185" s="331" t="s">
        <v>55</v>
      </c>
      <c r="E185" s="332" t="s">
        <v>56</v>
      </c>
      <c r="F185" s="332" t="s">
        <v>57</v>
      </c>
      <c r="G185" s="332"/>
      <c r="H185" s="332" t="s">
        <v>58</v>
      </c>
      <c r="I185" s="332" t="s">
        <v>59</v>
      </c>
      <c r="J185" s="332" t="s">
        <v>60</v>
      </c>
      <c r="K185" s="332" t="s">
        <v>61</v>
      </c>
      <c r="L185" s="333" t="s">
        <v>373</v>
      </c>
      <c r="M185" s="333" t="s">
        <v>374</v>
      </c>
      <c r="N185" s="334" t="s">
        <v>375</v>
      </c>
      <c r="O185" s="332" t="s">
        <v>62</v>
      </c>
      <c r="P185" s="408"/>
      <c r="Q185" s="408"/>
      <c r="R185" s="409"/>
    </row>
    <row r="186" spans="1:18" s="4" customFormat="1" ht="16.5" hidden="1" customHeight="1">
      <c r="A186" s="315" t="s">
        <v>11</v>
      </c>
      <c r="B186" s="402" t="s">
        <v>392</v>
      </c>
      <c r="C186" s="318" t="s">
        <v>278</v>
      </c>
      <c r="D186" s="351" t="s">
        <v>8</v>
      </c>
      <c r="E186" s="348" t="e">
        <f>'NC-CLBD'!#REF!/100</f>
        <v>#REF!</v>
      </c>
      <c r="F186" s="348"/>
      <c r="G186" s="353" t="e">
        <f>$Q$1*10*P186</f>
        <v>#REF!</v>
      </c>
      <c r="H186" s="348"/>
      <c r="I186" s="348"/>
      <c r="J186" s="348"/>
      <c r="K186" s="348"/>
      <c r="L186" s="353" t="e">
        <f>SUM(E186:K186)</f>
        <v>#REF!</v>
      </c>
      <c r="M186" s="353" t="e">
        <f>L186*'He so chung'!$D$17/100</f>
        <v>#REF!</v>
      </c>
      <c r="N186" s="349" t="e">
        <f>M186+L186</f>
        <v>#REF!</v>
      </c>
      <c r="O186" s="354" t="e">
        <f>'He so chung'!$D$21*R186</f>
        <v>#REF!</v>
      </c>
      <c r="P186" s="354" t="e">
        <f>'He so chung'!$D$22*R186</f>
        <v>#REF!</v>
      </c>
      <c r="Q186" s="411" t="e">
        <f>'He so chung'!$D$23*R186</f>
        <v>#REF!</v>
      </c>
      <c r="R186" s="412" t="e">
        <f>'NC-CLBD'!#REF!/100</f>
        <v>#REF!</v>
      </c>
    </row>
    <row r="187" spans="1:18" s="4" customFormat="1" ht="15.75" hidden="1" customHeight="1">
      <c r="A187" s="315"/>
      <c r="B187" s="402" t="s">
        <v>393</v>
      </c>
      <c r="C187" s="318"/>
      <c r="D187" s="351"/>
      <c r="E187" s="348"/>
      <c r="F187" s="348"/>
      <c r="G187" s="353"/>
      <c r="H187" s="348"/>
      <c r="I187" s="348"/>
      <c r="J187" s="348"/>
      <c r="K187" s="348"/>
      <c r="L187" s="353"/>
      <c r="M187" s="353"/>
      <c r="N187" s="349"/>
      <c r="O187" s="353"/>
      <c r="P187" s="354"/>
      <c r="Q187" s="411"/>
      <c r="R187" s="412"/>
    </row>
    <row r="188" spans="1:18" s="4" customFormat="1" ht="12.75" hidden="1" customHeight="1">
      <c r="A188" s="314"/>
      <c r="B188" s="314"/>
      <c r="C188" s="314"/>
      <c r="D188" s="351"/>
      <c r="E188" s="348"/>
      <c r="F188" s="348"/>
      <c r="G188" s="353"/>
      <c r="H188" s="348"/>
      <c r="I188" s="348"/>
      <c r="J188" s="348"/>
      <c r="K188" s="348"/>
      <c r="L188" s="353"/>
      <c r="M188" s="353"/>
      <c r="N188" s="349"/>
      <c r="O188" s="353"/>
      <c r="P188" s="354"/>
      <c r="Q188" s="411"/>
      <c r="R188" s="412"/>
    </row>
    <row r="189" spans="1:18" s="4" customFormat="1" ht="18" hidden="1" customHeight="1">
      <c r="A189" s="315" t="s">
        <v>12</v>
      </c>
      <c r="B189" s="314" t="s">
        <v>81</v>
      </c>
      <c r="C189" s="318" t="s">
        <v>278</v>
      </c>
      <c r="D189" s="351" t="s">
        <v>9</v>
      </c>
      <c r="E189" s="348" t="e">
        <f>'NC-CLBD'!K54/100</f>
        <v>#VALUE!</v>
      </c>
      <c r="F189" s="348"/>
      <c r="G189" s="353">
        <f t="shared" ref="G189:G194" si="31">$Q$1*10*P189</f>
        <v>294.03846153846155</v>
      </c>
      <c r="H189" s="348">
        <f>'DCu-CLBD'!L156</f>
        <v>109.57465400000005</v>
      </c>
      <c r="I189" s="348">
        <f>'VL-CLBD'!J71</f>
        <v>5611.8959999999997</v>
      </c>
      <c r="J189" s="348">
        <f>'TBI-CLBD'!I122</f>
        <v>144.35319999999999</v>
      </c>
      <c r="K189" s="348" t="e">
        <f>#REF!</f>
        <v>#REF!</v>
      </c>
      <c r="L189" s="353" t="e">
        <f t="shared" ref="L189:L194" si="32">SUM(E189:K189)</f>
        <v>#VALUE!</v>
      </c>
      <c r="M189" s="353" t="e">
        <f>L189*'He so chung'!$D$17/100</f>
        <v>#VALUE!</v>
      </c>
      <c r="N189" s="349" t="e">
        <f t="shared" ref="N189:N194" si="33">M189+L189</f>
        <v>#VALUE!</v>
      </c>
      <c r="O189" s="354">
        <f>'He so chung'!$D$21*R189</f>
        <v>67.628846153846155</v>
      </c>
      <c r="P189" s="354">
        <f>'He so chung'!$D$22*R189</f>
        <v>58.807692307692307</v>
      </c>
      <c r="Q189" s="411">
        <f>'He so chung'!$D$23*R189</f>
        <v>8.8211538461538463</v>
      </c>
      <c r="R189" s="412">
        <f>'NC-CLBD'!J54/100</f>
        <v>1.1000000000000001E-2</v>
      </c>
    </row>
    <row r="190" spans="1:18" s="4" customFormat="1" ht="18" hidden="1" customHeight="1">
      <c r="A190" s="315"/>
      <c r="B190" s="314"/>
      <c r="C190" s="318"/>
      <c r="D190" s="351" t="s">
        <v>10</v>
      </c>
      <c r="E190" s="348" t="e">
        <f>'NC-CLBD'!K56/100</f>
        <v>#VALUE!</v>
      </c>
      <c r="F190" s="348"/>
      <c r="G190" s="353">
        <f t="shared" si="31"/>
        <v>368.88461538461536</v>
      </c>
      <c r="H190" s="348">
        <f>'DCu-CLBD'!L157</f>
        <v>136.96831750000007</v>
      </c>
      <c r="I190" s="348">
        <f>$I$189</f>
        <v>5611.8959999999997</v>
      </c>
      <c r="J190" s="348">
        <f>'TBI-CLBD'!K122</f>
        <v>149.7448</v>
      </c>
      <c r="K190" s="348" t="e">
        <f>#REF!</f>
        <v>#REF!</v>
      </c>
      <c r="L190" s="353" t="e">
        <f t="shared" si="32"/>
        <v>#VALUE!</v>
      </c>
      <c r="M190" s="353" t="e">
        <f>L190*'He so chung'!$D$17/100</f>
        <v>#VALUE!</v>
      </c>
      <c r="N190" s="349" t="e">
        <f t="shared" si="33"/>
        <v>#VALUE!</v>
      </c>
      <c r="O190" s="354">
        <f>'He so chung'!$D$21*R190</f>
        <v>84.84346153846154</v>
      </c>
      <c r="P190" s="354">
        <f>'He so chung'!$D$22*R190</f>
        <v>73.776923076923069</v>
      </c>
      <c r="Q190" s="411">
        <f>'He so chung'!$D$23*R190</f>
        <v>11.06653846153846</v>
      </c>
      <c r="R190" s="412">
        <f>'NC-CLBD'!J56/100</f>
        <v>1.38E-2</v>
      </c>
    </row>
    <row r="191" spans="1:18" s="4" customFormat="1" ht="18" hidden="1" customHeight="1">
      <c r="A191" s="315"/>
      <c r="B191" s="314"/>
      <c r="C191" s="318"/>
      <c r="D191" s="351" t="s">
        <v>11</v>
      </c>
      <c r="E191" s="348" t="e">
        <f>'NC-CLBD'!K58/100</f>
        <v>#VALUE!</v>
      </c>
      <c r="F191" s="348"/>
      <c r="G191" s="353">
        <f t="shared" si="31"/>
        <v>491.84615384615375</v>
      </c>
      <c r="H191" s="348">
        <f>'DCu-CLBD'!L158</f>
        <v>182.62442333333343</v>
      </c>
      <c r="I191" s="348">
        <f>$I$189</f>
        <v>5611.8959999999997</v>
      </c>
      <c r="J191" s="348">
        <f>'TBI-CLBD'!M122</f>
        <v>159.31639999999999</v>
      </c>
      <c r="K191" s="348" t="e">
        <f>#REF!</f>
        <v>#REF!</v>
      </c>
      <c r="L191" s="353" t="e">
        <f t="shared" si="32"/>
        <v>#VALUE!</v>
      </c>
      <c r="M191" s="353" t="e">
        <f>L191*'He so chung'!$D$17/100</f>
        <v>#VALUE!</v>
      </c>
      <c r="N191" s="349" t="e">
        <f t="shared" si="33"/>
        <v>#VALUE!</v>
      </c>
      <c r="O191" s="354">
        <f>'He so chung'!$D$21*R191</f>
        <v>113.12461538461538</v>
      </c>
      <c r="P191" s="354">
        <f>'He so chung'!$D$22*R191</f>
        <v>98.369230769230754</v>
      </c>
      <c r="Q191" s="411">
        <f>'He so chung'!$D$23*R191</f>
        <v>14.755384615384616</v>
      </c>
      <c r="R191" s="412">
        <f>'NC-CLBD'!J58/100</f>
        <v>1.84E-2</v>
      </c>
    </row>
    <row r="192" spans="1:18" s="4" customFormat="1" ht="18" hidden="1" customHeight="1">
      <c r="A192" s="315"/>
      <c r="B192" s="314"/>
      <c r="C192" s="318"/>
      <c r="D192" s="351" t="s">
        <v>12</v>
      </c>
      <c r="E192" s="348" t="e">
        <f>'NC-CLBD'!K60/100</f>
        <v>#VALUE!</v>
      </c>
      <c r="F192" s="348"/>
      <c r="G192" s="353">
        <f t="shared" si="31"/>
        <v>662.92307692307691</v>
      </c>
      <c r="H192" s="348">
        <f>'DCu-CLBD'!L159</f>
        <v>246.54297150000014</v>
      </c>
      <c r="I192" s="348">
        <f>$I$189</f>
        <v>5611.8959999999997</v>
      </c>
      <c r="J192" s="348">
        <f>'TBI-CLBD'!O122</f>
        <v>172.178</v>
      </c>
      <c r="K192" s="348" t="e">
        <f>#REF!</f>
        <v>#REF!</v>
      </c>
      <c r="L192" s="353" t="e">
        <f t="shared" si="32"/>
        <v>#VALUE!</v>
      </c>
      <c r="M192" s="353" t="e">
        <f>L192*'He so chung'!$D$17/100</f>
        <v>#VALUE!</v>
      </c>
      <c r="N192" s="349" t="e">
        <f t="shared" si="33"/>
        <v>#VALUE!</v>
      </c>
      <c r="O192" s="354">
        <f>'He so chung'!$D$21*R192</f>
        <v>152.47230769230768</v>
      </c>
      <c r="P192" s="354">
        <f>'He so chung'!$D$22*R192</f>
        <v>132.58461538461538</v>
      </c>
      <c r="Q192" s="411">
        <f>'He so chung'!$D$23*R192</f>
        <v>19.887692307692305</v>
      </c>
      <c r="R192" s="412">
        <f>'NC-CLBD'!J60/100</f>
        <v>2.4799999999999999E-2</v>
      </c>
    </row>
    <row r="193" spans="1:18" s="4" customFormat="1" ht="18" hidden="1" customHeight="1">
      <c r="A193" s="315"/>
      <c r="B193" s="314"/>
      <c r="C193" s="318"/>
      <c r="D193" s="351" t="s">
        <v>13</v>
      </c>
      <c r="E193" s="348" t="e">
        <f>'NC-CLBD'!K62/100</f>
        <v>#VALUE!</v>
      </c>
      <c r="F193" s="348"/>
      <c r="G193" s="353">
        <f t="shared" si="31"/>
        <v>860.73076923076906</v>
      </c>
      <c r="H193" s="348">
        <f>'DCu-CLBD'!L160</f>
        <v>319.59274083333349</v>
      </c>
      <c r="I193" s="348">
        <f>$I$189</f>
        <v>5611.8959999999997</v>
      </c>
      <c r="J193" s="348">
        <f>'TBI-CLBD'!Q122</f>
        <v>187.7296</v>
      </c>
      <c r="K193" s="348" t="e">
        <f>#REF!</f>
        <v>#REF!</v>
      </c>
      <c r="L193" s="353" t="e">
        <f t="shared" si="32"/>
        <v>#VALUE!</v>
      </c>
      <c r="M193" s="353" t="e">
        <f>L193*'He so chung'!$D$17/100</f>
        <v>#VALUE!</v>
      </c>
      <c r="N193" s="349" t="e">
        <f t="shared" si="33"/>
        <v>#VALUE!</v>
      </c>
      <c r="O193" s="354">
        <f>'He so chung'!$D$21*R193</f>
        <v>197.96807692307692</v>
      </c>
      <c r="P193" s="354">
        <f>'He so chung'!$D$22*R193</f>
        <v>172.14615384615382</v>
      </c>
      <c r="Q193" s="411">
        <f>'He so chung'!$D$23*R193</f>
        <v>25.821923076923078</v>
      </c>
      <c r="R193" s="412">
        <f>'NC-CLBD'!J62/100</f>
        <v>3.2199999999999999E-2</v>
      </c>
    </row>
    <row r="194" spans="1:18" s="4" customFormat="1" ht="18" hidden="1" customHeight="1">
      <c r="A194" s="315"/>
      <c r="B194" s="314"/>
      <c r="C194" s="318"/>
      <c r="D194" s="351" t="s">
        <v>14</v>
      </c>
      <c r="E194" s="348" t="e">
        <f>'NC-CLBD'!#REF!/100</f>
        <v>#REF!</v>
      </c>
      <c r="F194" s="348"/>
      <c r="G194" s="353" t="e">
        <f t="shared" si="31"/>
        <v>#REF!</v>
      </c>
      <c r="H194" s="348">
        <f>'DCu-CLBD'!L161</f>
        <v>0</v>
      </c>
      <c r="I194" s="348">
        <f>$I$189</f>
        <v>5611.8959999999997</v>
      </c>
      <c r="J194" s="348" t="e">
        <f>'TBI-CLBD'!#REF!</f>
        <v>#REF!</v>
      </c>
      <c r="K194" s="348" t="e">
        <f>#REF!</f>
        <v>#REF!</v>
      </c>
      <c r="L194" s="353" t="e">
        <f t="shared" si="32"/>
        <v>#REF!</v>
      </c>
      <c r="M194" s="353" t="e">
        <f>L194*'He so chung'!$D$17/100</f>
        <v>#REF!</v>
      </c>
      <c r="N194" s="349" t="e">
        <f t="shared" si="33"/>
        <v>#REF!</v>
      </c>
      <c r="O194" s="354" t="e">
        <f>'He so chung'!$D$21*R194</f>
        <v>#REF!</v>
      </c>
      <c r="P194" s="354" t="e">
        <f>'He so chung'!$D$22*R194</f>
        <v>#REF!</v>
      </c>
      <c r="Q194" s="411" t="e">
        <f>'He so chung'!$D$23*R194</f>
        <v>#REF!</v>
      </c>
      <c r="R194" s="412" t="e">
        <f>'NC-CLBD'!#REF!/100</f>
        <v>#REF!</v>
      </c>
    </row>
    <row r="195" spans="1:18" s="4" customFormat="1" ht="14.25" hidden="1" customHeight="1">
      <c r="A195" s="314"/>
      <c r="B195" s="314"/>
      <c r="C195" s="314"/>
      <c r="D195" s="351"/>
      <c r="E195" s="348"/>
      <c r="F195" s="348"/>
      <c r="G195" s="353"/>
      <c r="H195" s="348"/>
      <c r="I195" s="348"/>
      <c r="J195" s="348"/>
      <c r="K195" s="348"/>
      <c r="L195" s="353"/>
      <c r="M195" s="353"/>
      <c r="N195" s="349"/>
      <c r="O195" s="354"/>
      <c r="P195" s="354"/>
      <c r="Q195" s="411"/>
      <c r="R195" s="412"/>
    </row>
    <row r="196" spans="1:18" s="4" customFormat="1" ht="16.5" hidden="1" customHeight="1">
      <c r="A196" s="315" t="s">
        <v>13</v>
      </c>
      <c r="B196" s="314" t="s">
        <v>384</v>
      </c>
      <c r="C196" s="318" t="s">
        <v>278</v>
      </c>
      <c r="D196" s="351" t="s">
        <v>8</v>
      </c>
      <c r="E196" s="348" t="e">
        <f>'NC-CLBD'!K64/100</f>
        <v>#VALUE!</v>
      </c>
      <c r="F196" s="348"/>
      <c r="G196" s="353">
        <f>$Q$1*10*P196</f>
        <v>801.92307692307679</v>
      </c>
      <c r="H196" s="348"/>
      <c r="I196" s="348"/>
      <c r="J196" s="348"/>
      <c r="K196" s="348"/>
      <c r="L196" s="353" t="e">
        <f>SUM(E196:K196)</f>
        <v>#VALUE!</v>
      </c>
      <c r="M196" s="353" t="e">
        <f>L196*'He so chung'!$D$17/100</f>
        <v>#VALUE!</v>
      </c>
      <c r="N196" s="349" t="e">
        <f>M196+L196</f>
        <v>#VALUE!</v>
      </c>
      <c r="O196" s="354">
        <f>'He so chung'!$D$21*R196</f>
        <v>184.44230769230768</v>
      </c>
      <c r="P196" s="354">
        <f>'He so chung'!$D$22*R196</f>
        <v>160.38461538461536</v>
      </c>
      <c r="Q196" s="411">
        <f>'He so chung'!$D$23*R196</f>
        <v>24.057692307692307</v>
      </c>
      <c r="R196" s="412">
        <f>'NC-CLBD'!J64/100</f>
        <v>0.03</v>
      </c>
    </row>
    <row r="197" spans="1:18" s="4" customFormat="1" ht="15.75" hidden="1" customHeight="1">
      <c r="A197" s="315"/>
      <c r="B197" s="314" t="s">
        <v>385</v>
      </c>
      <c r="C197" s="318"/>
      <c r="D197" s="351"/>
      <c r="E197" s="348"/>
      <c r="F197" s="348"/>
      <c r="G197" s="353"/>
      <c r="H197" s="348"/>
      <c r="I197" s="348"/>
      <c r="J197" s="348"/>
      <c r="K197" s="348"/>
      <c r="L197" s="353"/>
      <c r="M197" s="353"/>
      <c r="N197" s="349"/>
      <c r="O197" s="354"/>
      <c r="P197" s="354"/>
      <c r="Q197" s="411"/>
      <c r="R197" s="412"/>
    </row>
    <row r="198" spans="1:18" s="4" customFormat="1" ht="10.5" hidden="1" customHeight="1">
      <c r="A198" s="315"/>
      <c r="B198" s="314"/>
      <c r="C198" s="318"/>
      <c r="D198" s="351"/>
      <c r="E198" s="348"/>
      <c r="F198" s="348"/>
      <c r="G198" s="353"/>
      <c r="H198" s="348"/>
      <c r="I198" s="348"/>
      <c r="J198" s="348"/>
      <c r="K198" s="348"/>
      <c r="L198" s="353"/>
      <c r="M198" s="353"/>
      <c r="N198" s="349"/>
      <c r="O198" s="354"/>
      <c r="P198" s="354"/>
      <c r="Q198" s="411"/>
      <c r="R198" s="425"/>
    </row>
    <row r="199" spans="1:18" s="4" customFormat="1" ht="17.25" hidden="1" customHeight="1">
      <c r="A199" s="315" t="s">
        <v>14</v>
      </c>
      <c r="B199" s="314" t="s">
        <v>363</v>
      </c>
      <c r="C199" s="318" t="s">
        <v>278</v>
      </c>
      <c r="D199" s="351" t="s">
        <v>8</v>
      </c>
      <c r="E199" s="352" t="e">
        <f>'NC-CLBD'!K67/100</f>
        <v>#VALUE!</v>
      </c>
      <c r="F199" s="353"/>
      <c r="G199" s="353">
        <f>$Q$1*10*P199</f>
        <v>695</v>
      </c>
      <c r="H199" s="353">
        <f>'DCu-CLBD'!L186</f>
        <v>184.59746666666666</v>
      </c>
      <c r="I199" s="353">
        <f>'VL-CLBD'!J92</f>
        <v>1232.28</v>
      </c>
      <c r="J199" s="353">
        <f>'TBI-CLBD'!I155</f>
        <v>105.78</v>
      </c>
      <c r="K199" s="353" t="e">
        <f>#REF!</f>
        <v>#REF!</v>
      </c>
      <c r="L199" s="348" t="e">
        <f>SUM(E199:K199)</f>
        <v>#VALUE!</v>
      </c>
      <c r="M199" s="353" t="e">
        <f>L199*'He so chung'!$D$17/100</f>
        <v>#VALUE!</v>
      </c>
      <c r="N199" s="349" t="e">
        <f>M199+L199</f>
        <v>#VALUE!</v>
      </c>
      <c r="O199" s="354">
        <f>'He so chung'!$D$21*R199</f>
        <v>159.85000000000002</v>
      </c>
      <c r="P199" s="354">
        <f>'He so chung'!$D$22*R199</f>
        <v>139</v>
      </c>
      <c r="Q199" s="411">
        <f>'He so chung'!$D$23*R199</f>
        <v>20.85</v>
      </c>
      <c r="R199" s="412">
        <f>'NC-CLBD'!J67/100</f>
        <v>2.6000000000000002E-2</v>
      </c>
    </row>
    <row r="200" spans="1:18" s="4" customFormat="1" ht="13.5" hidden="1" customHeight="1">
      <c r="A200" s="316"/>
      <c r="B200" s="317"/>
      <c r="C200" s="121"/>
      <c r="D200" s="361"/>
      <c r="E200" s="362"/>
      <c r="F200" s="363"/>
      <c r="G200" s="353"/>
      <c r="H200" s="363"/>
      <c r="I200" s="363"/>
      <c r="J200" s="363"/>
      <c r="K200" s="363"/>
      <c r="L200" s="348"/>
      <c r="M200" s="353"/>
      <c r="N200" s="349"/>
      <c r="O200" s="354"/>
      <c r="P200" s="354"/>
      <c r="Q200" s="411"/>
      <c r="R200" s="425"/>
    </row>
    <row r="201" spans="1:18" s="4" customFormat="1" ht="19.5" hidden="1" customHeight="1">
      <c r="A201" s="315" t="s">
        <v>85</v>
      </c>
      <c r="B201" s="314" t="s">
        <v>364</v>
      </c>
      <c r="C201" s="318" t="s">
        <v>1</v>
      </c>
      <c r="D201" s="351" t="s">
        <v>8</v>
      </c>
      <c r="E201" s="362" t="e">
        <f>'NC-CLBD'!K69/25</f>
        <v>#VALUE!</v>
      </c>
      <c r="F201" s="363"/>
      <c r="G201" s="353">
        <f>$Q$1*10*P201</f>
        <v>727.07692307692309</v>
      </c>
      <c r="H201" s="363">
        <f>'DCu-CLBD'!L209*70%</f>
        <v>321.7583869230769</v>
      </c>
      <c r="I201" s="363">
        <f>'VL-CLBD'!J112*70%</f>
        <v>3482.1359999999995</v>
      </c>
      <c r="J201" s="363">
        <f>'TBI-CLBD'!I180*70%</f>
        <v>107.21199999999999</v>
      </c>
      <c r="K201" s="363" t="e">
        <f>#REF!*70%</f>
        <v>#REF!</v>
      </c>
      <c r="L201" s="348" t="e">
        <f>SUM(E201:K201)</f>
        <v>#VALUE!</v>
      </c>
      <c r="M201" s="353" t="e">
        <f>L201*'He so chung'!$D$17/100</f>
        <v>#VALUE!</v>
      </c>
      <c r="N201" s="349" t="e">
        <f>M201+L201</f>
        <v>#VALUE!</v>
      </c>
      <c r="O201" s="354">
        <f>'He so chung'!$D$21*R201</f>
        <v>167.22769230769231</v>
      </c>
      <c r="P201" s="354">
        <f>'He so chung'!$D$22*R201</f>
        <v>145.41538461538462</v>
      </c>
      <c r="Q201" s="411">
        <f>'He so chung'!$D$23*R201</f>
        <v>21.812307692307694</v>
      </c>
      <c r="R201" s="425">
        <f>'NC-CLBD'!J69/25</f>
        <v>2.7200000000000002E-2</v>
      </c>
    </row>
    <row r="202" spans="1:18" s="4" customFormat="1" ht="12.75" hidden="1" customHeight="1">
      <c r="A202" s="102"/>
      <c r="B202" s="103"/>
      <c r="C202" s="121"/>
      <c r="D202" s="361"/>
      <c r="E202" s="362"/>
      <c r="F202" s="363"/>
      <c r="G202" s="353"/>
      <c r="H202" s="363"/>
      <c r="I202" s="363"/>
      <c r="J202" s="363"/>
      <c r="K202" s="363"/>
      <c r="L202" s="348"/>
      <c r="M202" s="353"/>
      <c r="N202" s="349"/>
      <c r="O202" s="354"/>
      <c r="P202" s="354"/>
      <c r="Q202" s="411"/>
      <c r="R202" s="425"/>
    </row>
    <row r="203" spans="1:18" s="4" customFormat="1" ht="19.5" hidden="1" customHeight="1">
      <c r="A203" s="315" t="s">
        <v>87</v>
      </c>
      <c r="B203" s="314" t="s">
        <v>365</v>
      </c>
      <c r="C203" s="318" t="s">
        <v>1</v>
      </c>
      <c r="D203" s="351" t="s">
        <v>8</v>
      </c>
      <c r="E203" s="362" t="e">
        <f>'NC-CLBD'!K71/25</f>
        <v>#VALUE!</v>
      </c>
      <c r="F203" s="363"/>
      <c r="G203" s="353">
        <f>$Q$1*10*P203</f>
        <v>855.38461538461536</v>
      </c>
      <c r="H203" s="363">
        <f>'DCu-CLBD'!L209*15%</f>
        <v>68.948225769230774</v>
      </c>
      <c r="I203" s="363">
        <f>'VL-CLBD'!J112*15%</f>
        <v>746.17199999999991</v>
      </c>
      <c r="J203" s="363">
        <f>'TBI-CLBD'!I180*15%</f>
        <v>22.974</v>
      </c>
      <c r="K203" s="363" t="e">
        <f>#REF!*15%</f>
        <v>#REF!</v>
      </c>
      <c r="L203" s="348" t="e">
        <f>SUM(E203:K203)</f>
        <v>#VALUE!</v>
      </c>
      <c r="M203" s="353" t="e">
        <f>L203*'He so chung'!$D$17/100</f>
        <v>#VALUE!</v>
      </c>
      <c r="N203" s="349" t="e">
        <f>M203+L203</f>
        <v>#VALUE!</v>
      </c>
      <c r="O203" s="354">
        <f>'He so chung'!$D$21*R203</f>
        <v>196.73846153846154</v>
      </c>
      <c r="P203" s="354">
        <f>'He so chung'!$D$22*R203</f>
        <v>171.07692307692307</v>
      </c>
      <c r="Q203" s="411">
        <f>'He so chung'!$D$23*R203</f>
        <v>25.661538461538463</v>
      </c>
      <c r="R203" s="425">
        <f>'NC-CLBD'!J71/25</f>
        <v>3.2000000000000001E-2</v>
      </c>
    </row>
    <row r="204" spans="1:18" s="4" customFormat="1" ht="12" hidden="1" customHeight="1">
      <c r="A204" s="316"/>
      <c r="B204" s="317"/>
      <c r="C204" s="121"/>
      <c r="D204" s="361"/>
      <c r="E204" s="362"/>
      <c r="F204" s="363"/>
      <c r="G204" s="353"/>
      <c r="H204" s="363"/>
      <c r="I204" s="363"/>
      <c r="J204" s="363"/>
      <c r="K204" s="363"/>
      <c r="L204" s="348"/>
      <c r="M204" s="353"/>
      <c r="N204" s="349"/>
      <c r="O204" s="354"/>
      <c r="P204" s="354"/>
      <c r="Q204" s="411"/>
      <c r="R204" s="425"/>
    </row>
    <row r="205" spans="1:18" s="4" customFormat="1" ht="15.75" hidden="1" customHeight="1">
      <c r="A205" s="315" t="s">
        <v>88</v>
      </c>
      <c r="B205" s="314" t="s">
        <v>366</v>
      </c>
      <c r="C205" s="318" t="s">
        <v>1</v>
      </c>
      <c r="D205" s="351" t="s">
        <v>8</v>
      </c>
      <c r="E205" s="353" t="e">
        <f>'NC-CLBD'!K73/25</f>
        <v>#VALUE!</v>
      </c>
      <c r="F205" s="353"/>
      <c r="G205" s="353">
        <f>$Q$1*10*P205</f>
        <v>1817.6923076923076</v>
      </c>
      <c r="H205" s="353">
        <f>'DCu-CLBD'!L209*15%</f>
        <v>68.948225769230774</v>
      </c>
      <c r="I205" s="353">
        <f>'VL-CLBD'!J112*15%</f>
        <v>746.17199999999991</v>
      </c>
      <c r="J205" s="353">
        <f>'TBI-CLBD'!I180*15%</f>
        <v>22.974</v>
      </c>
      <c r="K205" s="353" t="e">
        <f>#REF!*15%</f>
        <v>#REF!</v>
      </c>
      <c r="L205" s="348" t="e">
        <f>SUM(E205:K205)</f>
        <v>#VALUE!</v>
      </c>
      <c r="M205" s="353" t="e">
        <f>L205*'He so chung'!$D$17/100</f>
        <v>#VALUE!</v>
      </c>
      <c r="N205" s="349" t="e">
        <f>M205+L205</f>
        <v>#VALUE!</v>
      </c>
      <c r="O205" s="354">
        <f>'He so chung'!$D$21*R205</f>
        <v>418.06923076923078</v>
      </c>
      <c r="P205" s="354">
        <f>'He so chung'!$D$22*R205</f>
        <v>363.53846153846155</v>
      </c>
      <c r="Q205" s="411">
        <f>'He so chung'!$D$23*R205</f>
        <v>54.530769230769231</v>
      </c>
      <c r="R205" s="412">
        <f>'NC-CLBD'!J73/25</f>
        <v>6.8000000000000005E-2</v>
      </c>
    </row>
    <row r="206" spans="1:18" s="4" customFormat="1" ht="9.75" hidden="1" customHeight="1">
      <c r="A206" s="403"/>
      <c r="B206" s="401"/>
      <c r="C206" s="404"/>
      <c r="D206" s="377"/>
      <c r="E206" s="379"/>
      <c r="F206" s="379"/>
      <c r="G206" s="379"/>
      <c r="H206" s="379"/>
      <c r="I206" s="379"/>
      <c r="J206" s="379"/>
      <c r="K206" s="379"/>
      <c r="L206" s="380"/>
      <c r="M206" s="379"/>
      <c r="N206" s="381"/>
      <c r="O206" s="382"/>
      <c r="P206" s="382"/>
      <c r="Q206" s="423"/>
      <c r="R206" s="454"/>
    </row>
    <row r="207" spans="1:18" s="4" customFormat="1" ht="6" hidden="1" customHeight="1">
      <c r="A207" s="444"/>
      <c r="B207" s="445"/>
      <c r="C207" s="446"/>
      <c r="D207" s="444"/>
      <c r="E207" s="374"/>
      <c r="F207" s="374"/>
      <c r="G207" s="374"/>
      <c r="H207" s="374"/>
      <c r="I207" s="374"/>
      <c r="J207" s="374"/>
      <c r="K207" s="374"/>
      <c r="L207" s="374"/>
      <c r="M207" s="374"/>
      <c r="N207" s="374"/>
      <c r="O207" s="322"/>
      <c r="P207" s="322"/>
      <c r="Q207" s="426"/>
      <c r="R207" s="427"/>
    </row>
    <row r="208" spans="1:18" s="4" customFormat="1" ht="18.75" customHeight="1">
      <c r="A208" s="95"/>
      <c r="B208" s="501" t="s">
        <v>421</v>
      </c>
      <c r="C208" s="113"/>
      <c r="D208" s="114"/>
      <c r="E208" s="385"/>
      <c r="F208" s="385"/>
      <c r="G208" s="385"/>
      <c r="H208" s="385"/>
      <c r="I208" s="385"/>
      <c r="J208" s="385"/>
      <c r="K208" s="385"/>
      <c r="L208" s="385"/>
      <c r="M208" s="385"/>
      <c r="N208" s="385"/>
      <c r="O208" s="386"/>
      <c r="P208" s="428"/>
      <c r="Q208" s="429"/>
      <c r="R208" s="430"/>
    </row>
    <row r="209" spans="1:18" s="4" customFormat="1" ht="17.25" customHeight="1">
      <c r="A209" s="955" t="s">
        <v>3</v>
      </c>
      <c r="B209" s="958" t="s">
        <v>390</v>
      </c>
      <c r="C209" s="961" t="s">
        <v>1</v>
      </c>
      <c r="D209" s="387" t="s">
        <v>9</v>
      </c>
      <c r="E209" s="388" t="e">
        <f t="shared" ref="E209:R214" si="34">E151+E$201+E$203+E$205</f>
        <v>#VALUE!</v>
      </c>
      <c r="F209" s="388">
        <f t="shared" si="34"/>
        <v>0</v>
      </c>
      <c r="G209" s="388">
        <f t="shared" si="34"/>
        <v>17578.153846153848</v>
      </c>
      <c r="H209" s="388">
        <f t="shared" si="34"/>
        <v>2011.4565692307688</v>
      </c>
      <c r="I209" s="388">
        <f t="shared" si="34"/>
        <v>7976.8799999999992</v>
      </c>
      <c r="J209" s="388">
        <f t="shared" si="34"/>
        <v>153.15999999999997</v>
      </c>
      <c r="K209" s="388" t="e">
        <f t="shared" si="34"/>
        <v>#REF!</v>
      </c>
      <c r="L209" s="388" t="e">
        <f t="shared" si="34"/>
        <v>#VALUE!</v>
      </c>
      <c r="M209" s="388" t="e">
        <f t="shared" si="34"/>
        <v>#VALUE!</v>
      </c>
      <c r="N209" s="388" t="e">
        <f t="shared" si="34"/>
        <v>#VALUE!</v>
      </c>
      <c r="O209" s="388">
        <f t="shared" si="34"/>
        <v>4326.5353846153848</v>
      </c>
      <c r="P209" s="388">
        <f t="shared" si="34"/>
        <v>3515.6307692307687</v>
      </c>
      <c r="Q209" s="388">
        <f t="shared" si="34"/>
        <v>810.90461538461557</v>
      </c>
      <c r="R209" s="388">
        <f t="shared" si="34"/>
        <v>0.65759999999999996</v>
      </c>
    </row>
    <row r="210" spans="1:18" s="4" customFormat="1" ht="17.25" customHeight="1">
      <c r="A210" s="956"/>
      <c r="B210" s="959"/>
      <c r="C210" s="962"/>
      <c r="D210" s="389" t="s">
        <v>10</v>
      </c>
      <c r="E210" s="388" t="e">
        <f t="shared" si="34"/>
        <v>#VALUE!</v>
      </c>
      <c r="F210" s="388">
        <f t="shared" si="34"/>
        <v>0</v>
      </c>
      <c r="G210" s="388">
        <f t="shared" si="34"/>
        <v>21833.692307692309</v>
      </c>
      <c r="H210" s="388">
        <f t="shared" si="34"/>
        <v>2399.4070019230767</v>
      </c>
      <c r="I210" s="388">
        <f t="shared" si="34"/>
        <v>7976.8799999999992</v>
      </c>
      <c r="J210" s="388">
        <f t="shared" si="34"/>
        <v>153.15999999999997</v>
      </c>
      <c r="K210" s="388" t="e">
        <f t="shared" si="34"/>
        <v>#REF!</v>
      </c>
      <c r="L210" s="388" t="e">
        <f t="shared" si="34"/>
        <v>#VALUE!</v>
      </c>
      <c r="M210" s="388" t="e">
        <f t="shared" si="34"/>
        <v>#VALUE!</v>
      </c>
      <c r="N210" s="388" t="e">
        <f t="shared" si="34"/>
        <v>#VALUE!</v>
      </c>
      <c r="O210" s="388">
        <f t="shared" si="34"/>
        <v>5390.42</v>
      </c>
      <c r="P210" s="388">
        <f t="shared" si="34"/>
        <v>4366.7384615384608</v>
      </c>
      <c r="Q210" s="388">
        <f t="shared" si="34"/>
        <v>1023.6815384615386</v>
      </c>
      <c r="R210" s="388">
        <f t="shared" si="34"/>
        <v>0.81679999999999997</v>
      </c>
    </row>
    <row r="211" spans="1:18" s="4" customFormat="1" ht="17.25" customHeight="1">
      <c r="A211" s="956"/>
      <c r="B211" s="959"/>
      <c r="C211" s="962"/>
      <c r="D211" s="389" t="s">
        <v>11</v>
      </c>
      <c r="E211" s="388" t="e">
        <f t="shared" si="34"/>
        <v>#VALUE!</v>
      </c>
      <c r="F211" s="388">
        <f t="shared" si="34"/>
        <v>0</v>
      </c>
      <c r="G211" s="388">
        <f t="shared" si="34"/>
        <v>27350.923076923074</v>
      </c>
      <c r="H211" s="388">
        <f t="shared" si="34"/>
        <v>3045.9910564102561</v>
      </c>
      <c r="I211" s="388">
        <f t="shared" si="34"/>
        <v>7976.8799999999992</v>
      </c>
      <c r="J211" s="388">
        <f t="shared" si="34"/>
        <v>153.15999999999997</v>
      </c>
      <c r="K211" s="388" t="e">
        <f t="shared" si="34"/>
        <v>#REF!</v>
      </c>
      <c r="L211" s="388" t="e">
        <f t="shared" si="34"/>
        <v>#VALUE!</v>
      </c>
      <c r="M211" s="388" t="e">
        <f t="shared" si="34"/>
        <v>#VALUE!</v>
      </c>
      <c r="N211" s="388" t="e">
        <f t="shared" si="34"/>
        <v>#VALUE!</v>
      </c>
      <c r="O211" s="388">
        <f t="shared" si="34"/>
        <v>6769.7276923076915</v>
      </c>
      <c r="P211" s="388">
        <f t="shared" si="34"/>
        <v>5470.1846153846154</v>
      </c>
      <c r="Q211" s="388">
        <f t="shared" si="34"/>
        <v>1299.5430769230768</v>
      </c>
      <c r="R211" s="388">
        <f t="shared" si="34"/>
        <v>1.0231999999999999</v>
      </c>
    </row>
    <row r="212" spans="1:18" s="4" customFormat="1" ht="17.25" customHeight="1">
      <c r="A212" s="956"/>
      <c r="B212" s="959"/>
      <c r="C212" s="962"/>
      <c r="D212" s="391" t="s">
        <v>12</v>
      </c>
      <c r="E212" s="388" t="e">
        <f t="shared" si="34"/>
        <v>#VALUE!</v>
      </c>
      <c r="F212" s="388">
        <f t="shared" si="34"/>
        <v>0</v>
      </c>
      <c r="G212" s="388">
        <f t="shared" si="34"/>
        <v>34536.153846153844</v>
      </c>
      <c r="H212" s="388">
        <f t="shared" si="34"/>
        <v>3951.2087326923074</v>
      </c>
      <c r="I212" s="388">
        <f t="shared" si="34"/>
        <v>7976.8799999999992</v>
      </c>
      <c r="J212" s="388">
        <f t="shared" si="34"/>
        <v>153.15999999999997</v>
      </c>
      <c r="K212" s="388" t="e">
        <f t="shared" si="34"/>
        <v>#REF!</v>
      </c>
      <c r="L212" s="388" t="e">
        <f t="shared" si="34"/>
        <v>#VALUE!</v>
      </c>
      <c r="M212" s="388" t="e">
        <f t="shared" si="34"/>
        <v>#VALUE!</v>
      </c>
      <c r="N212" s="388" t="e">
        <f t="shared" si="34"/>
        <v>#VALUE!</v>
      </c>
      <c r="O212" s="388">
        <f t="shared" si="34"/>
        <v>8566.0353846153848</v>
      </c>
      <c r="P212" s="388">
        <f t="shared" si="34"/>
        <v>6907.2307692307695</v>
      </c>
      <c r="Q212" s="388">
        <f t="shared" si="34"/>
        <v>1658.8046153846155</v>
      </c>
      <c r="R212" s="388">
        <f t="shared" si="34"/>
        <v>1.2920000000000003</v>
      </c>
    </row>
    <row r="213" spans="1:18" s="4" customFormat="1" ht="17.25" customHeight="1">
      <c r="A213" s="956"/>
      <c r="B213" s="959"/>
      <c r="C213" s="962"/>
      <c r="D213" s="389" t="s">
        <v>13</v>
      </c>
      <c r="E213" s="388" t="e">
        <f t="shared" si="34"/>
        <v>#VALUE!</v>
      </c>
      <c r="F213" s="388">
        <f t="shared" si="34"/>
        <v>0</v>
      </c>
      <c r="G213" s="388">
        <f t="shared" si="34"/>
        <v>43881.230769230766</v>
      </c>
      <c r="H213" s="388">
        <f t="shared" si="34"/>
        <v>4985.7432198717943</v>
      </c>
      <c r="I213" s="388">
        <f t="shared" si="34"/>
        <v>7976.8799999999992</v>
      </c>
      <c r="J213" s="388">
        <f t="shared" si="34"/>
        <v>153.15999999999997</v>
      </c>
      <c r="K213" s="388" t="e">
        <f t="shared" si="34"/>
        <v>#REF!</v>
      </c>
      <c r="L213" s="388" t="e">
        <f t="shared" si="34"/>
        <v>#VALUE!</v>
      </c>
      <c r="M213" s="388" t="e">
        <f t="shared" si="34"/>
        <v>#VALUE!</v>
      </c>
      <c r="N213" s="388" t="e">
        <f t="shared" si="34"/>
        <v>#VALUE!</v>
      </c>
      <c r="O213" s="388">
        <f t="shared" si="34"/>
        <v>10902.304615384615</v>
      </c>
      <c r="P213" s="388">
        <f t="shared" si="34"/>
        <v>8776.2461538461539</v>
      </c>
      <c r="Q213" s="388">
        <f t="shared" si="34"/>
        <v>2126.0584615384619</v>
      </c>
      <c r="R213" s="388">
        <f t="shared" si="34"/>
        <v>1.6415999999999999</v>
      </c>
    </row>
    <row r="214" spans="1:18" s="4" customFormat="1" ht="17.25" customHeight="1">
      <c r="A214" s="967"/>
      <c r="B214" s="968"/>
      <c r="C214" s="969"/>
      <c r="D214" s="387" t="s">
        <v>14</v>
      </c>
      <c r="E214" s="388" t="e">
        <f t="shared" si="34"/>
        <v>#VALUE!</v>
      </c>
      <c r="F214" s="388">
        <f t="shared" si="34"/>
        <v>0</v>
      </c>
      <c r="G214" s="388">
        <f t="shared" si="34"/>
        <v>3400.1538461538462</v>
      </c>
      <c r="H214" s="388">
        <f t="shared" si="34"/>
        <v>459.65483846153842</v>
      </c>
      <c r="I214" s="388">
        <f t="shared" si="34"/>
        <v>7976.8799999999992</v>
      </c>
      <c r="J214" s="388">
        <f t="shared" si="34"/>
        <v>153.15999999999997</v>
      </c>
      <c r="K214" s="388" t="e">
        <f t="shared" si="34"/>
        <v>#REF!</v>
      </c>
      <c r="L214" s="388" t="e">
        <f t="shared" si="34"/>
        <v>#VALUE!</v>
      </c>
      <c r="M214" s="388" t="e">
        <f t="shared" si="34"/>
        <v>#VALUE!</v>
      </c>
      <c r="N214" s="388" t="e">
        <f t="shared" si="34"/>
        <v>#VALUE!</v>
      </c>
      <c r="O214" s="388">
        <f t="shared" si="34"/>
        <v>782.0353846153846</v>
      </c>
      <c r="P214" s="388">
        <f t="shared" si="34"/>
        <v>680.03076923076924</v>
      </c>
      <c r="Q214" s="388">
        <f t="shared" si="34"/>
        <v>102.00461538461539</v>
      </c>
      <c r="R214" s="388">
        <f t="shared" si="34"/>
        <v>0.12720000000000001</v>
      </c>
    </row>
    <row r="215" spans="1:18" s="4" customFormat="1" ht="12" customHeight="1">
      <c r="A215" s="494"/>
      <c r="B215" s="495"/>
      <c r="C215" s="496"/>
      <c r="D215" s="393"/>
      <c r="E215" s="497"/>
      <c r="F215" s="497"/>
      <c r="G215" s="497"/>
      <c r="H215" s="497"/>
      <c r="I215" s="497"/>
      <c r="J215" s="497"/>
      <c r="K215" s="497"/>
      <c r="L215" s="497"/>
      <c r="M215" s="497"/>
      <c r="N215" s="497"/>
      <c r="O215" s="497"/>
      <c r="P215" s="498"/>
      <c r="Q215" s="499"/>
      <c r="R215" s="500"/>
    </row>
    <row r="216" spans="1:18" s="4" customFormat="1" ht="20.25" customHeight="1">
      <c r="A216" s="956" t="s">
        <v>4</v>
      </c>
      <c r="B216" s="959" t="s">
        <v>391</v>
      </c>
      <c r="C216" s="962" t="s">
        <v>278</v>
      </c>
      <c r="D216" s="387" t="s">
        <v>9</v>
      </c>
      <c r="E216" s="449" t="e">
        <f t="shared" ref="E216:R221" si="35">E158+E165+E175+E$186+E189+E$196+E$199</f>
        <v>#VALUE!</v>
      </c>
      <c r="F216" s="449">
        <f t="shared" si="35"/>
        <v>5567.5</v>
      </c>
      <c r="G216" s="449" t="e">
        <f t="shared" si="35"/>
        <v>#REF!</v>
      </c>
      <c r="H216" s="449" t="e">
        <f t="shared" si="35"/>
        <v>#REF!</v>
      </c>
      <c r="I216" s="449" t="e">
        <f t="shared" si="35"/>
        <v>#REF!</v>
      </c>
      <c r="J216" s="449" t="e">
        <f t="shared" si="35"/>
        <v>#REF!</v>
      </c>
      <c r="K216" s="449" t="e">
        <f t="shared" si="35"/>
        <v>#REF!</v>
      </c>
      <c r="L216" s="449" t="e">
        <f t="shared" si="35"/>
        <v>#VALUE!</v>
      </c>
      <c r="M216" s="449" t="e">
        <f t="shared" si="35"/>
        <v>#VALUE!</v>
      </c>
      <c r="N216" s="449" t="e">
        <f t="shared" si="35"/>
        <v>#VALUE!</v>
      </c>
      <c r="O216" s="449" t="e">
        <f t="shared" si="35"/>
        <v>#REF!</v>
      </c>
      <c r="P216" s="449" t="e">
        <f t="shared" si="35"/>
        <v>#REF!</v>
      </c>
      <c r="Q216" s="449" t="e">
        <f t="shared" si="35"/>
        <v>#REF!</v>
      </c>
      <c r="R216" s="449" t="e">
        <f t="shared" si="35"/>
        <v>#REF!</v>
      </c>
    </row>
    <row r="217" spans="1:18" s="4" customFormat="1" ht="20.25" customHeight="1">
      <c r="A217" s="956"/>
      <c r="B217" s="959"/>
      <c r="C217" s="962"/>
      <c r="D217" s="389" t="s">
        <v>10</v>
      </c>
      <c r="E217" s="449" t="e">
        <f t="shared" si="35"/>
        <v>#VALUE!</v>
      </c>
      <c r="F217" s="449">
        <f t="shared" si="35"/>
        <v>6694.1</v>
      </c>
      <c r="G217" s="449" t="e">
        <f t="shared" si="35"/>
        <v>#REF!</v>
      </c>
      <c r="H217" s="449" t="e">
        <f t="shared" si="35"/>
        <v>#REF!</v>
      </c>
      <c r="I217" s="449" t="e">
        <f t="shared" si="35"/>
        <v>#REF!</v>
      </c>
      <c r="J217" s="449" t="e">
        <f t="shared" si="35"/>
        <v>#REF!</v>
      </c>
      <c r="K217" s="449" t="e">
        <f t="shared" si="35"/>
        <v>#REF!</v>
      </c>
      <c r="L217" s="449" t="e">
        <f t="shared" si="35"/>
        <v>#VALUE!</v>
      </c>
      <c r="M217" s="449" t="e">
        <f t="shared" si="35"/>
        <v>#VALUE!</v>
      </c>
      <c r="N217" s="449" t="e">
        <f t="shared" si="35"/>
        <v>#VALUE!</v>
      </c>
      <c r="O217" s="449" t="e">
        <f t="shared" si="35"/>
        <v>#REF!</v>
      </c>
      <c r="P217" s="449" t="e">
        <f t="shared" si="35"/>
        <v>#REF!</v>
      </c>
      <c r="Q217" s="449" t="e">
        <f t="shared" si="35"/>
        <v>#REF!</v>
      </c>
      <c r="R217" s="449" t="e">
        <f t="shared" si="35"/>
        <v>#REF!</v>
      </c>
    </row>
    <row r="218" spans="1:18" s="4" customFormat="1" ht="20.25" customHeight="1">
      <c r="A218" s="956"/>
      <c r="B218" s="959"/>
      <c r="C218" s="962"/>
      <c r="D218" s="389" t="s">
        <v>11</v>
      </c>
      <c r="E218" s="449" t="e">
        <f t="shared" si="35"/>
        <v>#VALUE!</v>
      </c>
      <c r="F218" s="449">
        <f t="shared" si="35"/>
        <v>8017.2</v>
      </c>
      <c r="G218" s="449" t="e">
        <f t="shared" si="35"/>
        <v>#REF!</v>
      </c>
      <c r="H218" s="449" t="e">
        <f t="shared" si="35"/>
        <v>#REF!</v>
      </c>
      <c r="I218" s="449" t="e">
        <f t="shared" si="35"/>
        <v>#REF!</v>
      </c>
      <c r="J218" s="449" t="e">
        <f t="shared" si="35"/>
        <v>#REF!</v>
      </c>
      <c r="K218" s="449" t="e">
        <f t="shared" si="35"/>
        <v>#REF!</v>
      </c>
      <c r="L218" s="449" t="e">
        <f t="shared" si="35"/>
        <v>#VALUE!</v>
      </c>
      <c r="M218" s="449" t="e">
        <f t="shared" si="35"/>
        <v>#VALUE!</v>
      </c>
      <c r="N218" s="449" t="e">
        <f t="shared" si="35"/>
        <v>#VALUE!</v>
      </c>
      <c r="O218" s="449" t="e">
        <f t="shared" si="35"/>
        <v>#REF!</v>
      </c>
      <c r="P218" s="449" t="e">
        <f t="shared" si="35"/>
        <v>#REF!</v>
      </c>
      <c r="Q218" s="449" t="e">
        <f t="shared" si="35"/>
        <v>#REF!</v>
      </c>
      <c r="R218" s="449" t="e">
        <f t="shared" si="35"/>
        <v>#REF!</v>
      </c>
    </row>
    <row r="219" spans="1:18" s="4" customFormat="1" ht="20.25" customHeight="1">
      <c r="A219" s="956"/>
      <c r="B219" s="959"/>
      <c r="C219" s="962"/>
      <c r="D219" s="391" t="s">
        <v>12</v>
      </c>
      <c r="E219" s="449" t="e">
        <f t="shared" si="35"/>
        <v>#VALUE!</v>
      </c>
      <c r="F219" s="449">
        <f t="shared" si="35"/>
        <v>9628.5</v>
      </c>
      <c r="G219" s="449" t="e">
        <f t="shared" si="35"/>
        <v>#REF!</v>
      </c>
      <c r="H219" s="449" t="e">
        <f t="shared" si="35"/>
        <v>#REF!</v>
      </c>
      <c r="I219" s="449" t="e">
        <f t="shared" si="35"/>
        <v>#REF!</v>
      </c>
      <c r="J219" s="449" t="e">
        <f t="shared" si="35"/>
        <v>#REF!</v>
      </c>
      <c r="K219" s="449" t="e">
        <f t="shared" si="35"/>
        <v>#REF!</v>
      </c>
      <c r="L219" s="449" t="e">
        <f t="shared" si="35"/>
        <v>#VALUE!</v>
      </c>
      <c r="M219" s="449" t="e">
        <f t="shared" si="35"/>
        <v>#VALUE!</v>
      </c>
      <c r="N219" s="449" t="e">
        <f t="shared" si="35"/>
        <v>#VALUE!</v>
      </c>
      <c r="O219" s="449" t="e">
        <f t="shared" si="35"/>
        <v>#REF!</v>
      </c>
      <c r="P219" s="449" t="e">
        <f t="shared" si="35"/>
        <v>#REF!</v>
      </c>
      <c r="Q219" s="449" t="e">
        <f t="shared" si="35"/>
        <v>#REF!</v>
      </c>
      <c r="R219" s="449" t="e">
        <f t="shared" si="35"/>
        <v>#REF!</v>
      </c>
    </row>
    <row r="220" spans="1:18" s="4" customFormat="1" ht="20.25" customHeight="1">
      <c r="A220" s="956"/>
      <c r="B220" s="959"/>
      <c r="C220" s="962"/>
      <c r="D220" s="389" t="s">
        <v>13</v>
      </c>
      <c r="E220" s="449" t="e">
        <f t="shared" si="35"/>
        <v>#VALUE!</v>
      </c>
      <c r="F220" s="449">
        <f t="shared" si="35"/>
        <v>11554.2</v>
      </c>
      <c r="G220" s="449" t="e">
        <f t="shared" si="35"/>
        <v>#REF!</v>
      </c>
      <c r="H220" s="449" t="e">
        <f t="shared" si="35"/>
        <v>#REF!</v>
      </c>
      <c r="I220" s="449" t="e">
        <f t="shared" si="35"/>
        <v>#REF!</v>
      </c>
      <c r="J220" s="449" t="e">
        <f t="shared" si="35"/>
        <v>#REF!</v>
      </c>
      <c r="K220" s="449" t="e">
        <f t="shared" si="35"/>
        <v>#REF!</v>
      </c>
      <c r="L220" s="449" t="e">
        <f t="shared" si="35"/>
        <v>#VALUE!</v>
      </c>
      <c r="M220" s="449" t="e">
        <f t="shared" si="35"/>
        <v>#VALUE!</v>
      </c>
      <c r="N220" s="449" t="e">
        <f t="shared" si="35"/>
        <v>#VALUE!</v>
      </c>
      <c r="O220" s="449" t="e">
        <f t="shared" si="35"/>
        <v>#REF!</v>
      </c>
      <c r="P220" s="449" t="e">
        <f t="shared" si="35"/>
        <v>#REF!</v>
      </c>
      <c r="Q220" s="449" t="e">
        <f t="shared" si="35"/>
        <v>#REF!</v>
      </c>
      <c r="R220" s="449" t="e">
        <f t="shared" si="35"/>
        <v>#REF!</v>
      </c>
    </row>
    <row r="221" spans="1:18" s="4" customFormat="1" ht="20.25" customHeight="1">
      <c r="A221" s="957"/>
      <c r="B221" s="960"/>
      <c r="C221" s="963"/>
      <c r="D221" s="393" t="s">
        <v>14</v>
      </c>
      <c r="E221" s="450" t="e">
        <f t="shared" si="35"/>
        <v>#REF!</v>
      </c>
      <c r="F221" s="450" t="e">
        <f t="shared" si="35"/>
        <v>#REF!</v>
      </c>
      <c r="G221" s="450" t="e">
        <f t="shared" si="35"/>
        <v>#REF!</v>
      </c>
      <c r="H221" s="450" t="e">
        <f t="shared" si="35"/>
        <v>#REF!</v>
      </c>
      <c r="I221" s="450" t="e">
        <f t="shared" si="35"/>
        <v>#REF!</v>
      </c>
      <c r="J221" s="450" t="e">
        <f t="shared" si="35"/>
        <v>#REF!</v>
      </c>
      <c r="K221" s="450" t="e">
        <f t="shared" si="35"/>
        <v>#REF!</v>
      </c>
      <c r="L221" s="450" t="e">
        <f t="shared" si="35"/>
        <v>#REF!</v>
      </c>
      <c r="M221" s="450" t="e">
        <f t="shared" si="35"/>
        <v>#REF!</v>
      </c>
      <c r="N221" s="450" t="e">
        <f t="shared" si="35"/>
        <v>#REF!</v>
      </c>
      <c r="O221" s="450" t="e">
        <f t="shared" si="35"/>
        <v>#REF!</v>
      </c>
      <c r="P221" s="450" t="e">
        <f t="shared" si="35"/>
        <v>#REF!</v>
      </c>
      <c r="Q221" s="450" t="e">
        <f t="shared" si="35"/>
        <v>#REF!</v>
      </c>
      <c r="R221" s="450" t="e">
        <f t="shared" si="35"/>
        <v>#REF!</v>
      </c>
    </row>
    <row r="222" spans="1:18" s="4" customFormat="1" ht="4.5" customHeight="1">
      <c r="A222" s="87"/>
      <c r="B222" s="79"/>
      <c r="C222" s="79"/>
      <c r="D222" s="87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2"/>
      <c r="P222" s="111"/>
      <c r="Q222" s="73"/>
      <c r="R222" s="74"/>
    </row>
    <row r="223" spans="1:18" s="4" customFormat="1" ht="25.5" hidden="1" customHeight="1">
      <c r="A223" s="976" t="s">
        <v>367</v>
      </c>
      <c r="B223" s="976"/>
      <c r="C223" s="976"/>
      <c r="D223" s="976"/>
      <c r="E223" s="976"/>
      <c r="F223" s="976"/>
      <c r="G223" s="976"/>
      <c r="H223" s="976"/>
      <c r="I223" s="976"/>
      <c r="J223" s="976"/>
      <c r="K223" s="976"/>
      <c r="L223" s="976"/>
      <c r="M223" s="976"/>
      <c r="N223" s="976"/>
      <c r="O223" s="976"/>
      <c r="P223" s="112"/>
      <c r="Q223" s="75"/>
      <c r="R223" s="76"/>
    </row>
    <row r="224" spans="1:18" s="4" customFormat="1" ht="8.25" hidden="1" customHeight="1">
      <c r="A224" s="319"/>
      <c r="B224" s="85"/>
      <c r="C224" s="84"/>
      <c r="D224" s="320"/>
      <c r="E224" s="187"/>
      <c r="F224" s="187"/>
      <c r="G224" s="187"/>
      <c r="H224" s="187"/>
      <c r="I224" s="187"/>
      <c r="J224" s="187"/>
      <c r="K224" s="187"/>
      <c r="L224" s="187"/>
      <c r="M224" s="321"/>
      <c r="N224" s="187"/>
      <c r="O224" s="322"/>
      <c r="P224" s="82"/>
      <c r="Q224" s="77"/>
      <c r="R224" s="78"/>
    </row>
    <row r="225" spans="1:18" s="4" customFormat="1" ht="18" hidden="1" customHeight="1">
      <c r="A225" s="970" t="s">
        <v>376</v>
      </c>
      <c r="B225" s="972" t="s">
        <v>377</v>
      </c>
      <c r="C225" s="974" t="s">
        <v>378</v>
      </c>
      <c r="D225" s="970" t="s">
        <v>91</v>
      </c>
      <c r="E225" s="964" t="s">
        <v>368</v>
      </c>
      <c r="F225" s="965"/>
      <c r="G225" s="965"/>
      <c r="H225" s="965"/>
      <c r="I225" s="965"/>
      <c r="J225" s="965"/>
      <c r="K225" s="965"/>
      <c r="L225" s="966"/>
      <c r="M225" s="324" t="s">
        <v>63</v>
      </c>
      <c r="N225" s="974" t="s">
        <v>379</v>
      </c>
      <c r="O225" s="323" t="s">
        <v>18</v>
      </c>
      <c r="P225" s="104" t="s">
        <v>19</v>
      </c>
      <c r="Q225" s="57" t="s">
        <v>19</v>
      </c>
      <c r="R225" s="58" t="s">
        <v>16</v>
      </c>
    </row>
    <row r="226" spans="1:18" s="4" customFormat="1" ht="19.5" hidden="1" customHeight="1">
      <c r="A226" s="971"/>
      <c r="B226" s="973"/>
      <c r="C226" s="975"/>
      <c r="D226" s="971"/>
      <c r="E226" s="327" t="s">
        <v>369</v>
      </c>
      <c r="F226" s="326" t="s">
        <v>370</v>
      </c>
      <c r="G226" s="328">
        <v>0</v>
      </c>
      <c r="H226" s="326" t="s">
        <v>257</v>
      </c>
      <c r="I226" s="326" t="s">
        <v>280</v>
      </c>
      <c r="J226" s="326" t="s">
        <v>261</v>
      </c>
      <c r="K226" s="326" t="s">
        <v>371</v>
      </c>
      <c r="L226" s="326" t="s">
        <v>372</v>
      </c>
      <c r="M226" s="326" t="s">
        <v>48</v>
      </c>
      <c r="N226" s="975"/>
      <c r="O226" s="325" t="s">
        <v>20</v>
      </c>
      <c r="P226" s="105" t="s">
        <v>21</v>
      </c>
      <c r="Q226" s="59" t="s">
        <v>22</v>
      </c>
      <c r="R226" s="60" t="s">
        <v>17</v>
      </c>
    </row>
    <row r="227" spans="1:18" s="4" customFormat="1" ht="16.5" hidden="1" customHeight="1">
      <c r="A227" s="329" t="s">
        <v>52</v>
      </c>
      <c r="B227" s="330" t="s">
        <v>53</v>
      </c>
      <c r="C227" s="330" t="s">
        <v>54</v>
      </c>
      <c r="D227" s="331" t="s">
        <v>55</v>
      </c>
      <c r="E227" s="332" t="s">
        <v>56</v>
      </c>
      <c r="F227" s="332" t="s">
        <v>57</v>
      </c>
      <c r="G227" s="332"/>
      <c r="H227" s="332" t="s">
        <v>58</v>
      </c>
      <c r="I227" s="332" t="s">
        <v>59</v>
      </c>
      <c r="J227" s="332" t="s">
        <v>60</v>
      </c>
      <c r="K227" s="332" t="s">
        <v>61</v>
      </c>
      <c r="L227" s="333" t="s">
        <v>373</v>
      </c>
      <c r="M227" s="333" t="s">
        <v>374</v>
      </c>
      <c r="N227" s="334" t="s">
        <v>375</v>
      </c>
      <c r="O227" s="332" t="s">
        <v>62</v>
      </c>
      <c r="P227" s="48"/>
      <c r="Q227" s="48"/>
      <c r="R227" s="49"/>
    </row>
    <row r="228" spans="1:18" s="4" customFormat="1" ht="20.25" hidden="1" customHeight="1">
      <c r="A228" s="335" t="s">
        <v>3</v>
      </c>
      <c r="B228" s="336" t="s">
        <v>380</v>
      </c>
      <c r="C228" s="337"/>
      <c r="D228" s="344"/>
      <c r="E228" s="345"/>
      <c r="F228" s="345"/>
      <c r="G228" s="345"/>
      <c r="H228" s="345"/>
      <c r="I228" s="345"/>
      <c r="J228" s="345"/>
      <c r="K228" s="345"/>
      <c r="L228" s="346"/>
      <c r="M228" s="346"/>
      <c r="N228" s="345"/>
      <c r="O228" s="347"/>
      <c r="P228" s="98"/>
      <c r="Q228" s="48"/>
      <c r="R228" s="49"/>
    </row>
    <row r="229" spans="1:18" s="4" customFormat="1" ht="16.5" hidden="1" customHeight="1">
      <c r="A229" s="315" t="s">
        <v>9</v>
      </c>
      <c r="B229" s="314" t="s">
        <v>73</v>
      </c>
      <c r="C229" s="318" t="s">
        <v>1</v>
      </c>
      <c r="D229" s="351">
        <v>1</v>
      </c>
      <c r="E229" s="352" t="e">
        <f>'NC-CLBD'!M5/100</f>
        <v>#VALUE!</v>
      </c>
      <c r="F229" s="353"/>
      <c r="G229" s="353">
        <f t="shared" ref="G229:G234" si="36">$Q$1*10*P229</f>
        <v>6233.6153846153848</v>
      </c>
      <c r="H229" s="353">
        <f>'DCu-CLBD'!N23</f>
        <v>581.97528846153864</v>
      </c>
      <c r="I229" s="353">
        <f>'VL-CLBD'!L16</f>
        <v>750.6</v>
      </c>
      <c r="J229" s="353"/>
      <c r="K229" s="353"/>
      <c r="L229" s="348" t="e">
        <f t="shared" ref="L229:L234" si="37">SUM(E229:K229)</f>
        <v>#VALUE!</v>
      </c>
      <c r="M229" s="348" t="e">
        <f>L229*'He so chung'!$D$16/100</f>
        <v>#VALUE!</v>
      </c>
      <c r="N229" s="349" t="e">
        <f t="shared" ref="N229:N234" si="38">M229+L229</f>
        <v>#VALUE!</v>
      </c>
      <c r="O229" s="354">
        <f>'He so chung'!$D$18*R229</f>
        <v>1558.403846153846</v>
      </c>
      <c r="P229" s="354">
        <f>'He so chung'!$D$19*R229</f>
        <v>1246.7230769230769</v>
      </c>
      <c r="Q229" s="411">
        <f>'He so chung'!$D$20*R229</f>
        <v>311.68076923076927</v>
      </c>
      <c r="R229" s="61">
        <f>'NC-CLBD'!L5/100</f>
        <v>0.23319999999999999</v>
      </c>
    </row>
    <row r="230" spans="1:18" s="4" customFormat="1" ht="16.5" hidden="1" customHeight="1">
      <c r="A230" s="314"/>
      <c r="B230" s="187"/>
      <c r="C230" s="318"/>
      <c r="D230" s="351">
        <v>2</v>
      </c>
      <c r="E230" s="352" t="e">
        <f>'NC-CLBD'!M7/100</f>
        <v>#VALUE!</v>
      </c>
      <c r="F230" s="353"/>
      <c r="G230" s="353">
        <f t="shared" si="36"/>
        <v>7484.6153846153848</v>
      </c>
      <c r="H230" s="353">
        <f>'DCu-CLBD'!N24</f>
        <v>727.4691105769233</v>
      </c>
      <c r="I230" s="353">
        <f>$I$229</f>
        <v>750.6</v>
      </c>
      <c r="J230" s="353"/>
      <c r="K230" s="353"/>
      <c r="L230" s="348" t="e">
        <f t="shared" si="37"/>
        <v>#VALUE!</v>
      </c>
      <c r="M230" s="348" t="e">
        <f>L230*'He so chung'!$D$16/100</f>
        <v>#VALUE!</v>
      </c>
      <c r="N230" s="349" t="e">
        <f t="shared" si="38"/>
        <v>#VALUE!</v>
      </c>
      <c r="O230" s="354">
        <f>'He so chung'!$D$18*R230</f>
        <v>1871.1538461538464</v>
      </c>
      <c r="P230" s="354">
        <f>'He so chung'!$D$19*R230</f>
        <v>1496.9230769230769</v>
      </c>
      <c r="Q230" s="411">
        <f>'He so chung'!$D$20*R230</f>
        <v>374.23076923076928</v>
      </c>
      <c r="R230" s="61">
        <f>'NC-CLBD'!L7/100</f>
        <v>0.28000000000000003</v>
      </c>
    </row>
    <row r="231" spans="1:18" s="4" customFormat="1" ht="16.5" hidden="1" customHeight="1">
      <c r="A231" s="315"/>
      <c r="B231" s="314"/>
      <c r="C231" s="318"/>
      <c r="D231" s="351">
        <v>3</v>
      </c>
      <c r="E231" s="352" t="e">
        <f>'NC-CLBD'!M9/100</f>
        <v>#VALUE!</v>
      </c>
      <c r="F231" s="353"/>
      <c r="G231" s="353">
        <f t="shared" si="36"/>
        <v>8981.538461538461</v>
      </c>
      <c r="H231" s="353">
        <f>'DCu-CLBD'!N25</f>
        <v>969.95881410256436</v>
      </c>
      <c r="I231" s="353">
        <f>$I$229</f>
        <v>750.6</v>
      </c>
      <c r="J231" s="353"/>
      <c r="K231" s="353"/>
      <c r="L231" s="348" t="e">
        <f t="shared" si="37"/>
        <v>#VALUE!</v>
      </c>
      <c r="M231" s="348" t="e">
        <f>L231*'He so chung'!$D$16/100</f>
        <v>#VALUE!</v>
      </c>
      <c r="N231" s="349" t="e">
        <f t="shared" si="38"/>
        <v>#VALUE!</v>
      </c>
      <c r="O231" s="354">
        <f>'He so chung'!$D$18*R231</f>
        <v>2245.3846153846157</v>
      </c>
      <c r="P231" s="354">
        <f>'He so chung'!$D$19*R231</f>
        <v>1796.3076923076924</v>
      </c>
      <c r="Q231" s="411">
        <f>'He so chung'!$D$20*R231</f>
        <v>449.07692307692315</v>
      </c>
      <c r="R231" s="61">
        <f>'NC-CLBD'!L9/100</f>
        <v>0.33600000000000002</v>
      </c>
    </row>
    <row r="232" spans="1:18" s="4" customFormat="1" ht="16.5" hidden="1" customHeight="1">
      <c r="A232" s="315"/>
      <c r="B232" s="314"/>
      <c r="C232" s="318"/>
      <c r="D232" s="351">
        <v>4</v>
      </c>
      <c r="E232" s="352" t="e">
        <f>'NC-CLBD'!M11/100</f>
        <v>#VALUE!</v>
      </c>
      <c r="F232" s="353"/>
      <c r="G232" s="353">
        <f t="shared" si="36"/>
        <v>10777.846153846152</v>
      </c>
      <c r="H232" s="353">
        <f>'DCu-CLBD'!N26</f>
        <v>1309.4443990384621</v>
      </c>
      <c r="I232" s="353">
        <f>$I$229</f>
        <v>750.6</v>
      </c>
      <c r="J232" s="353"/>
      <c r="K232" s="353"/>
      <c r="L232" s="348" t="e">
        <f t="shared" si="37"/>
        <v>#VALUE!</v>
      </c>
      <c r="M232" s="348" t="e">
        <f>L232*'He so chung'!$D$16/100</f>
        <v>#VALUE!</v>
      </c>
      <c r="N232" s="349" t="e">
        <f t="shared" si="38"/>
        <v>#VALUE!</v>
      </c>
      <c r="O232" s="354">
        <f>'He so chung'!$D$18*R232</f>
        <v>2694.4615384615386</v>
      </c>
      <c r="P232" s="354">
        <f>'He so chung'!$D$19*R232</f>
        <v>2155.5692307692307</v>
      </c>
      <c r="Q232" s="411">
        <f>'He so chung'!$D$20*R232</f>
        <v>538.89230769230778</v>
      </c>
      <c r="R232" s="61">
        <f>'NC-CLBD'!L11/100</f>
        <v>0.4032</v>
      </c>
    </row>
    <row r="233" spans="1:18" s="4" customFormat="1" ht="16.5" hidden="1" customHeight="1">
      <c r="A233" s="315"/>
      <c r="B233" s="314"/>
      <c r="C233" s="318"/>
      <c r="D233" s="351" t="s">
        <v>13</v>
      </c>
      <c r="E233" s="352" t="e">
        <f>'NC-CLBD'!M13/100</f>
        <v>#VALUE!</v>
      </c>
      <c r="F233" s="353"/>
      <c r="G233" s="353">
        <f t="shared" si="36"/>
        <v>12932.346153846154</v>
      </c>
      <c r="H233" s="353">
        <f>'DCu-CLBD'!N27</f>
        <v>1697.4279246794877</v>
      </c>
      <c r="I233" s="353">
        <f>'VL-CLBD'!L16</f>
        <v>750.6</v>
      </c>
      <c r="J233" s="353"/>
      <c r="K233" s="353"/>
      <c r="L233" s="348" t="e">
        <f t="shared" si="37"/>
        <v>#VALUE!</v>
      </c>
      <c r="M233" s="348" t="e">
        <f>L233*'He so chung'!$D$16/100</f>
        <v>#VALUE!</v>
      </c>
      <c r="N233" s="349" t="e">
        <f t="shared" si="38"/>
        <v>#VALUE!</v>
      </c>
      <c r="O233" s="354">
        <f>'He so chung'!$D$18*R233</f>
        <v>3233.0865384615386</v>
      </c>
      <c r="P233" s="354">
        <f>'He so chung'!$D$19*R233</f>
        <v>2586.4692307692308</v>
      </c>
      <c r="Q233" s="411">
        <f>'He so chung'!$D$20*R233</f>
        <v>646.6173076923078</v>
      </c>
      <c r="R233" s="61">
        <f>'NC-CLBD'!L13/100</f>
        <v>0.48380000000000001</v>
      </c>
    </row>
    <row r="234" spans="1:18" s="4" customFormat="1" ht="16.5" hidden="1" customHeight="1">
      <c r="A234" s="315"/>
      <c r="B234" s="314"/>
      <c r="C234" s="318"/>
      <c r="D234" s="351" t="s">
        <v>14</v>
      </c>
      <c r="E234" s="352">
        <f>'NC-CLBD'!M15/100</f>
        <v>0</v>
      </c>
      <c r="F234" s="353"/>
      <c r="G234" s="353">
        <f t="shared" si="36"/>
        <v>0</v>
      </c>
      <c r="H234" s="353">
        <f>'DCu-CLBD'!N28</f>
        <v>0</v>
      </c>
      <c r="I234" s="353">
        <f>'VL-CLBD'!L16</f>
        <v>750.6</v>
      </c>
      <c r="J234" s="353"/>
      <c r="K234" s="353"/>
      <c r="L234" s="348">
        <f t="shared" si="37"/>
        <v>750.6</v>
      </c>
      <c r="M234" s="348">
        <f>L234*'He so chung'!$D$16/100</f>
        <v>187.65</v>
      </c>
      <c r="N234" s="349">
        <f t="shared" si="38"/>
        <v>938.25</v>
      </c>
      <c r="O234" s="354">
        <f>'He so chung'!$D$18*R234</f>
        <v>0</v>
      </c>
      <c r="P234" s="354">
        <f>'He so chung'!$D$19*R234</f>
        <v>0</v>
      </c>
      <c r="Q234" s="411">
        <f>'He so chung'!$D$20*R234</f>
        <v>0</v>
      </c>
      <c r="R234" s="61">
        <f>'NC-CLBD'!L15/100</f>
        <v>0</v>
      </c>
    </row>
    <row r="235" spans="1:18" s="4" customFormat="1" ht="13.5" hidden="1" customHeight="1">
      <c r="A235" s="315"/>
      <c r="B235" s="314"/>
      <c r="C235" s="338"/>
      <c r="D235" s="351"/>
      <c r="E235" s="352"/>
      <c r="F235" s="353"/>
      <c r="G235" s="353"/>
      <c r="H235" s="353"/>
      <c r="I235" s="353"/>
      <c r="J235" s="353"/>
      <c r="K235" s="353"/>
      <c r="L235" s="348"/>
      <c r="M235" s="348"/>
      <c r="N235" s="349"/>
      <c r="O235" s="354"/>
      <c r="P235" s="354"/>
      <c r="Q235" s="411"/>
      <c r="R235" s="61"/>
    </row>
    <row r="236" spans="1:18" s="4" customFormat="1" ht="16.5" hidden="1" customHeight="1">
      <c r="A236" s="315" t="s">
        <v>10</v>
      </c>
      <c r="B236" s="314" t="s">
        <v>381</v>
      </c>
      <c r="C236" s="318" t="s">
        <v>278</v>
      </c>
      <c r="D236" s="351">
        <v>1</v>
      </c>
      <c r="E236" s="352" t="e">
        <f>'NC-CLBD'!M17/100</f>
        <v>#VALUE!</v>
      </c>
      <c r="F236" s="353"/>
      <c r="G236" s="353">
        <f t="shared" ref="G236:G241" si="39">$Q$1*10*P236</f>
        <v>414.32692307692309</v>
      </c>
      <c r="H236" s="353">
        <f>'DCu-CLBD'!N67</f>
        <v>26.93628605769231</v>
      </c>
      <c r="I236" s="353">
        <f>'VL-CLBD'!L45</f>
        <v>22.769099999999998</v>
      </c>
      <c r="J236" s="353">
        <f>'TBI-CLBD'!I30</f>
        <v>128.12</v>
      </c>
      <c r="K236" s="353" t="e">
        <f>#REF!</f>
        <v>#REF!</v>
      </c>
      <c r="L236" s="348" t="e">
        <f t="shared" ref="L236:L241" si="40">SUM(E236:K236)</f>
        <v>#VALUE!</v>
      </c>
      <c r="M236" s="348" t="e">
        <f>L236*'He so chung'!$D$16/100</f>
        <v>#VALUE!</v>
      </c>
      <c r="N236" s="349" t="e">
        <f t="shared" ref="N236:N241" si="41">M236+L236</f>
        <v>#VALUE!</v>
      </c>
      <c r="O236" s="354">
        <f>'He so chung'!$D$18*R236</f>
        <v>103.58173076923077</v>
      </c>
      <c r="P236" s="354">
        <f>'He so chung'!$D$19*R236</f>
        <v>82.865384615384613</v>
      </c>
      <c r="Q236" s="411">
        <f>'He so chung'!$D$20*R236</f>
        <v>20.716346153846157</v>
      </c>
      <c r="R236" s="61">
        <f>'NC-CLBD'!L17/100</f>
        <v>1.55E-2</v>
      </c>
    </row>
    <row r="237" spans="1:18" s="4" customFormat="1" ht="16.5" hidden="1" customHeight="1">
      <c r="A237" s="314"/>
      <c r="B237" s="187"/>
      <c r="C237" s="318"/>
      <c r="D237" s="351">
        <v>2</v>
      </c>
      <c r="E237" s="352" t="e">
        <f>'NC-CLBD'!M19/100</f>
        <v>#VALUE!</v>
      </c>
      <c r="F237" s="353"/>
      <c r="G237" s="353">
        <f t="shared" si="39"/>
        <v>561.34615384615381</v>
      </c>
      <c r="H237" s="353">
        <f>'DCu-CLBD'!N68</f>
        <v>33.670357572115385</v>
      </c>
      <c r="I237" s="353">
        <f>I236</f>
        <v>22.769099999999998</v>
      </c>
      <c r="J237" s="353">
        <f>'TBI-CLBD'!K30</f>
        <v>168.2</v>
      </c>
      <c r="K237" s="353" t="e">
        <f>#REF!</f>
        <v>#REF!</v>
      </c>
      <c r="L237" s="348" t="e">
        <f t="shared" si="40"/>
        <v>#VALUE!</v>
      </c>
      <c r="M237" s="348" t="e">
        <f>L237*'He so chung'!$D$16/100</f>
        <v>#VALUE!</v>
      </c>
      <c r="N237" s="349" t="e">
        <f t="shared" si="41"/>
        <v>#VALUE!</v>
      </c>
      <c r="O237" s="354">
        <f>'He so chung'!$D$18*R237</f>
        <v>140.33653846153848</v>
      </c>
      <c r="P237" s="354">
        <f>'He so chung'!$D$19*R237</f>
        <v>112.26923076923077</v>
      </c>
      <c r="Q237" s="411">
        <f>'He so chung'!$D$20*R237</f>
        <v>28.067307692307697</v>
      </c>
      <c r="R237" s="61">
        <f>'NC-CLBD'!L19/100</f>
        <v>2.1000000000000001E-2</v>
      </c>
    </row>
    <row r="238" spans="1:18" s="4" customFormat="1" ht="16.5" hidden="1" customHeight="1">
      <c r="A238" s="315"/>
      <c r="B238" s="314"/>
      <c r="C238" s="318"/>
      <c r="D238" s="351">
        <v>3</v>
      </c>
      <c r="E238" s="352" t="e">
        <f>'NC-CLBD'!M21/100</f>
        <v>#VALUE!</v>
      </c>
      <c r="F238" s="353"/>
      <c r="G238" s="353">
        <f t="shared" si="39"/>
        <v>695</v>
      </c>
      <c r="H238" s="353">
        <f>'DCu-CLBD'!N69</f>
        <v>44.89381009615385</v>
      </c>
      <c r="I238" s="353">
        <f>I237</f>
        <v>22.769099999999998</v>
      </c>
      <c r="J238" s="353">
        <f>'TBI-CLBD'!M30</f>
        <v>208.88</v>
      </c>
      <c r="K238" s="353" t="e">
        <f>#REF!</f>
        <v>#REF!</v>
      </c>
      <c r="L238" s="348" t="e">
        <f t="shared" si="40"/>
        <v>#VALUE!</v>
      </c>
      <c r="M238" s="348" t="e">
        <f>L238*'He so chung'!$D$16/100</f>
        <v>#VALUE!</v>
      </c>
      <c r="N238" s="349" t="e">
        <f t="shared" si="41"/>
        <v>#VALUE!</v>
      </c>
      <c r="O238" s="354">
        <f>'He so chung'!$D$18*R238</f>
        <v>173.75</v>
      </c>
      <c r="P238" s="354">
        <f>'He so chung'!$D$19*R238</f>
        <v>139</v>
      </c>
      <c r="Q238" s="411">
        <f>'He so chung'!$D$20*R238</f>
        <v>34.750000000000007</v>
      </c>
      <c r="R238" s="61">
        <f>'NC-CLBD'!L21/100</f>
        <v>2.6000000000000002E-2</v>
      </c>
    </row>
    <row r="239" spans="1:18" s="4" customFormat="1" ht="16.5" hidden="1" customHeight="1">
      <c r="A239" s="315"/>
      <c r="B239" s="314"/>
      <c r="C239" s="318"/>
      <c r="D239" s="351">
        <v>4</v>
      </c>
      <c r="E239" s="352" t="e">
        <f>'NC-CLBD'!M23/100</f>
        <v>#VALUE!</v>
      </c>
      <c r="F239" s="353"/>
      <c r="G239" s="353">
        <f t="shared" si="39"/>
        <v>868.75</v>
      </c>
      <c r="H239" s="353">
        <f>'DCu-CLBD'!N70</f>
        <v>60.606643629807699</v>
      </c>
      <c r="I239" s="353">
        <f>I238</f>
        <v>22.769099999999998</v>
      </c>
      <c r="J239" s="353">
        <f>'TBI-CLBD'!O30</f>
        <v>262.32</v>
      </c>
      <c r="K239" s="353" t="e">
        <f>#REF!</f>
        <v>#REF!</v>
      </c>
      <c r="L239" s="348" t="e">
        <f t="shared" si="40"/>
        <v>#VALUE!</v>
      </c>
      <c r="M239" s="348" t="e">
        <f>L239*'He so chung'!$D$16/100</f>
        <v>#VALUE!</v>
      </c>
      <c r="N239" s="349" t="e">
        <f t="shared" si="41"/>
        <v>#VALUE!</v>
      </c>
      <c r="O239" s="354">
        <f>'He so chung'!$D$18*R239</f>
        <v>217.1875</v>
      </c>
      <c r="P239" s="354">
        <f>'He so chung'!$D$19*R239</f>
        <v>173.75</v>
      </c>
      <c r="Q239" s="411">
        <f>'He so chung'!$D$20*R239</f>
        <v>43.437500000000007</v>
      </c>
      <c r="R239" s="61">
        <f>'NC-CLBD'!L23/100</f>
        <v>3.2500000000000001E-2</v>
      </c>
    </row>
    <row r="240" spans="1:18" s="4" customFormat="1" ht="16.5" hidden="1" customHeight="1">
      <c r="A240" s="315"/>
      <c r="B240" s="314"/>
      <c r="C240" s="338"/>
      <c r="D240" s="351" t="s">
        <v>13</v>
      </c>
      <c r="E240" s="352" t="e">
        <f>'NC-CLBD'!M25/100</f>
        <v>#VALUE!</v>
      </c>
      <c r="F240" s="353"/>
      <c r="G240" s="353">
        <f t="shared" si="39"/>
        <v>1216.2499999999998</v>
      </c>
      <c r="H240" s="353">
        <f>'DCu-CLBD'!N71</f>
        <v>78.564167668269235</v>
      </c>
      <c r="I240" s="353">
        <f>'VL-CLBD'!L45</f>
        <v>22.769099999999998</v>
      </c>
      <c r="J240" s="353">
        <f>'TBI-CLBD'!Q30</f>
        <v>369.8</v>
      </c>
      <c r="K240" s="353" t="e">
        <f>#REF!</f>
        <v>#REF!</v>
      </c>
      <c r="L240" s="348" t="e">
        <f t="shared" si="40"/>
        <v>#VALUE!</v>
      </c>
      <c r="M240" s="348" t="e">
        <f>L240*'He so chung'!$D$16/100</f>
        <v>#VALUE!</v>
      </c>
      <c r="N240" s="349" t="e">
        <f t="shared" si="41"/>
        <v>#VALUE!</v>
      </c>
      <c r="O240" s="354">
        <f>'He so chung'!$D$18*R240</f>
        <v>304.0625</v>
      </c>
      <c r="P240" s="354">
        <f>'He so chung'!$D$19*R240</f>
        <v>243.24999999999997</v>
      </c>
      <c r="Q240" s="411">
        <f>'He so chung'!$D$20*R240</f>
        <v>60.812500000000007</v>
      </c>
      <c r="R240" s="61">
        <f>'NC-CLBD'!L25/100</f>
        <v>4.5499999999999999E-2</v>
      </c>
    </row>
    <row r="241" spans="1:18" s="4" customFormat="1" ht="16.5" hidden="1" customHeight="1">
      <c r="A241" s="315"/>
      <c r="B241" s="314"/>
      <c r="C241" s="318"/>
      <c r="D241" s="351" t="s">
        <v>14</v>
      </c>
      <c r="E241" s="352" t="e">
        <f>'NC-CLBD'!#REF!/100</f>
        <v>#REF!</v>
      </c>
      <c r="F241" s="353"/>
      <c r="G241" s="353" t="e">
        <f t="shared" si="39"/>
        <v>#REF!</v>
      </c>
      <c r="H241" s="353">
        <f>'DCu-CLBD'!N72</f>
        <v>0</v>
      </c>
      <c r="I241" s="353">
        <f>'VL-CLBD'!L45</f>
        <v>22.769099999999998</v>
      </c>
      <c r="J241" s="353" t="e">
        <f>'TBI-CLBD'!#REF!</f>
        <v>#REF!</v>
      </c>
      <c r="K241" s="353" t="e">
        <f>#REF!</f>
        <v>#REF!</v>
      </c>
      <c r="L241" s="348" t="e">
        <f t="shared" si="40"/>
        <v>#REF!</v>
      </c>
      <c r="M241" s="348" t="e">
        <f>L241*'He so chung'!$D$16/100</f>
        <v>#REF!</v>
      </c>
      <c r="N241" s="349" t="e">
        <f t="shared" si="41"/>
        <v>#REF!</v>
      </c>
      <c r="O241" s="354" t="e">
        <f>'He so chung'!$D$18*R241</f>
        <v>#REF!</v>
      </c>
      <c r="P241" s="354" t="e">
        <f>'He so chung'!$D$19*R241</f>
        <v>#REF!</v>
      </c>
      <c r="Q241" s="411" t="e">
        <f>'He so chung'!$D$20*R241</f>
        <v>#REF!</v>
      </c>
      <c r="R241" s="61" t="e">
        <f>'NC-CLBD'!#REF!/100</f>
        <v>#REF!</v>
      </c>
    </row>
    <row r="242" spans="1:18" s="4" customFormat="1" ht="14.25" hidden="1" customHeight="1">
      <c r="A242" s="315"/>
      <c r="B242" s="314"/>
      <c r="C242" s="338"/>
      <c r="D242" s="351"/>
      <c r="E242" s="352"/>
      <c r="F242" s="353"/>
      <c r="G242" s="353"/>
      <c r="H242" s="353"/>
      <c r="I242" s="353"/>
      <c r="J242" s="353"/>
      <c r="K242" s="353"/>
      <c r="L242" s="348"/>
      <c r="M242" s="348"/>
      <c r="N242" s="349"/>
      <c r="O242" s="354"/>
      <c r="P242" s="354"/>
      <c r="Q242" s="411"/>
      <c r="R242" s="61"/>
    </row>
    <row r="243" spans="1:18" s="4" customFormat="1" ht="16.5" hidden="1" customHeight="1">
      <c r="A243" s="315" t="s">
        <v>11</v>
      </c>
      <c r="B243" s="314" t="s">
        <v>77</v>
      </c>
      <c r="C243" s="318" t="s">
        <v>278</v>
      </c>
      <c r="D243" s="351">
        <v>1</v>
      </c>
      <c r="E243" s="352" t="e">
        <f>'NC-CLBD'!M28/100</f>
        <v>#VALUE!</v>
      </c>
      <c r="F243" s="353">
        <f>'NC-CLBD'!M29/100</f>
        <v>7807.6</v>
      </c>
      <c r="G243" s="353">
        <f t="shared" ref="G243:G248" si="42">$Q$1*10*P243</f>
        <v>11400.673076923076</v>
      </c>
      <c r="H243" s="353">
        <f>'DCu-CLBD'!N112</f>
        <v>575.24236538461537</v>
      </c>
      <c r="I243" s="353">
        <f>'VL-CLBD'!L39</f>
        <v>455.38199999999995</v>
      </c>
      <c r="J243" s="353">
        <f>'TBI-CLBD'!I80</f>
        <v>2789.2000000000007</v>
      </c>
      <c r="K243" s="353" t="e">
        <f>#REF!</f>
        <v>#REF!</v>
      </c>
      <c r="L243" s="348" t="e">
        <f t="shared" ref="L243:L248" si="43">SUM(E243:K243)</f>
        <v>#VALUE!</v>
      </c>
      <c r="M243" s="348" t="e">
        <f>L243*'He so chung'!$D$16/100</f>
        <v>#VALUE!</v>
      </c>
      <c r="N243" s="349" t="e">
        <f t="shared" ref="N243:N248" si="44">M243+L243</f>
        <v>#VALUE!</v>
      </c>
      <c r="O243" s="354">
        <f>'He so chung'!$D$18*R243</f>
        <v>2850.1682692307691</v>
      </c>
      <c r="P243" s="354">
        <f>'He so chung'!$D$19*R243</f>
        <v>2280.1346153846152</v>
      </c>
      <c r="Q243" s="411">
        <f>'He so chung'!$D$20*R243</f>
        <v>570.03365384615392</v>
      </c>
      <c r="R243" s="61">
        <f>'NC-CLBD'!L28/100</f>
        <v>0.42649999999999999</v>
      </c>
    </row>
    <row r="244" spans="1:18" s="4" customFormat="1" ht="16.5" hidden="1" customHeight="1">
      <c r="A244" s="315"/>
      <c r="B244" s="314"/>
      <c r="C244" s="318"/>
      <c r="D244" s="351">
        <v>2</v>
      </c>
      <c r="E244" s="352" t="e">
        <f>'NC-CLBD'!M32/100</f>
        <v>#VALUE!</v>
      </c>
      <c r="F244" s="353">
        <f>'NC-CLBD'!M33/100</f>
        <v>9379.6</v>
      </c>
      <c r="G244" s="353">
        <f t="shared" si="42"/>
        <v>13686.153846153846</v>
      </c>
      <c r="H244" s="353">
        <f>'DCu-CLBD'!N113</f>
        <v>719.05295673076921</v>
      </c>
      <c r="I244" s="353">
        <f>I243</f>
        <v>455.38199999999995</v>
      </c>
      <c r="J244" s="353">
        <f>'TBI-CLBD'!K80</f>
        <v>3721.36</v>
      </c>
      <c r="K244" s="353" t="e">
        <f>#REF!</f>
        <v>#REF!</v>
      </c>
      <c r="L244" s="348" t="e">
        <f t="shared" si="43"/>
        <v>#VALUE!</v>
      </c>
      <c r="M244" s="348" t="e">
        <f>L244*'He so chung'!$D$16/100</f>
        <v>#VALUE!</v>
      </c>
      <c r="N244" s="349" t="e">
        <f t="shared" si="44"/>
        <v>#VALUE!</v>
      </c>
      <c r="O244" s="354">
        <f>'He so chung'!$D$18*R244</f>
        <v>3421.5384615384614</v>
      </c>
      <c r="P244" s="354">
        <f>'He so chung'!$D$19*R244</f>
        <v>2737.2307692307691</v>
      </c>
      <c r="Q244" s="411">
        <f>'He so chung'!$D$20*R244</f>
        <v>684.30769230769238</v>
      </c>
      <c r="R244" s="61">
        <f>'NC-CLBD'!L32/100</f>
        <v>0.51200000000000001</v>
      </c>
    </row>
    <row r="245" spans="1:18" s="4" customFormat="1" ht="16.5" hidden="1" customHeight="1">
      <c r="A245" s="315"/>
      <c r="B245" s="314"/>
      <c r="C245" s="318"/>
      <c r="D245" s="351">
        <v>3</v>
      </c>
      <c r="E245" s="352" t="e">
        <f>'NC-CLBD'!M36/100</f>
        <v>#VALUE!</v>
      </c>
      <c r="F245" s="353">
        <f>'NC-CLBD'!M37/100</f>
        <v>11252.9</v>
      </c>
      <c r="G245" s="353">
        <f t="shared" si="42"/>
        <v>16412.692307692309</v>
      </c>
      <c r="H245" s="353">
        <f>'DCu-CLBD'!N114</f>
        <v>958.73727564102558</v>
      </c>
      <c r="I245" s="353">
        <f>I244</f>
        <v>455.38199999999995</v>
      </c>
      <c r="J245" s="353">
        <f>'TBI-CLBD'!M80</f>
        <v>4646.24</v>
      </c>
      <c r="K245" s="353" t="e">
        <f>#REF!</f>
        <v>#REF!</v>
      </c>
      <c r="L245" s="348" t="e">
        <f t="shared" si="43"/>
        <v>#VALUE!</v>
      </c>
      <c r="M245" s="348" t="e">
        <f>L245*'He so chung'!$D$16/100</f>
        <v>#VALUE!</v>
      </c>
      <c r="N245" s="349" t="e">
        <f t="shared" si="44"/>
        <v>#VALUE!</v>
      </c>
      <c r="O245" s="354">
        <f>'He so chung'!$D$18*R245</f>
        <v>4103.1730769230771</v>
      </c>
      <c r="P245" s="354">
        <f>'He so chung'!$D$19*R245</f>
        <v>3282.5384615384614</v>
      </c>
      <c r="Q245" s="411">
        <f>'He so chung'!$D$20*R245</f>
        <v>820.63461538461547</v>
      </c>
      <c r="R245" s="61">
        <f>'NC-CLBD'!L36/100</f>
        <v>0.61399999999999999</v>
      </c>
    </row>
    <row r="246" spans="1:18" s="4" customFormat="1" ht="16.5" hidden="1" customHeight="1">
      <c r="A246" s="315"/>
      <c r="B246" s="314"/>
      <c r="C246" s="318"/>
      <c r="D246" s="351">
        <v>4</v>
      </c>
      <c r="E246" s="352" t="e">
        <f>'NC-CLBD'!M40/100</f>
        <v>#VALUE!</v>
      </c>
      <c r="F246" s="353">
        <f>'NC-CLBD'!M41/100</f>
        <v>13506.1</v>
      </c>
      <c r="G246" s="353">
        <f t="shared" si="42"/>
        <v>19700.576923076922</v>
      </c>
      <c r="H246" s="353">
        <f>'DCu-CLBD'!N115</f>
        <v>1294.2953221153846</v>
      </c>
      <c r="I246" s="353">
        <f>I245</f>
        <v>455.38199999999995</v>
      </c>
      <c r="J246" s="353">
        <f>'TBI-CLBD'!O80</f>
        <v>5811.44</v>
      </c>
      <c r="K246" s="353" t="e">
        <f>#REF!</f>
        <v>#REF!</v>
      </c>
      <c r="L246" s="348" t="e">
        <f t="shared" si="43"/>
        <v>#VALUE!</v>
      </c>
      <c r="M246" s="348" t="e">
        <f>L246*'He so chung'!$D$16/100</f>
        <v>#VALUE!</v>
      </c>
      <c r="N246" s="349" t="e">
        <f t="shared" si="44"/>
        <v>#VALUE!</v>
      </c>
      <c r="O246" s="354">
        <f>'He so chung'!$D$18*R246</f>
        <v>4925.1442307692305</v>
      </c>
      <c r="P246" s="354">
        <f>'He so chung'!$D$19*R246</f>
        <v>3940.1153846153843</v>
      </c>
      <c r="Q246" s="411">
        <f>'He so chung'!$D$20*R246</f>
        <v>985.02884615384619</v>
      </c>
      <c r="R246" s="61">
        <f>'NC-CLBD'!L40/100</f>
        <v>0.73699999999999999</v>
      </c>
    </row>
    <row r="247" spans="1:18" s="4" customFormat="1" ht="16.5" hidden="1" customHeight="1">
      <c r="A247" s="315"/>
      <c r="B247" s="314"/>
      <c r="C247" s="318"/>
      <c r="D247" s="351" t="s">
        <v>13</v>
      </c>
      <c r="E247" s="352" t="e">
        <f>'NC-CLBD'!M44/100</f>
        <v>#VALUE!</v>
      </c>
      <c r="F247" s="353">
        <f>'NC-CLBD'!M45/100</f>
        <v>16204.7</v>
      </c>
      <c r="G247" s="353">
        <f t="shared" si="42"/>
        <v>23643.365384615387</v>
      </c>
      <c r="H247" s="353">
        <f>'DCu-CLBD'!N116</f>
        <v>1677.7902323717947</v>
      </c>
      <c r="I247" s="353">
        <f>'VL-CLBD'!L39</f>
        <v>455.38199999999995</v>
      </c>
      <c r="J247" s="353">
        <f>'TBI-CLBD'!Q80</f>
        <v>7332</v>
      </c>
      <c r="K247" s="353" t="e">
        <f>#REF!</f>
        <v>#REF!</v>
      </c>
      <c r="L247" s="348" t="e">
        <f t="shared" si="43"/>
        <v>#VALUE!</v>
      </c>
      <c r="M247" s="348" t="e">
        <f>L247*'He so chung'!$D$16/100</f>
        <v>#VALUE!</v>
      </c>
      <c r="N247" s="349" t="e">
        <f t="shared" si="44"/>
        <v>#VALUE!</v>
      </c>
      <c r="O247" s="354">
        <f>'He so chung'!$D$18*R247</f>
        <v>5910.8413461538466</v>
      </c>
      <c r="P247" s="354">
        <f>'He so chung'!$D$19*R247</f>
        <v>4728.6730769230771</v>
      </c>
      <c r="Q247" s="411">
        <f>'He so chung'!$D$20*R247</f>
        <v>1182.1682692307695</v>
      </c>
      <c r="R247" s="61">
        <f>'NC-CLBD'!L44/100</f>
        <v>0.88450000000000006</v>
      </c>
    </row>
    <row r="248" spans="1:18" s="4" customFormat="1" ht="16.5" hidden="1" customHeight="1">
      <c r="A248" s="315"/>
      <c r="B248" s="314"/>
      <c r="C248" s="318"/>
      <c r="D248" s="351" t="s">
        <v>14</v>
      </c>
      <c r="E248" s="352" t="e">
        <f>'NC-CLBD'!#REF!/100</f>
        <v>#REF!</v>
      </c>
      <c r="F248" s="353" t="e">
        <f>'NC-CLBD'!#REF!/100</f>
        <v>#REF!</v>
      </c>
      <c r="G248" s="353" t="e">
        <f t="shared" si="42"/>
        <v>#REF!</v>
      </c>
      <c r="H248" s="353">
        <f>'DCu-CLBD'!N117</f>
        <v>0</v>
      </c>
      <c r="I248" s="353">
        <f>'VL-CLBD'!L39</f>
        <v>455.38199999999995</v>
      </c>
      <c r="J248" s="353" t="e">
        <f>'TBI-CLBD'!#REF!</f>
        <v>#REF!</v>
      </c>
      <c r="K248" s="353" t="e">
        <f>#REF!</f>
        <v>#REF!</v>
      </c>
      <c r="L248" s="348" t="e">
        <f t="shared" si="43"/>
        <v>#REF!</v>
      </c>
      <c r="M248" s="348" t="e">
        <f>L248*'He so chung'!$D$16/100</f>
        <v>#REF!</v>
      </c>
      <c r="N248" s="349" t="e">
        <f t="shared" si="44"/>
        <v>#REF!</v>
      </c>
      <c r="O248" s="354" t="e">
        <f>'He so chung'!$D$18*R248</f>
        <v>#REF!</v>
      </c>
      <c r="P248" s="354" t="e">
        <f>'He so chung'!$D$19*R248</f>
        <v>#REF!</v>
      </c>
      <c r="Q248" s="411" t="e">
        <f>'He so chung'!$D$20*R248</f>
        <v>#REF!</v>
      </c>
      <c r="R248" s="61" t="e">
        <f>'NC-CLBD'!#REF!/100</f>
        <v>#REF!</v>
      </c>
    </row>
    <row r="249" spans="1:18" s="4" customFormat="1" ht="14.25" hidden="1" customHeight="1">
      <c r="A249" s="315"/>
      <c r="B249" s="314"/>
      <c r="C249" s="318"/>
      <c r="D249" s="351"/>
      <c r="E249" s="352"/>
      <c r="F249" s="353"/>
      <c r="G249" s="353"/>
      <c r="H249" s="353"/>
      <c r="I249" s="353"/>
      <c r="J249" s="353"/>
      <c r="K249" s="353"/>
      <c r="L249" s="348"/>
      <c r="M249" s="348"/>
      <c r="N249" s="349"/>
      <c r="O249" s="354"/>
      <c r="P249" s="99"/>
      <c r="Q249" s="56"/>
      <c r="R249" s="61"/>
    </row>
    <row r="250" spans="1:18" s="4" customFormat="1" ht="16.5" hidden="1" customHeight="1">
      <c r="A250" s="339" t="s">
        <v>4</v>
      </c>
      <c r="B250" s="340" t="s">
        <v>382</v>
      </c>
      <c r="C250" s="341"/>
      <c r="D250" s="355"/>
      <c r="E250" s="356"/>
      <c r="F250" s="357"/>
      <c r="G250" s="353"/>
      <c r="H250" s="357"/>
      <c r="I250" s="357"/>
      <c r="J250" s="357"/>
      <c r="K250" s="357"/>
      <c r="L250" s="358"/>
      <c r="M250" s="357"/>
      <c r="N250" s="359"/>
      <c r="O250" s="360"/>
      <c r="P250" s="99"/>
      <c r="Q250" s="56"/>
      <c r="R250" s="61"/>
    </row>
    <row r="251" spans="1:18" s="4" customFormat="1" ht="16.5" hidden="1" customHeight="1">
      <c r="A251" s="315" t="s">
        <v>9</v>
      </c>
      <c r="B251" s="314" t="s">
        <v>383</v>
      </c>
      <c r="C251" s="318"/>
      <c r="D251" s="351"/>
      <c r="E251" s="352"/>
      <c r="F251" s="353"/>
      <c r="G251" s="353"/>
      <c r="H251" s="353"/>
      <c r="I251" s="353"/>
      <c r="J251" s="353"/>
      <c r="K251" s="353"/>
      <c r="L251" s="348"/>
      <c r="M251" s="353"/>
      <c r="N251" s="349"/>
      <c r="O251" s="354"/>
      <c r="P251" s="99"/>
      <c r="Q251" s="56"/>
      <c r="R251" s="61"/>
    </row>
    <row r="252" spans="1:18" s="4" customFormat="1" ht="16.5" hidden="1" customHeight="1">
      <c r="A252" s="338"/>
      <c r="B252" s="338"/>
      <c r="C252" s="338"/>
      <c r="D252" s="351"/>
      <c r="E252" s="352"/>
      <c r="F252" s="353"/>
      <c r="G252" s="353"/>
      <c r="H252" s="353"/>
      <c r="I252" s="353"/>
      <c r="J252" s="353"/>
      <c r="K252" s="353"/>
      <c r="L252" s="348"/>
      <c r="M252" s="353"/>
      <c r="N252" s="349"/>
      <c r="O252" s="354"/>
      <c r="P252" s="99"/>
      <c r="Q252" s="56"/>
      <c r="R252" s="61"/>
    </row>
    <row r="253" spans="1:18" s="4" customFormat="1" ht="16.5" hidden="1" customHeight="1">
      <c r="A253" s="315" t="s">
        <v>10</v>
      </c>
      <c r="B253" s="314" t="s">
        <v>80</v>
      </c>
      <c r="C253" s="318" t="s">
        <v>278</v>
      </c>
      <c r="D253" s="351">
        <v>1</v>
      </c>
      <c r="E253" s="352" t="e">
        <f>'NC-CLBD'!#REF!/100</f>
        <v>#REF!</v>
      </c>
      <c r="F253" s="353"/>
      <c r="G253" s="353" t="e">
        <f t="shared" ref="G253:G258" si="45">$Q$1*10*P253</f>
        <v>#REF!</v>
      </c>
      <c r="H253" s="353" t="e">
        <f>'DCu-CLBD'!#REF!*70%</f>
        <v>#REF!</v>
      </c>
      <c r="I253" s="353" t="e">
        <f>'VL-CLBD'!#REF!*70%</f>
        <v>#REF!</v>
      </c>
      <c r="J253" s="353" t="e">
        <f>'TBI-CLBD'!#REF!*70%</f>
        <v>#REF!</v>
      </c>
      <c r="K253" s="353" t="e">
        <f>#REF!*70%</f>
        <v>#REF!</v>
      </c>
      <c r="L253" s="348" t="e">
        <f t="shared" ref="L253:L258" si="46">SUM(E253:K253)</f>
        <v>#REF!</v>
      </c>
      <c r="M253" s="353" t="e">
        <f>L253*'He so chung'!$D$17/100</f>
        <v>#REF!</v>
      </c>
      <c r="N253" s="349" t="e">
        <f t="shared" ref="N253:N258" si="47">M253+L253</f>
        <v>#REF!</v>
      </c>
      <c r="O253" s="354" t="e">
        <f>'He so chung'!$D$21*R253</f>
        <v>#REF!</v>
      </c>
      <c r="P253" s="354" t="e">
        <f>'He so chung'!$D$22*R253</f>
        <v>#REF!</v>
      </c>
      <c r="Q253" s="411" t="e">
        <f>'He so chung'!$D$23*R253</f>
        <v>#REF!</v>
      </c>
      <c r="R253" s="61" t="e">
        <f>'NC-CLBD'!#REF!/100</f>
        <v>#REF!</v>
      </c>
    </row>
    <row r="254" spans="1:18" s="4" customFormat="1" ht="16.5" hidden="1" customHeight="1">
      <c r="A254" s="315"/>
      <c r="B254" s="314"/>
      <c r="C254" s="318"/>
      <c r="D254" s="351">
        <v>2</v>
      </c>
      <c r="E254" s="352" t="e">
        <f>'NC-CLBD'!#REF!/100</f>
        <v>#REF!</v>
      </c>
      <c r="F254" s="353"/>
      <c r="G254" s="353" t="e">
        <f t="shared" si="45"/>
        <v>#REF!</v>
      </c>
      <c r="H254" s="353" t="e">
        <f>'DCu-CLBD'!#REF!*70%</f>
        <v>#REF!</v>
      </c>
      <c r="I254" s="353" t="e">
        <f>I253</f>
        <v>#REF!</v>
      </c>
      <c r="J254" s="353" t="e">
        <f>'TBI-CLBD'!#REF!*70%</f>
        <v>#REF!</v>
      </c>
      <c r="K254" s="353" t="e">
        <f>#REF!*70%</f>
        <v>#REF!</v>
      </c>
      <c r="L254" s="348" t="e">
        <f t="shared" si="46"/>
        <v>#REF!</v>
      </c>
      <c r="M254" s="353" t="e">
        <f>L254*'He so chung'!$D$17/100</f>
        <v>#REF!</v>
      </c>
      <c r="N254" s="349" t="e">
        <f t="shared" si="47"/>
        <v>#REF!</v>
      </c>
      <c r="O254" s="354" t="e">
        <f>'He so chung'!$D$21*R254</f>
        <v>#REF!</v>
      </c>
      <c r="P254" s="354" t="e">
        <f>'He so chung'!$D$22*R254</f>
        <v>#REF!</v>
      </c>
      <c r="Q254" s="411" t="e">
        <f>'He so chung'!$D$23*R254</f>
        <v>#REF!</v>
      </c>
      <c r="R254" s="61" t="e">
        <f>'NC-CLBD'!#REF!/100</f>
        <v>#REF!</v>
      </c>
    </row>
    <row r="255" spans="1:18" s="4" customFormat="1" ht="16.5" hidden="1" customHeight="1">
      <c r="A255" s="315"/>
      <c r="B255" s="314"/>
      <c r="C255" s="318"/>
      <c r="D255" s="351">
        <v>3</v>
      </c>
      <c r="E255" s="352" t="e">
        <f>'NC-CLBD'!#REF!/100</f>
        <v>#REF!</v>
      </c>
      <c r="F255" s="353"/>
      <c r="G255" s="353" t="e">
        <f t="shared" si="45"/>
        <v>#REF!</v>
      </c>
      <c r="H255" s="353" t="e">
        <f>'DCu-CLBD'!#REF!*70%</f>
        <v>#REF!</v>
      </c>
      <c r="I255" s="353" t="e">
        <f>I254</f>
        <v>#REF!</v>
      </c>
      <c r="J255" s="353" t="e">
        <f>'TBI-CLBD'!#REF!*70%</f>
        <v>#REF!</v>
      </c>
      <c r="K255" s="353" t="e">
        <f>#REF!*70%</f>
        <v>#REF!</v>
      </c>
      <c r="L255" s="348" t="e">
        <f t="shared" si="46"/>
        <v>#REF!</v>
      </c>
      <c r="M255" s="353" t="e">
        <f>L255*'He so chung'!$D$17/100</f>
        <v>#REF!</v>
      </c>
      <c r="N255" s="349" t="e">
        <f t="shared" si="47"/>
        <v>#REF!</v>
      </c>
      <c r="O255" s="354" t="e">
        <f>'He so chung'!$D$21*R255</f>
        <v>#REF!</v>
      </c>
      <c r="P255" s="354" t="e">
        <f>'He so chung'!$D$22*R255</f>
        <v>#REF!</v>
      </c>
      <c r="Q255" s="411" t="e">
        <f>'He so chung'!$D$23*R255</f>
        <v>#REF!</v>
      </c>
      <c r="R255" s="61" t="e">
        <f>'NC-CLBD'!#REF!/100</f>
        <v>#REF!</v>
      </c>
    </row>
    <row r="256" spans="1:18" s="4" customFormat="1" ht="16.5" hidden="1" customHeight="1">
      <c r="A256" s="315"/>
      <c r="B256" s="314"/>
      <c r="C256" s="318"/>
      <c r="D256" s="351">
        <v>4</v>
      </c>
      <c r="E256" s="352" t="e">
        <f>'NC-CLBD'!#REF!/100</f>
        <v>#REF!</v>
      </c>
      <c r="F256" s="353"/>
      <c r="G256" s="353" t="e">
        <f t="shared" si="45"/>
        <v>#REF!</v>
      </c>
      <c r="H256" s="353" t="e">
        <f>'DCu-CLBD'!#REF!*70%</f>
        <v>#REF!</v>
      </c>
      <c r="I256" s="353" t="e">
        <f>I255</f>
        <v>#REF!</v>
      </c>
      <c r="J256" s="353" t="e">
        <f>'TBI-CLBD'!#REF!*70%</f>
        <v>#REF!</v>
      </c>
      <c r="K256" s="353" t="e">
        <f>#REF!*70%</f>
        <v>#REF!</v>
      </c>
      <c r="L256" s="348" t="e">
        <f t="shared" si="46"/>
        <v>#REF!</v>
      </c>
      <c r="M256" s="353" t="e">
        <f>L256*'He so chung'!$D$17/100</f>
        <v>#REF!</v>
      </c>
      <c r="N256" s="349" t="e">
        <f t="shared" si="47"/>
        <v>#REF!</v>
      </c>
      <c r="O256" s="354" t="e">
        <f>'He so chung'!$D$21*R256</f>
        <v>#REF!</v>
      </c>
      <c r="P256" s="354" t="e">
        <f>'He so chung'!$D$22*R256</f>
        <v>#REF!</v>
      </c>
      <c r="Q256" s="411" t="e">
        <f>'He so chung'!$D$23*R256</f>
        <v>#REF!</v>
      </c>
      <c r="R256" s="61" t="e">
        <f>'NC-CLBD'!#REF!/100</f>
        <v>#REF!</v>
      </c>
    </row>
    <row r="257" spans="1:18" s="4" customFormat="1" ht="16.5" hidden="1" customHeight="1">
      <c r="A257" s="315"/>
      <c r="B257" s="314"/>
      <c r="C257" s="318"/>
      <c r="D257" s="361" t="s">
        <v>13</v>
      </c>
      <c r="E257" s="362" t="e">
        <f>'NC-CLBD'!#REF!/100</f>
        <v>#REF!</v>
      </c>
      <c r="F257" s="363"/>
      <c r="G257" s="353" t="e">
        <f t="shared" si="45"/>
        <v>#REF!</v>
      </c>
      <c r="H257" s="353" t="e">
        <f>'DCu-CLBD'!#REF!*70%</f>
        <v>#REF!</v>
      </c>
      <c r="I257" s="363" t="e">
        <f>I256</f>
        <v>#REF!</v>
      </c>
      <c r="J257" s="363" t="e">
        <f>'TBI-CLBD'!#REF!*70%</f>
        <v>#REF!</v>
      </c>
      <c r="K257" s="363" t="e">
        <f>#REF!*70%</f>
        <v>#REF!</v>
      </c>
      <c r="L257" s="348" t="e">
        <f t="shared" si="46"/>
        <v>#REF!</v>
      </c>
      <c r="M257" s="353" t="e">
        <f>L257*'He so chung'!$D$17/100</f>
        <v>#REF!</v>
      </c>
      <c r="N257" s="349" t="e">
        <f t="shared" si="47"/>
        <v>#REF!</v>
      </c>
      <c r="O257" s="354" t="e">
        <f>'He so chung'!$D$21*R257</f>
        <v>#REF!</v>
      </c>
      <c r="P257" s="354" t="e">
        <f>'He so chung'!$D$22*R257</f>
        <v>#REF!</v>
      </c>
      <c r="Q257" s="411" t="e">
        <f>'He so chung'!$D$23*R257</f>
        <v>#REF!</v>
      </c>
      <c r="R257" s="61" t="e">
        <f>'NC-CLBD'!#REF!/100</f>
        <v>#REF!</v>
      </c>
    </row>
    <row r="258" spans="1:18" s="4" customFormat="1" ht="16.5" hidden="1" customHeight="1">
      <c r="A258" s="315"/>
      <c r="B258" s="314"/>
      <c r="C258" s="318"/>
      <c r="D258" s="361" t="s">
        <v>14</v>
      </c>
      <c r="E258" s="362" t="e">
        <f>'NC-CLBD'!#REF!/100</f>
        <v>#REF!</v>
      </c>
      <c r="F258" s="363"/>
      <c r="G258" s="353" t="e">
        <f t="shared" si="45"/>
        <v>#REF!</v>
      </c>
      <c r="H258" s="353" t="e">
        <f>'DCu-CLBD'!#REF!*70%</f>
        <v>#REF!</v>
      </c>
      <c r="I258" s="363" t="e">
        <f>I257</f>
        <v>#REF!</v>
      </c>
      <c r="J258" s="363" t="e">
        <f>'TBI-CLBD'!#REF!*70%</f>
        <v>#REF!</v>
      </c>
      <c r="K258" s="363" t="e">
        <f>#REF!*70%</f>
        <v>#REF!</v>
      </c>
      <c r="L258" s="348" t="e">
        <f t="shared" si="46"/>
        <v>#REF!</v>
      </c>
      <c r="M258" s="353" t="e">
        <f>L258*'He so chung'!$D$17/100</f>
        <v>#REF!</v>
      </c>
      <c r="N258" s="349" t="e">
        <f t="shared" si="47"/>
        <v>#REF!</v>
      </c>
      <c r="O258" s="354" t="e">
        <f>'He so chung'!$D$21*R258</f>
        <v>#REF!</v>
      </c>
      <c r="P258" s="354" t="e">
        <f>'He so chung'!$D$22*R258</f>
        <v>#REF!</v>
      </c>
      <c r="Q258" s="411" t="e">
        <f>'He so chung'!$D$23*R258</f>
        <v>#REF!</v>
      </c>
      <c r="R258" s="61" t="e">
        <f>'NC-CLBD'!#REF!/100</f>
        <v>#REF!</v>
      </c>
    </row>
    <row r="259" spans="1:18" s="4" customFormat="1" ht="16.5" hidden="1" customHeight="1">
      <c r="A259" s="338"/>
      <c r="B259" s="338"/>
      <c r="C259" s="338"/>
      <c r="D259" s="361"/>
      <c r="E259" s="362"/>
      <c r="F259" s="363"/>
      <c r="G259" s="363"/>
      <c r="H259" s="363"/>
      <c r="I259" s="363"/>
      <c r="J259" s="363"/>
      <c r="K259" s="363"/>
      <c r="L259" s="364"/>
      <c r="M259" s="363"/>
      <c r="N259" s="365"/>
      <c r="O259" s="366"/>
      <c r="P259" s="99"/>
      <c r="Q259" s="56"/>
      <c r="R259" s="61"/>
    </row>
    <row r="260" spans="1:18" s="4" customFormat="1" ht="17.100000000000001" hidden="1" customHeight="1">
      <c r="A260" s="342"/>
      <c r="B260" s="342"/>
      <c r="C260" s="342"/>
      <c r="D260" s="367"/>
      <c r="E260" s="368"/>
      <c r="F260" s="368"/>
      <c r="G260" s="368"/>
      <c r="H260" s="368"/>
      <c r="I260" s="368"/>
      <c r="J260" s="368"/>
      <c r="K260" s="368"/>
      <c r="L260" s="369"/>
      <c r="M260" s="368"/>
      <c r="N260" s="370"/>
      <c r="O260" s="371"/>
      <c r="P260" s="99"/>
      <c r="Q260" s="56"/>
      <c r="R260" s="61"/>
    </row>
    <row r="261" spans="1:18" s="4" customFormat="1" ht="12" hidden="1" customHeight="1">
      <c r="A261" s="343"/>
      <c r="B261" s="343"/>
      <c r="C261" s="343"/>
      <c r="D261" s="372"/>
      <c r="E261" s="373"/>
      <c r="F261" s="373"/>
      <c r="G261" s="373"/>
      <c r="H261" s="373"/>
      <c r="I261" s="373"/>
      <c r="J261" s="373"/>
      <c r="K261" s="373"/>
      <c r="L261" s="374"/>
      <c r="M261" s="373"/>
      <c r="N261" s="375"/>
      <c r="O261" s="376"/>
      <c r="P261" s="99"/>
      <c r="Q261" s="56"/>
      <c r="R261" s="61"/>
    </row>
    <row r="262" spans="1:18" s="4" customFormat="1" ht="18" hidden="1" customHeight="1">
      <c r="A262" s="970" t="s">
        <v>376</v>
      </c>
      <c r="B262" s="972" t="s">
        <v>377</v>
      </c>
      <c r="C262" s="974" t="s">
        <v>378</v>
      </c>
      <c r="D262" s="970" t="s">
        <v>91</v>
      </c>
      <c r="E262" s="964" t="s">
        <v>368</v>
      </c>
      <c r="F262" s="965"/>
      <c r="G262" s="965"/>
      <c r="H262" s="965"/>
      <c r="I262" s="965"/>
      <c r="J262" s="965"/>
      <c r="K262" s="965"/>
      <c r="L262" s="966"/>
      <c r="M262" s="324" t="s">
        <v>63</v>
      </c>
      <c r="N262" s="974" t="s">
        <v>379</v>
      </c>
      <c r="O262" s="323" t="s">
        <v>18</v>
      </c>
      <c r="P262" s="104" t="s">
        <v>19</v>
      </c>
      <c r="Q262" s="57" t="s">
        <v>19</v>
      </c>
      <c r="R262" s="58" t="s">
        <v>16</v>
      </c>
    </row>
    <row r="263" spans="1:18" s="4" customFormat="1" ht="19.5" hidden="1" customHeight="1">
      <c r="A263" s="971"/>
      <c r="B263" s="973"/>
      <c r="C263" s="975"/>
      <c r="D263" s="971"/>
      <c r="E263" s="327" t="s">
        <v>369</v>
      </c>
      <c r="F263" s="326" t="s">
        <v>370</v>
      </c>
      <c r="G263" s="328">
        <v>0</v>
      </c>
      <c r="H263" s="326" t="s">
        <v>257</v>
      </c>
      <c r="I263" s="326" t="s">
        <v>280</v>
      </c>
      <c r="J263" s="326" t="s">
        <v>261</v>
      </c>
      <c r="K263" s="326" t="s">
        <v>371</v>
      </c>
      <c r="L263" s="326" t="s">
        <v>372</v>
      </c>
      <c r="M263" s="326" t="s">
        <v>48</v>
      </c>
      <c r="N263" s="975"/>
      <c r="O263" s="325" t="s">
        <v>20</v>
      </c>
      <c r="P263" s="105" t="s">
        <v>21</v>
      </c>
      <c r="Q263" s="59" t="s">
        <v>22</v>
      </c>
      <c r="R263" s="60" t="s">
        <v>17</v>
      </c>
    </row>
    <row r="264" spans="1:18" s="4" customFormat="1" ht="14.25" hidden="1" customHeight="1">
      <c r="A264" s="329" t="s">
        <v>52</v>
      </c>
      <c r="B264" s="330" t="s">
        <v>53</v>
      </c>
      <c r="C264" s="330" t="s">
        <v>54</v>
      </c>
      <c r="D264" s="331" t="s">
        <v>55</v>
      </c>
      <c r="E264" s="332" t="s">
        <v>56</v>
      </c>
      <c r="F264" s="332" t="s">
        <v>57</v>
      </c>
      <c r="G264" s="332"/>
      <c r="H264" s="332" t="s">
        <v>58</v>
      </c>
      <c r="I264" s="332" t="s">
        <v>59</v>
      </c>
      <c r="J264" s="332" t="s">
        <v>60</v>
      </c>
      <c r="K264" s="332" t="s">
        <v>61</v>
      </c>
      <c r="L264" s="333" t="s">
        <v>373</v>
      </c>
      <c r="M264" s="333" t="s">
        <v>374</v>
      </c>
      <c r="N264" s="334" t="s">
        <v>375</v>
      </c>
      <c r="O264" s="332" t="s">
        <v>62</v>
      </c>
      <c r="P264" s="48"/>
      <c r="Q264" s="48"/>
      <c r="R264" s="49"/>
    </row>
    <row r="265" spans="1:18" s="4" customFormat="1" ht="16.5" hidden="1" customHeight="1">
      <c r="A265" s="315" t="s">
        <v>11</v>
      </c>
      <c r="B265" s="314" t="s">
        <v>386</v>
      </c>
      <c r="C265" s="318" t="s">
        <v>278</v>
      </c>
      <c r="D265" s="351" t="s">
        <v>8</v>
      </c>
      <c r="E265" s="352" t="e">
        <f>'NC-CLBD'!#REF!/100</f>
        <v>#REF!</v>
      </c>
      <c r="F265" s="353"/>
      <c r="G265" s="353" t="e">
        <f>$Q$1*10*P265</f>
        <v>#REF!</v>
      </c>
      <c r="H265" s="353" t="e">
        <f>'DCu-CLBD'!#REF!*30%</f>
        <v>#REF!</v>
      </c>
      <c r="I265" s="353" t="e">
        <f>'VL-CLBD'!#REF!*30%</f>
        <v>#REF!</v>
      </c>
      <c r="J265" s="353" t="e">
        <f>'TBI-CLBD'!#REF!*30%</f>
        <v>#REF!</v>
      </c>
      <c r="K265" s="353" t="e">
        <f>#REF!*30%</f>
        <v>#REF!</v>
      </c>
      <c r="L265" s="348" t="e">
        <f>SUM(E265:K265)</f>
        <v>#REF!</v>
      </c>
      <c r="M265" s="353" t="e">
        <f>L265*'He so chung'!$D$17/100</f>
        <v>#REF!</v>
      </c>
      <c r="N265" s="349" t="e">
        <f>M265+L265</f>
        <v>#REF!</v>
      </c>
      <c r="O265" s="354" t="e">
        <f>'He so chung'!$D$21*R265</f>
        <v>#REF!</v>
      </c>
      <c r="P265" s="354" t="e">
        <f>'He so chung'!$D$22*R265</f>
        <v>#REF!</v>
      </c>
      <c r="Q265" s="411" t="e">
        <f>'He so chung'!$D$23*R265</f>
        <v>#REF!</v>
      </c>
      <c r="R265" s="61" t="e">
        <f>'NC-CLBD'!#REF!/100</f>
        <v>#REF!</v>
      </c>
    </row>
    <row r="266" spans="1:18" s="4" customFormat="1" ht="16.5" hidden="1" customHeight="1">
      <c r="A266" s="315"/>
      <c r="B266" s="314" t="s">
        <v>387</v>
      </c>
      <c r="C266" s="318"/>
      <c r="D266" s="351"/>
      <c r="E266" s="352"/>
      <c r="F266" s="353"/>
      <c r="G266" s="353"/>
      <c r="H266" s="353"/>
      <c r="I266" s="353"/>
      <c r="J266" s="353"/>
      <c r="K266" s="353"/>
      <c r="L266" s="348"/>
      <c r="M266" s="353"/>
      <c r="N266" s="349"/>
      <c r="O266" s="354"/>
      <c r="P266" s="99"/>
      <c r="Q266" s="56"/>
      <c r="R266" s="61"/>
    </row>
    <row r="267" spans="1:18" s="4" customFormat="1" ht="14.25" hidden="1" customHeight="1">
      <c r="A267" s="315"/>
      <c r="B267" s="314"/>
      <c r="C267" s="318"/>
      <c r="D267" s="351"/>
      <c r="E267" s="352"/>
      <c r="F267" s="353"/>
      <c r="G267" s="353"/>
      <c r="H267" s="353"/>
      <c r="I267" s="353"/>
      <c r="J267" s="353"/>
      <c r="K267" s="353"/>
      <c r="L267" s="348"/>
      <c r="M267" s="353"/>
      <c r="N267" s="349"/>
      <c r="O267" s="354"/>
      <c r="P267" s="99"/>
      <c r="Q267" s="56"/>
      <c r="R267" s="61"/>
    </row>
    <row r="268" spans="1:18" s="4" customFormat="1" ht="16.5" hidden="1" customHeight="1">
      <c r="A268" s="315" t="s">
        <v>12</v>
      </c>
      <c r="B268" s="314" t="s">
        <v>81</v>
      </c>
      <c r="C268" s="318" t="s">
        <v>278</v>
      </c>
      <c r="D268" s="351" t="s">
        <v>9</v>
      </c>
      <c r="E268" s="352" t="e">
        <f>'NC-CLBD'!M54/100</f>
        <v>#VALUE!</v>
      </c>
      <c r="F268" s="353"/>
      <c r="G268" s="353">
        <f t="shared" ref="G268:G273" si="48">$Q$1*10*P268</f>
        <v>358.19230769230774</v>
      </c>
      <c r="H268" s="353">
        <f>'DCu-CLBD'!N156*70%</f>
        <v>81.343481261538471</v>
      </c>
      <c r="I268" s="353">
        <f>'VL-CLBD'!L71*70%</f>
        <v>3928.3271999999997</v>
      </c>
      <c r="J268" s="353">
        <f>'TBI-CLBD'!I128*70%</f>
        <v>104.39324000000001</v>
      </c>
      <c r="K268" s="353" t="e">
        <f>#REF!*70%</f>
        <v>#REF!</v>
      </c>
      <c r="L268" s="348" t="e">
        <f t="shared" ref="L268:L273" si="49">SUM(E268:K268)</f>
        <v>#VALUE!</v>
      </c>
      <c r="M268" s="353" t="e">
        <f>L268*'He so chung'!$D$17/100</f>
        <v>#VALUE!</v>
      </c>
      <c r="N268" s="349" t="e">
        <f t="shared" ref="N268:N273" si="50">M268+L268</f>
        <v>#VALUE!</v>
      </c>
      <c r="O268" s="354">
        <f>'He so chung'!$D$21*R268</f>
        <v>82.384230769230768</v>
      </c>
      <c r="P268" s="354">
        <f>'He so chung'!$D$22*R268</f>
        <v>71.638461538461542</v>
      </c>
      <c r="Q268" s="411">
        <f>'He so chung'!$D$23*R268</f>
        <v>10.745769230769231</v>
      </c>
      <c r="R268" s="61">
        <f>'NC-CLBD'!L54/100</f>
        <v>1.34E-2</v>
      </c>
    </row>
    <row r="269" spans="1:18" s="4" customFormat="1" ht="16.5" hidden="1" customHeight="1">
      <c r="A269" s="315"/>
      <c r="B269" s="314"/>
      <c r="C269" s="318"/>
      <c r="D269" s="351" t="s">
        <v>10</v>
      </c>
      <c r="E269" s="352" t="e">
        <f>'NC-CLBD'!M56/100</f>
        <v>#VALUE!</v>
      </c>
      <c r="F269" s="353"/>
      <c r="G269" s="353">
        <f t="shared" si="48"/>
        <v>475.80769230769226</v>
      </c>
      <c r="H269" s="353">
        <f>'DCu-CLBD'!N157*70%</f>
        <v>101.67935157692308</v>
      </c>
      <c r="I269" s="353">
        <f>I268</f>
        <v>3928.3271999999997</v>
      </c>
      <c r="J269" s="353">
        <f>'TBI-CLBD'!K128*70%</f>
        <v>110.47035999999999</v>
      </c>
      <c r="K269" s="353" t="e">
        <f>#REF!*70%</f>
        <v>#REF!</v>
      </c>
      <c r="L269" s="348" t="e">
        <f t="shared" si="49"/>
        <v>#VALUE!</v>
      </c>
      <c r="M269" s="353" t="e">
        <f>L269*'He so chung'!$D$17/100</f>
        <v>#VALUE!</v>
      </c>
      <c r="N269" s="349" t="e">
        <f t="shared" si="50"/>
        <v>#VALUE!</v>
      </c>
      <c r="O269" s="354">
        <f>'He so chung'!$D$21*R269</f>
        <v>109.43576923076922</v>
      </c>
      <c r="P269" s="354">
        <f>'He so chung'!$D$22*R269</f>
        <v>95.161538461538456</v>
      </c>
      <c r="Q269" s="411">
        <f>'He so chung'!$D$23*R269</f>
        <v>14.274230769230769</v>
      </c>
      <c r="R269" s="61">
        <f>'NC-CLBD'!L56/100</f>
        <v>1.78E-2</v>
      </c>
    </row>
    <row r="270" spans="1:18" s="4" customFormat="1" ht="16.5" hidden="1" customHeight="1">
      <c r="A270" s="315"/>
      <c r="B270" s="314"/>
      <c r="C270" s="318"/>
      <c r="D270" s="351" t="s">
        <v>11</v>
      </c>
      <c r="E270" s="352" t="e">
        <f>'NC-CLBD'!M58/100</f>
        <v>#VALUE!</v>
      </c>
      <c r="F270" s="353"/>
      <c r="G270" s="353">
        <f t="shared" si="48"/>
        <v>593.42307692307691</v>
      </c>
      <c r="H270" s="353">
        <f>'DCu-CLBD'!N158*70%</f>
        <v>135.5724687692308</v>
      </c>
      <c r="I270" s="353">
        <f>I269</f>
        <v>3928.3271999999997</v>
      </c>
      <c r="J270" s="353">
        <f>'TBI-CLBD'!M128*70%</f>
        <v>117.17047999999998</v>
      </c>
      <c r="K270" s="353" t="e">
        <f>#REF!*70%</f>
        <v>#REF!</v>
      </c>
      <c r="L270" s="348" t="e">
        <f t="shared" si="49"/>
        <v>#VALUE!</v>
      </c>
      <c r="M270" s="353" t="e">
        <f>L270*'He so chung'!$D$17/100</f>
        <v>#VALUE!</v>
      </c>
      <c r="N270" s="349" t="e">
        <f t="shared" si="50"/>
        <v>#VALUE!</v>
      </c>
      <c r="O270" s="354">
        <f>'He so chung'!$D$21*R270</f>
        <v>136.4873076923077</v>
      </c>
      <c r="P270" s="354">
        <f>'He so chung'!$D$22*R270</f>
        <v>118.68461538461538</v>
      </c>
      <c r="Q270" s="411">
        <f>'He so chung'!$D$23*R270</f>
        <v>17.802692307692308</v>
      </c>
      <c r="R270" s="61">
        <f>'NC-CLBD'!L58/100</f>
        <v>2.2200000000000001E-2</v>
      </c>
    </row>
    <row r="271" spans="1:18" s="4" customFormat="1" ht="16.5" hidden="1" customHeight="1">
      <c r="A271" s="315"/>
      <c r="B271" s="314"/>
      <c r="C271" s="318"/>
      <c r="D271" s="351" t="s">
        <v>12</v>
      </c>
      <c r="E271" s="352" t="e">
        <f>'NC-CLBD'!M60/100</f>
        <v>#VALUE!</v>
      </c>
      <c r="F271" s="353"/>
      <c r="G271" s="353">
        <f t="shared" si="48"/>
        <v>743.11538461538453</v>
      </c>
      <c r="H271" s="353">
        <f>'DCu-CLBD'!N159*70%</f>
        <v>183.02283283846157</v>
      </c>
      <c r="I271" s="353">
        <f>I270</f>
        <v>3928.3271999999997</v>
      </c>
      <c r="J271" s="353">
        <f>'TBI-CLBD'!O128*70%</f>
        <v>124.71059999999999</v>
      </c>
      <c r="K271" s="353" t="e">
        <f>#REF!*70%</f>
        <v>#REF!</v>
      </c>
      <c r="L271" s="348" t="e">
        <f t="shared" si="49"/>
        <v>#VALUE!</v>
      </c>
      <c r="M271" s="353" t="e">
        <f>L271*'He so chung'!$D$17/100</f>
        <v>#VALUE!</v>
      </c>
      <c r="N271" s="349" t="e">
        <f t="shared" si="50"/>
        <v>#VALUE!</v>
      </c>
      <c r="O271" s="354">
        <f>'He so chung'!$D$21*R271</f>
        <v>170.91653846153844</v>
      </c>
      <c r="P271" s="354">
        <f>'He so chung'!$D$22*R271</f>
        <v>148.62307692307689</v>
      </c>
      <c r="Q271" s="411">
        <f>'He so chung'!$D$23*R271</f>
        <v>22.293461538461536</v>
      </c>
      <c r="R271" s="61">
        <f>'NC-CLBD'!L60/100</f>
        <v>2.7799999999999998E-2</v>
      </c>
    </row>
    <row r="272" spans="1:18" s="4" customFormat="1" ht="16.5" hidden="1" customHeight="1">
      <c r="A272" s="315"/>
      <c r="B272" s="314"/>
      <c r="C272" s="318"/>
      <c r="D272" s="351" t="s">
        <v>13</v>
      </c>
      <c r="E272" s="352" t="e">
        <f>'NC-CLBD'!M62/100</f>
        <v>#VALUE!</v>
      </c>
      <c r="F272" s="353"/>
      <c r="G272" s="353">
        <f t="shared" si="48"/>
        <v>1037.1538461538462</v>
      </c>
      <c r="H272" s="353">
        <f>'DCu-CLBD'!N160*70%</f>
        <v>237.25182034615386</v>
      </c>
      <c r="I272" s="353">
        <f>I271</f>
        <v>3928.3271999999997</v>
      </c>
      <c r="J272" s="353">
        <f>'TBI-CLBD'!Q128*70%</f>
        <v>140.40572</v>
      </c>
      <c r="K272" s="353" t="e">
        <f>#REF!*70%</f>
        <v>#REF!</v>
      </c>
      <c r="L272" s="348" t="e">
        <f t="shared" si="49"/>
        <v>#VALUE!</v>
      </c>
      <c r="M272" s="353" t="e">
        <f>L272*'He so chung'!$D$17/100</f>
        <v>#VALUE!</v>
      </c>
      <c r="N272" s="349" t="e">
        <f t="shared" si="50"/>
        <v>#VALUE!</v>
      </c>
      <c r="O272" s="354">
        <f>'He so chung'!$D$21*R272</f>
        <v>238.54538461538462</v>
      </c>
      <c r="P272" s="354">
        <f>'He so chung'!$D$22*R272</f>
        <v>207.43076923076922</v>
      </c>
      <c r="Q272" s="411">
        <f>'He so chung'!$D$23*R272</f>
        <v>31.114615384615384</v>
      </c>
      <c r="R272" s="61">
        <f>'NC-CLBD'!L62/100</f>
        <v>3.8800000000000001E-2</v>
      </c>
    </row>
    <row r="273" spans="1:18" s="4" customFormat="1" ht="16.5" hidden="1" customHeight="1">
      <c r="A273" s="315"/>
      <c r="B273" s="314"/>
      <c r="C273" s="318"/>
      <c r="D273" s="351" t="s">
        <v>14</v>
      </c>
      <c r="E273" s="352" t="e">
        <f>'NC-CLBD'!#REF!/100</f>
        <v>#REF!</v>
      </c>
      <c r="F273" s="353"/>
      <c r="G273" s="353" t="e">
        <f t="shared" si="48"/>
        <v>#REF!</v>
      </c>
      <c r="H273" s="353">
        <f>'DCu-CLBD'!N161*70%</f>
        <v>0</v>
      </c>
      <c r="I273" s="353">
        <f>I272</f>
        <v>3928.3271999999997</v>
      </c>
      <c r="J273" s="353" t="e">
        <f>'TBI-CLBD'!#REF!*70%</f>
        <v>#REF!</v>
      </c>
      <c r="K273" s="353" t="e">
        <f>#REF!*70%</f>
        <v>#REF!</v>
      </c>
      <c r="L273" s="348" t="e">
        <f t="shared" si="49"/>
        <v>#REF!</v>
      </c>
      <c r="M273" s="353" t="e">
        <f>L273*'He so chung'!$D$17/100</f>
        <v>#REF!</v>
      </c>
      <c r="N273" s="349" t="e">
        <f t="shared" si="50"/>
        <v>#REF!</v>
      </c>
      <c r="O273" s="354" t="e">
        <f>'He so chung'!$D$21*R273</f>
        <v>#REF!</v>
      </c>
      <c r="P273" s="354" t="e">
        <f>'He so chung'!$D$22*R273</f>
        <v>#REF!</v>
      </c>
      <c r="Q273" s="411" t="e">
        <f>'He so chung'!$D$23*R273</f>
        <v>#REF!</v>
      </c>
      <c r="R273" s="61" t="e">
        <f>'NC-CLBD'!#REF!/100</f>
        <v>#REF!</v>
      </c>
    </row>
    <row r="274" spans="1:18" s="4" customFormat="1" ht="14.25" hidden="1" customHeight="1">
      <c r="A274" s="88"/>
      <c r="B274" s="89"/>
      <c r="C274" s="90"/>
      <c r="D274" s="351"/>
      <c r="E274" s="352"/>
      <c r="F274" s="353"/>
      <c r="G274" s="353"/>
      <c r="H274" s="353"/>
      <c r="I274" s="353"/>
      <c r="J274" s="353"/>
      <c r="K274" s="353"/>
      <c r="L274" s="348"/>
      <c r="M274" s="353"/>
      <c r="N274" s="349"/>
      <c r="O274" s="354"/>
      <c r="P274" s="354"/>
      <c r="Q274" s="411"/>
      <c r="R274" s="61"/>
    </row>
    <row r="275" spans="1:18" s="4" customFormat="1" ht="16.5" hidden="1" customHeight="1">
      <c r="A275" s="315" t="s">
        <v>13</v>
      </c>
      <c r="B275" s="314" t="s">
        <v>384</v>
      </c>
      <c r="C275" s="318" t="s">
        <v>278</v>
      </c>
      <c r="D275" s="351" t="s">
        <v>8</v>
      </c>
      <c r="E275" s="352" t="e">
        <f>'NC-CLBD'!M64/100</f>
        <v>#VALUE!</v>
      </c>
      <c r="F275" s="353"/>
      <c r="G275" s="353">
        <f>$Q$1*10*P275</f>
        <v>801.92307692307679</v>
      </c>
      <c r="H275" s="353">
        <f>'DCu-CLBD'!N158*30%</f>
        <v>58.102486615384628</v>
      </c>
      <c r="I275" s="353">
        <f>'VL-CLBD'!L71*30%</f>
        <v>1683.5687999999998</v>
      </c>
      <c r="J275" s="353">
        <f>'TBI-CLBD'!M128*30%</f>
        <v>50.21591999999999</v>
      </c>
      <c r="K275" s="353" t="e">
        <f>#REF!*30%</f>
        <v>#REF!</v>
      </c>
      <c r="L275" s="348" t="e">
        <f>SUM(E275:K275)</f>
        <v>#VALUE!</v>
      </c>
      <c r="M275" s="353" t="e">
        <f>L275*'He so chung'!$D$17/100</f>
        <v>#VALUE!</v>
      </c>
      <c r="N275" s="349" t="e">
        <f>M275+L275</f>
        <v>#VALUE!</v>
      </c>
      <c r="O275" s="354">
        <f>'He so chung'!$D$21*R275</f>
        <v>184.44230769230768</v>
      </c>
      <c r="P275" s="354">
        <f>'He so chung'!$D$22*R275</f>
        <v>160.38461538461536</v>
      </c>
      <c r="Q275" s="411">
        <f>'He so chung'!$D$23*R275</f>
        <v>24.057692307692307</v>
      </c>
      <c r="R275" s="61">
        <f>'NC-CLBD'!L64/100</f>
        <v>0.03</v>
      </c>
    </row>
    <row r="276" spans="1:18" s="4" customFormat="1" ht="16.5" hidden="1" customHeight="1">
      <c r="A276" s="315"/>
      <c r="B276" s="314" t="s">
        <v>385</v>
      </c>
      <c r="C276" s="318"/>
      <c r="D276" s="351"/>
      <c r="E276" s="352"/>
      <c r="F276" s="353"/>
      <c r="G276" s="353"/>
      <c r="H276" s="353"/>
      <c r="I276" s="353"/>
      <c r="J276" s="353"/>
      <c r="K276" s="353"/>
      <c r="L276" s="348"/>
      <c r="M276" s="353"/>
      <c r="N276" s="349"/>
      <c r="O276" s="354"/>
      <c r="P276" s="354"/>
      <c r="Q276" s="411"/>
      <c r="R276" s="61"/>
    </row>
    <row r="277" spans="1:18" s="4" customFormat="1" ht="13.5" hidden="1" customHeight="1">
      <c r="A277" s="88"/>
      <c r="B277" s="89"/>
      <c r="C277" s="90"/>
      <c r="D277" s="351"/>
      <c r="E277" s="352"/>
      <c r="F277" s="353"/>
      <c r="G277" s="353"/>
      <c r="H277" s="353"/>
      <c r="I277" s="353"/>
      <c r="J277" s="353"/>
      <c r="K277" s="353"/>
      <c r="L277" s="348"/>
      <c r="M277" s="353"/>
      <c r="N277" s="349"/>
      <c r="O277" s="354"/>
      <c r="P277" s="354"/>
      <c r="Q277" s="411"/>
      <c r="R277" s="61"/>
    </row>
    <row r="278" spans="1:18" s="4" customFormat="1" ht="16.5" hidden="1" customHeight="1">
      <c r="A278" s="315" t="s">
        <v>14</v>
      </c>
      <c r="B278" s="314" t="s">
        <v>363</v>
      </c>
      <c r="C278" s="318" t="s">
        <v>278</v>
      </c>
      <c r="D278" s="351" t="s">
        <v>8</v>
      </c>
      <c r="E278" s="352" t="e">
        <f>'NC-CLBD'!M67/100</f>
        <v>#VALUE!</v>
      </c>
      <c r="F278" s="353"/>
      <c r="G278" s="353">
        <f>$Q$1*10*P278</f>
        <v>695</v>
      </c>
      <c r="H278" s="353">
        <f>'DCu-CLBD'!N186</f>
        <v>184.59746666666666</v>
      </c>
      <c r="I278" s="353">
        <f>'VL-CLBD'!L92</f>
        <v>1232.28</v>
      </c>
      <c r="J278" s="353">
        <f>'TBI-CLBD'!M155</f>
        <v>105.78</v>
      </c>
      <c r="K278" s="353" t="e">
        <f>#REF!</f>
        <v>#REF!</v>
      </c>
      <c r="L278" s="348" t="e">
        <f>SUM(E278:K278)</f>
        <v>#VALUE!</v>
      </c>
      <c r="M278" s="353" t="e">
        <f>L278*'He so chung'!$D$17/100</f>
        <v>#VALUE!</v>
      </c>
      <c r="N278" s="349" t="e">
        <f>M278+L278</f>
        <v>#VALUE!</v>
      </c>
      <c r="O278" s="354">
        <f>'He so chung'!$D$21*R278</f>
        <v>159.85000000000002</v>
      </c>
      <c r="P278" s="354">
        <f>'He so chung'!$D$22*R278</f>
        <v>139</v>
      </c>
      <c r="Q278" s="411">
        <f>'He so chung'!$D$23*R278</f>
        <v>20.85</v>
      </c>
      <c r="R278" s="61">
        <f>'NC-CLBD'!L67/100</f>
        <v>2.6000000000000002E-2</v>
      </c>
    </row>
    <row r="279" spans="1:18" s="4" customFormat="1" ht="14.25" hidden="1" customHeight="1">
      <c r="A279" s="316"/>
      <c r="B279" s="317"/>
      <c r="C279" s="121"/>
      <c r="D279" s="361"/>
      <c r="E279" s="362"/>
      <c r="F279" s="363"/>
      <c r="G279" s="353"/>
      <c r="H279" s="363"/>
      <c r="I279" s="363"/>
      <c r="J279" s="363"/>
      <c r="K279" s="363"/>
      <c r="L279" s="348"/>
      <c r="M279" s="353"/>
      <c r="N279" s="349"/>
      <c r="O279" s="354"/>
      <c r="P279" s="354"/>
      <c r="Q279" s="411"/>
      <c r="R279" s="313"/>
    </row>
    <row r="280" spans="1:18" s="4" customFormat="1" ht="16.5" hidden="1" customHeight="1">
      <c r="A280" s="315" t="s">
        <v>85</v>
      </c>
      <c r="B280" s="314" t="s">
        <v>364</v>
      </c>
      <c r="C280" s="318" t="s">
        <v>1</v>
      </c>
      <c r="D280" s="351" t="s">
        <v>8</v>
      </c>
      <c r="E280" s="362" t="e">
        <f>'NC-CLBD'!M69/100</f>
        <v>#VALUE!</v>
      </c>
      <c r="F280" s="363"/>
      <c r="G280" s="353">
        <f>$Q$1*10*P280</f>
        <v>227.21153846153845</v>
      </c>
      <c r="H280" s="363">
        <f>'DCu-CLBD'!N209*70%</f>
        <v>108.59964387820513</v>
      </c>
      <c r="I280" s="363">
        <f>'VL-CLBD'!L112*70%</f>
        <v>725.75999999999988</v>
      </c>
      <c r="J280" s="363" t="e">
        <f>'TBI-CLBD'!#REF!*70%</f>
        <v>#REF!</v>
      </c>
      <c r="K280" s="363" t="e">
        <f>#REF!*70%</f>
        <v>#REF!</v>
      </c>
      <c r="L280" s="348" t="e">
        <f>SUM(E280:K280)</f>
        <v>#VALUE!</v>
      </c>
      <c r="M280" s="353" t="e">
        <f>L280*'He so chung'!$D$17/100</f>
        <v>#VALUE!</v>
      </c>
      <c r="N280" s="349" t="e">
        <f>M280+L280</f>
        <v>#VALUE!</v>
      </c>
      <c r="O280" s="354">
        <f>'He so chung'!$D$21*R280</f>
        <v>52.258653846153848</v>
      </c>
      <c r="P280" s="354">
        <f>'He so chung'!$D$22*R280</f>
        <v>45.442307692307693</v>
      </c>
      <c r="Q280" s="411">
        <f>'He so chung'!$D$23*R280</f>
        <v>6.8163461538461538</v>
      </c>
      <c r="R280" s="313">
        <f>'NC-CLBD'!N69/100</f>
        <v>8.5000000000000006E-3</v>
      </c>
    </row>
    <row r="281" spans="1:18" s="4" customFormat="1" ht="14.25" hidden="1" customHeight="1">
      <c r="A281" s="102"/>
      <c r="B281" s="103"/>
      <c r="C281" s="121"/>
      <c r="D281" s="361"/>
      <c r="E281" s="362"/>
      <c r="F281" s="363"/>
      <c r="G281" s="353"/>
      <c r="H281" s="363"/>
      <c r="I281" s="363"/>
      <c r="J281" s="363"/>
      <c r="K281" s="363"/>
      <c r="L281" s="348"/>
      <c r="M281" s="353"/>
      <c r="N281" s="349"/>
      <c r="O281" s="354"/>
      <c r="P281" s="354"/>
      <c r="Q281" s="411"/>
      <c r="R281" s="313"/>
    </row>
    <row r="282" spans="1:18" s="4" customFormat="1" ht="16.5" hidden="1" customHeight="1">
      <c r="A282" s="315" t="s">
        <v>87</v>
      </c>
      <c r="B282" s="314" t="s">
        <v>365</v>
      </c>
      <c r="C282" s="318" t="s">
        <v>1</v>
      </c>
      <c r="D282" s="351" t="s">
        <v>8</v>
      </c>
      <c r="E282" s="362" t="e">
        <f>'NC-CLBD'!M71/100</f>
        <v>#VALUE!</v>
      </c>
      <c r="F282" s="363"/>
      <c r="G282" s="353">
        <f>$Q$1*10*P282</f>
        <v>454.42307692307691</v>
      </c>
      <c r="H282" s="363">
        <f>'DCu-CLBD'!N209*15%</f>
        <v>23.271352259615387</v>
      </c>
      <c r="I282" s="363">
        <f>'VL-CLBD'!L112*15%</f>
        <v>155.51999999999998</v>
      </c>
      <c r="J282" s="363" t="e">
        <f>'TBI-CLBD'!#REF!*15%</f>
        <v>#REF!</v>
      </c>
      <c r="K282" s="363" t="e">
        <f>#REF!*15%</f>
        <v>#REF!</v>
      </c>
      <c r="L282" s="348" t="e">
        <f>SUM(E282:K282)</f>
        <v>#VALUE!</v>
      </c>
      <c r="M282" s="353" t="e">
        <f>L282*'He so chung'!$D$17/100</f>
        <v>#VALUE!</v>
      </c>
      <c r="N282" s="349" t="e">
        <f>M282+L282</f>
        <v>#VALUE!</v>
      </c>
      <c r="O282" s="354">
        <f>'He so chung'!$D$21*R282</f>
        <v>104.5173076923077</v>
      </c>
      <c r="P282" s="354">
        <f>'He so chung'!$D$22*R282</f>
        <v>90.884615384615387</v>
      </c>
      <c r="Q282" s="411">
        <f>'He so chung'!$D$23*R282</f>
        <v>13.632692307692308</v>
      </c>
      <c r="R282" s="313">
        <f>'NC-CLBD'!N71/100</f>
        <v>1.7000000000000001E-2</v>
      </c>
    </row>
    <row r="283" spans="1:18" s="4" customFormat="1" ht="14.25" hidden="1" customHeight="1">
      <c r="A283" s="316"/>
      <c r="B283" s="317"/>
      <c r="C283" s="121"/>
      <c r="D283" s="361"/>
      <c r="E283" s="362"/>
      <c r="F283" s="363"/>
      <c r="G283" s="353"/>
      <c r="H283" s="363"/>
      <c r="I283" s="363"/>
      <c r="J283" s="363"/>
      <c r="K283" s="363"/>
      <c r="L283" s="348"/>
      <c r="M283" s="353"/>
      <c r="N283" s="349"/>
      <c r="O283" s="354"/>
      <c r="P283" s="354"/>
      <c r="Q283" s="411"/>
      <c r="R283" s="313"/>
    </row>
    <row r="284" spans="1:18" s="4" customFormat="1" ht="16.5" hidden="1" customHeight="1">
      <c r="A284" s="316" t="s">
        <v>88</v>
      </c>
      <c r="B284" s="317" t="s">
        <v>366</v>
      </c>
      <c r="C284" s="318" t="s">
        <v>1</v>
      </c>
      <c r="D284" s="351" t="s">
        <v>8</v>
      </c>
      <c r="E284" s="362" t="e">
        <f>'NC-CLBD'!M73/100</f>
        <v>#VALUE!</v>
      </c>
      <c r="F284" s="363"/>
      <c r="G284" s="353">
        <f>$Q$1*10*P284</f>
        <v>908.84615384615381</v>
      </c>
      <c r="H284" s="363">
        <f>'DCu-CLBD'!N209*15%</f>
        <v>23.271352259615387</v>
      </c>
      <c r="I284" s="363">
        <f>'VL-CLBD'!L112*15%</f>
        <v>155.51999999999998</v>
      </c>
      <c r="J284" s="363" t="e">
        <f>'TBI-CLBD'!#REF!*15%</f>
        <v>#REF!</v>
      </c>
      <c r="K284" s="363" t="e">
        <f>#REF!*15%</f>
        <v>#REF!</v>
      </c>
      <c r="L284" s="348" t="e">
        <f>SUM(E284:K284)</f>
        <v>#VALUE!</v>
      </c>
      <c r="M284" s="353" t="e">
        <f>L284*'He so chung'!$D$17/100</f>
        <v>#VALUE!</v>
      </c>
      <c r="N284" s="349" t="e">
        <f>M284+L284</f>
        <v>#VALUE!</v>
      </c>
      <c r="O284" s="354">
        <f>'He so chung'!$D$21*R284</f>
        <v>209.03461538461539</v>
      </c>
      <c r="P284" s="354">
        <f>'He so chung'!$D$22*R284</f>
        <v>181.76923076923077</v>
      </c>
      <c r="Q284" s="411">
        <f>'He so chung'!$D$23*R284</f>
        <v>27.265384615384615</v>
      </c>
      <c r="R284" s="313">
        <f>'NC-CLBD'!N73/100</f>
        <v>3.4000000000000002E-2</v>
      </c>
    </row>
    <row r="285" spans="1:18" s="4" customFormat="1" ht="10.5" hidden="1" customHeight="1">
      <c r="A285" s="92"/>
      <c r="B285" s="93"/>
      <c r="C285" s="94"/>
      <c r="D285" s="377"/>
      <c r="E285" s="378"/>
      <c r="F285" s="379"/>
      <c r="G285" s="379"/>
      <c r="H285" s="379"/>
      <c r="I285" s="379"/>
      <c r="J285" s="379"/>
      <c r="K285" s="379"/>
      <c r="L285" s="380"/>
      <c r="M285" s="379"/>
      <c r="N285" s="381"/>
      <c r="O285" s="382"/>
      <c r="P285" s="100"/>
      <c r="Q285" s="55"/>
      <c r="R285" s="62"/>
    </row>
    <row r="286" spans="1:18" s="4" customFormat="1" ht="3.75" hidden="1" customHeight="1">
      <c r="A286" s="101"/>
      <c r="B286" s="91"/>
      <c r="C286" s="91"/>
      <c r="D286" s="383"/>
      <c r="E286" s="187"/>
      <c r="F286" s="187"/>
      <c r="G286" s="84"/>
      <c r="H286" s="187"/>
      <c r="I286" s="187"/>
      <c r="J286" s="187"/>
      <c r="K286" s="187"/>
      <c r="L286" s="187"/>
      <c r="M286" s="187"/>
      <c r="N286" s="187"/>
      <c r="O286" s="322"/>
      <c r="P286" s="82"/>
      <c r="Q286" s="52"/>
      <c r="R286" s="63"/>
    </row>
    <row r="287" spans="1:18" s="4" customFormat="1" ht="18.75" customHeight="1">
      <c r="A287" s="385"/>
      <c r="B287" s="501" t="s">
        <v>422</v>
      </c>
      <c r="C287" s="385"/>
      <c r="D287" s="384"/>
      <c r="E287" s="385"/>
      <c r="F287" s="385"/>
      <c r="G287" s="385"/>
      <c r="H287" s="385"/>
      <c r="I287" s="385"/>
      <c r="J287" s="385"/>
      <c r="K287" s="385"/>
      <c r="L287" s="385"/>
      <c r="M287" s="385"/>
      <c r="N287" s="385"/>
      <c r="O287" s="386"/>
      <c r="P287" s="96"/>
      <c r="Q287" s="53"/>
      <c r="R287" s="64"/>
    </row>
    <row r="288" spans="1:18" s="4" customFormat="1" ht="18.75" customHeight="1">
      <c r="A288" s="955" t="s">
        <v>3</v>
      </c>
      <c r="B288" s="958" t="s">
        <v>390</v>
      </c>
      <c r="C288" s="961" t="s">
        <v>1</v>
      </c>
      <c r="D288" s="387" t="s">
        <v>9</v>
      </c>
      <c r="E288" s="388" t="e">
        <f t="shared" ref="E288:R288" si="51">E229+E280+E282+E284</f>
        <v>#VALUE!</v>
      </c>
      <c r="F288" s="388">
        <f t="shared" si="51"/>
        <v>0</v>
      </c>
      <c r="G288" s="388">
        <f t="shared" si="51"/>
        <v>7824.0961538461543</v>
      </c>
      <c r="H288" s="388">
        <f t="shared" si="51"/>
        <v>737.11763685897449</v>
      </c>
      <c r="I288" s="388">
        <f t="shared" si="51"/>
        <v>1787.3999999999999</v>
      </c>
      <c r="J288" s="388" t="e">
        <f t="shared" si="51"/>
        <v>#REF!</v>
      </c>
      <c r="K288" s="388" t="e">
        <f t="shared" si="51"/>
        <v>#REF!</v>
      </c>
      <c r="L288" s="388" t="e">
        <f t="shared" si="51"/>
        <v>#VALUE!</v>
      </c>
      <c r="M288" s="388" t="e">
        <f t="shared" si="51"/>
        <v>#VALUE!</v>
      </c>
      <c r="N288" s="388" t="e">
        <f t="shared" si="51"/>
        <v>#VALUE!</v>
      </c>
      <c r="O288" s="388">
        <f t="shared" si="51"/>
        <v>1924.2144230769229</v>
      </c>
      <c r="P288" s="388">
        <f t="shared" si="51"/>
        <v>1564.8192307692307</v>
      </c>
      <c r="Q288" s="388">
        <f t="shared" si="51"/>
        <v>359.39519230769235</v>
      </c>
      <c r="R288" s="398">
        <f t="shared" si="51"/>
        <v>0.29269999999999996</v>
      </c>
    </row>
    <row r="289" spans="1:18" s="4" customFormat="1" ht="18.75" customHeight="1">
      <c r="A289" s="956"/>
      <c r="B289" s="959"/>
      <c r="C289" s="962"/>
      <c r="D289" s="389" t="s">
        <v>10</v>
      </c>
      <c r="E289" s="390" t="e">
        <f t="shared" ref="E289:R289" si="52">E230+E280+E282+E284</f>
        <v>#VALUE!</v>
      </c>
      <c r="F289" s="390">
        <f t="shared" si="52"/>
        <v>0</v>
      </c>
      <c r="G289" s="390">
        <f t="shared" si="52"/>
        <v>9075.0961538461543</v>
      </c>
      <c r="H289" s="390">
        <f t="shared" si="52"/>
        <v>882.61145897435915</v>
      </c>
      <c r="I289" s="390">
        <f t="shared" si="52"/>
        <v>1787.3999999999999</v>
      </c>
      <c r="J289" s="390" t="e">
        <f t="shared" si="52"/>
        <v>#REF!</v>
      </c>
      <c r="K289" s="390" t="e">
        <f t="shared" si="52"/>
        <v>#REF!</v>
      </c>
      <c r="L289" s="390" t="e">
        <f t="shared" si="52"/>
        <v>#VALUE!</v>
      </c>
      <c r="M289" s="390" t="e">
        <f t="shared" si="52"/>
        <v>#VALUE!</v>
      </c>
      <c r="N289" s="390" t="e">
        <f t="shared" si="52"/>
        <v>#VALUE!</v>
      </c>
      <c r="O289" s="390">
        <f t="shared" si="52"/>
        <v>2236.9644230769236</v>
      </c>
      <c r="P289" s="390">
        <f t="shared" si="52"/>
        <v>1815.0192307692307</v>
      </c>
      <c r="Q289" s="390">
        <f t="shared" si="52"/>
        <v>421.94519230769237</v>
      </c>
      <c r="R289" s="399">
        <f t="shared" si="52"/>
        <v>0.33950000000000002</v>
      </c>
    </row>
    <row r="290" spans="1:18" s="4" customFormat="1" ht="18.75" customHeight="1">
      <c r="A290" s="956"/>
      <c r="B290" s="959"/>
      <c r="C290" s="962"/>
      <c r="D290" s="389" t="s">
        <v>11</v>
      </c>
      <c r="E290" s="390" t="e">
        <f t="shared" ref="E290:R290" si="53">E231+E280+E282+E284</f>
        <v>#VALUE!</v>
      </c>
      <c r="F290" s="390">
        <f t="shared" si="53"/>
        <v>0</v>
      </c>
      <c r="G290" s="390">
        <f t="shared" si="53"/>
        <v>10572.01923076923</v>
      </c>
      <c r="H290" s="390">
        <f t="shared" si="53"/>
        <v>1125.1011625000003</v>
      </c>
      <c r="I290" s="390">
        <f t="shared" si="53"/>
        <v>1787.3999999999999</v>
      </c>
      <c r="J290" s="390" t="e">
        <f t="shared" si="53"/>
        <v>#REF!</v>
      </c>
      <c r="K290" s="390" t="e">
        <f t="shared" si="53"/>
        <v>#REF!</v>
      </c>
      <c r="L290" s="390" t="e">
        <f t="shared" si="53"/>
        <v>#VALUE!</v>
      </c>
      <c r="M290" s="390" t="e">
        <f t="shared" si="53"/>
        <v>#VALUE!</v>
      </c>
      <c r="N290" s="390" t="e">
        <f t="shared" si="53"/>
        <v>#VALUE!</v>
      </c>
      <c r="O290" s="390">
        <f t="shared" si="53"/>
        <v>2611.1951923076927</v>
      </c>
      <c r="P290" s="390">
        <f t="shared" si="53"/>
        <v>2114.4038461538462</v>
      </c>
      <c r="Q290" s="390">
        <f t="shared" si="53"/>
        <v>496.79134615384623</v>
      </c>
      <c r="R290" s="399">
        <f t="shared" si="53"/>
        <v>0.39550000000000007</v>
      </c>
    </row>
    <row r="291" spans="1:18" s="4" customFormat="1" ht="18.75" customHeight="1">
      <c r="A291" s="956"/>
      <c r="B291" s="959"/>
      <c r="C291" s="962"/>
      <c r="D291" s="391" t="s">
        <v>12</v>
      </c>
      <c r="E291" s="392" t="e">
        <f t="shared" ref="E291:R291" si="54">E232+E280+E282+E284</f>
        <v>#VALUE!</v>
      </c>
      <c r="F291" s="392">
        <f t="shared" si="54"/>
        <v>0</v>
      </c>
      <c r="G291" s="392">
        <f t="shared" si="54"/>
        <v>12368.326923076922</v>
      </c>
      <c r="H291" s="392">
        <f t="shared" si="54"/>
        <v>1464.5867474358981</v>
      </c>
      <c r="I291" s="392">
        <f t="shared" si="54"/>
        <v>1787.3999999999999</v>
      </c>
      <c r="J291" s="392" t="e">
        <f t="shared" si="54"/>
        <v>#REF!</v>
      </c>
      <c r="K291" s="392" t="e">
        <f t="shared" si="54"/>
        <v>#REF!</v>
      </c>
      <c r="L291" s="392" t="e">
        <f t="shared" si="54"/>
        <v>#VALUE!</v>
      </c>
      <c r="M291" s="392" t="e">
        <f t="shared" si="54"/>
        <v>#VALUE!</v>
      </c>
      <c r="N291" s="392" t="e">
        <f t="shared" si="54"/>
        <v>#VALUE!</v>
      </c>
      <c r="O291" s="392">
        <f t="shared" si="54"/>
        <v>3060.2721153846155</v>
      </c>
      <c r="P291" s="392">
        <f t="shared" si="54"/>
        <v>2473.6653846153845</v>
      </c>
      <c r="Q291" s="392">
        <f t="shared" si="54"/>
        <v>586.60673076923081</v>
      </c>
      <c r="R291" s="400">
        <f t="shared" si="54"/>
        <v>0.4627</v>
      </c>
    </row>
    <row r="292" spans="1:18" s="4" customFormat="1" ht="18.75" customHeight="1">
      <c r="A292" s="956"/>
      <c r="B292" s="959"/>
      <c r="C292" s="962"/>
      <c r="D292" s="389" t="s">
        <v>13</v>
      </c>
      <c r="E292" s="390" t="e">
        <f t="shared" ref="E292:R292" si="55">E233+E280+E282+E284</f>
        <v>#VALUE!</v>
      </c>
      <c r="F292" s="390">
        <f t="shared" si="55"/>
        <v>0</v>
      </c>
      <c r="G292" s="390">
        <f t="shared" si="55"/>
        <v>14522.826923076924</v>
      </c>
      <c r="H292" s="390">
        <f t="shared" si="55"/>
        <v>1852.5702730769237</v>
      </c>
      <c r="I292" s="390">
        <f t="shared" si="55"/>
        <v>1787.3999999999999</v>
      </c>
      <c r="J292" s="390" t="e">
        <f t="shared" si="55"/>
        <v>#REF!</v>
      </c>
      <c r="K292" s="390" t="e">
        <f t="shared" si="55"/>
        <v>#REF!</v>
      </c>
      <c r="L292" s="390" t="e">
        <f t="shared" si="55"/>
        <v>#VALUE!</v>
      </c>
      <c r="M292" s="390" t="e">
        <f t="shared" si="55"/>
        <v>#VALUE!</v>
      </c>
      <c r="N292" s="390" t="e">
        <f t="shared" si="55"/>
        <v>#VALUE!</v>
      </c>
      <c r="O292" s="390">
        <f t="shared" si="55"/>
        <v>3598.8971153846155</v>
      </c>
      <c r="P292" s="390">
        <f t="shared" si="55"/>
        <v>2904.5653846153846</v>
      </c>
      <c r="Q292" s="390">
        <f t="shared" si="55"/>
        <v>694.33173076923083</v>
      </c>
      <c r="R292" s="399">
        <f t="shared" si="55"/>
        <v>0.54330000000000001</v>
      </c>
    </row>
    <row r="293" spans="1:18" s="4" customFormat="1" ht="18.75" customHeight="1">
      <c r="A293" s="967"/>
      <c r="B293" s="968"/>
      <c r="C293" s="969"/>
      <c r="D293" s="387" t="s">
        <v>14</v>
      </c>
      <c r="E293" s="388" t="e">
        <f t="shared" ref="E293:R293" si="56">E234+E280+E282+E284</f>
        <v>#VALUE!</v>
      </c>
      <c r="F293" s="388">
        <f t="shared" si="56"/>
        <v>0</v>
      </c>
      <c r="G293" s="388">
        <f t="shared" si="56"/>
        <v>1590.4807692307691</v>
      </c>
      <c r="H293" s="388">
        <f t="shared" si="56"/>
        <v>155.14234839743591</v>
      </c>
      <c r="I293" s="388">
        <f t="shared" si="56"/>
        <v>1787.3999999999999</v>
      </c>
      <c r="J293" s="388" t="e">
        <f t="shared" si="56"/>
        <v>#REF!</v>
      </c>
      <c r="K293" s="388" t="e">
        <f t="shared" si="56"/>
        <v>#REF!</v>
      </c>
      <c r="L293" s="388" t="e">
        <f t="shared" si="56"/>
        <v>#VALUE!</v>
      </c>
      <c r="M293" s="388" t="e">
        <f t="shared" si="56"/>
        <v>#VALUE!</v>
      </c>
      <c r="N293" s="388" t="e">
        <f t="shared" si="56"/>
        <v>#VALUE!</v>
      </c>
      <c r="O293" s="388">
        <f t="shared" si="56"/>
        <v>365.81057692307695</v>
      </c>
      <c r="P293" s="388">
        <f t="shared" si="56"/>
        <v>318.09615384615387</v>
      </c>
      <c r="Q293" s="388">
        <f t="shared" si="56"/>
        <v>47.714423076923076</v>
      </c>
      <c r="R293" s="398">
        <f t="shared" si="56"/>
        <v>5.9500000000000004E-2</v>
      </c>
    </row>
    <row r="294" spans="1:18" s="4" customFormat="1" ht="14.25" customHeight="1">
      <c r="A294" s="395"/>
      <c r="B294" s="396"/>
      <c r="C294" s="397"/>
      <c r="D294" s="387"/>
      <c r="E294" s="388"/>
      <c r="F294" s="388"/>
      <c r="G294" s="388"/>
      <c r="H294" s="388"/>
      <c r="I294" s="388"/>
      <c r="J294" s="388"/>
      <c r="K294" s="388"/>
      <c r="L294" s="388"/>
      <c r="M294" s="388"/>
      <c r="N294" s="388"/>
      <c r="O294" s="388"/>
      <c r="P294" s="97"/>
      <c r="Q294" s="54"/>
      <c r="R294" s="394"/>
    </row>
    <row r="295" spans="1:18" s="4" customFormat="1" ht="18.75" customHeight="1">
      <c r="A295" s="955" t="s">
        <v>4</v>
      </c>
      <c r="B295" s="958" t="s">
        <v>391</v>
      </c>
      <c r="C295" s="961" t="s">
        <v>278</v>
      </c>
      <c r="D295" s="389" t="s">
        <v>9</v>
      </c>
      <c r="E295" s="390" t="e">
        <f t="shared" ref="E295:R300" si="57">E236+E243+E253+E$265+E268+E$275+E$278</f>
        <v>#VALUE!</v>
      </c>
      <c r="F295" s="390">
        <f t="shared" si="57"/>
        <v>7807.6</v>
      </c>
      <c r="G295" s="390" t="e">
        <f t="shared" si="57"/>
        <v>#REF!</v>
      </c>
      <c r="H295" s="390" t="e">
        <f t="shared" si="57"/>
        <v>#REF!</v>
      </c>
      <c r="I295" s="390" t="e">
        <f t="shared" si="57"/>
        <v>#REF!</v>
      </c>
      <c r="J295" s="390" t="e">
        <f t="shared" si="57"/>
        <v>#REF!</v>
      </c>
      <c r="K295" s="390" t="e">
        <f t="shared" si="57"/>
        <v>#REF!</v>
      </c>
      <c r="L295" s="390" t="e">
        <f t="shared" si="57"/>
        <v>#VALUE!</v>
      </c>
      <c r="M295" s="390" t="e">
        <f t="shared" si="57"/>
        <v>#VALUE!</v>
      </c>
      <c r="N295" s="390" t="e">
        <f t="shared" si="57"/>
        <v>#VALUE!</v>
      </c>
      <c r="O295" s="390" t="e">
        <f t="shared" si="57"/>
        <v>#REF!</v>
      </c>
      <c r="P295" s="390" t="e">
        <f t="shared" si="57"/>
        <v>#REF!</v>
      </c>
      <c r="Q295" s="390" t="e">
        <f t="shared" si="57"/>
        <v>#REF!</v>
      </c>
      <c r="R295" s="399" t="e">
        <f t="shared" si="57"/>
        <v>#REF!</v>
      </c>
    </row>
    <row r="296" spans="1:18" s="4" customFormat="1" ht="18.75" customHeight="1">
      <c r="A296" s="956"/>
      <c r="B296" s="959"/>
      <c r="C296" s="962"/>
      <c r="D296" s="389" t="s">
        <v>10</v>
      </c>
      <c r="E296" s="388" t="e">
        <f t="shared" si="57"/>
        <v>#VALUE!</v>
      </c>
      <c r="F296" s="388">
        <f t="shared" si="57"/>
        <v>9379.6</v>
      </c>
      <c r="G296" s="388" t="e">
        <f t="shared" si="57"/>
        <v>#REF!</v>
      </c>
      <c r="H296" s="388" t="e">
        <f t="shared" si="57"/>
        <v>#REF!</v>
      </c>
      <c r="I296" s="388" t="e">
        <f t="shared" si="57"/>
        <v>#REF!</v>
      </c>
      <c r="J296" s="388" t="e">
        <f t="shared" si="57"/>
        <v>#REF!</v>
      </c>
      <c r="K296" s="388" t="e">
        <f t="shared" si="57"/>
        <v>#REF!</v>
      </c>
      <c r="L296" s="388" t="e">
        <f t="shared" si="57"/>
        <v>#VALUE!</v>
      </c>
      <c r="M296" s="388" t="e">
        <f t="shared" si="57"/>
        <v>#VALUE!</v>
      </c>
      <c r="N296" s="388" t="e">
        <f t="shared" si="57"/>
        <v>#VALUE!</v>
      </c>
      <c r="O296" s="388" t="e">
        <f t="shared" si="57"/>
        <v>#REF!</v>
      </c>
      <c r="P296" s="388" t="e">
        <f t="shared" si="57"/>
        <v>#REF!</v>
      </c>
      <c r="Q296" s="388" t="e">
        <f t="shared" si="57"/>
        <v>#REF!</v>
      </c>
      <c r="R296" s="398" t="e">
        <f t="shared" si="57"/>
        <v>#REF!</v>
      </c>
    </row>
    <row r="297" spans="1:18" s="4" customFormat="1" ht="18.75" customHeight="1">
      <c r="A297" s="956"/>
      <c r="B297" s="959"/>
      <c r="C297" s="962"/>
      <c r="D297" s="389" t="s">
        <v>11</v>
      </c>
      <c r="E297" s="388" t="e">
        <f t="shared" si="57"/>
        <v>#VALUE!</v>
      </c>
      <c r="F297" s="388">
        <f t="shared" si="57"/>
        <v>11252.9</v>
      </c>
      <c r="G297" s="388" t="e">
        <f t="shared" si="57"/>
        <v>#REF!</v>
      </c>
      <c r="H297" s="388" t="e">
        <f t="shared" si="57"/>
        <v>#REF!</v>
      </c>
      <c r="I297" s="388" t="e">
        <f t="shared" si="57"/>
        <v>#REF!</v>
      </c>
      <c r="J297" s="388" t="e">
        <f t="shared" si="57"/>
        <v>#REF!</v>
      </c>
      <c r="K297" s="388" t="e">
        <f t="shared" si="57"/>
        <v>#REF!</v>
      </c>
      <c r="L297" s="388" t="e">
        <f t="shared" si="57"/>
        <v>#VALUE!</v>
      </c>
      <c r="M297" s="388" t="e">
        <f t="shared" si="57"/>
        <v>#VALUE!</v>
      </c>
      <c r="N297" s="388" t="e">
        <f t="shared" si="57"/>
        <v>#VALUE!</v>
      </c>
      <c r="O297" s="388" t="e">
        <f t="shared" si="57"/>
        <v>#REF!</v>
      </c>
      <c r="P297" s="388" t="e">
        <f t="shared" si="57"/>
        <v>#REF!</v>
      </c>
      <c r="Q297" s="388" t="e">
        <f t="shared" si="57"/>
        <v>#REF!</v>
      </c>
      <c r="R297" s="398" t="e">
        <f t="shared" si="57"/>
        <v>#REF!</v>
      </c>
    </row>
    <row r="298" spans="1:18" s="4" customFormat="1" ht="18.75" customHeight="1">
      <c r="A298" s="956"/>
      <c r="B298" s="959"/>
      <c r="C298" s="962"/>
      <c r="D298" s="391" t="s">
        <v>12</v>
      </c>
      <c r="E298" s="388" t="e">
        <f t="shared" si="57"/>
        <v>#VALUE!</v>
      </c>
      <c r="F298" s="388">
        <f t="shared" si="57"/>
        <v>13506.1</v>
      </c>
      <c r="G298" s="388" t="e">
        <f t="shared" si="57"/>
        <v>#REF!</v>
      </c>
      <c r="H298" s="388" t="e">
        <f t="shared" si="57"/>
        <v>#REF!</v>
      </c>
      <c r="I298" s="388" t="e">
        <f t="shared" si="57"/>
        <v>#REF!</v>
      </c>
      <c r="J298" s="388" t="e">
        <f t="shared" si="57"/>
        <v>#REF!</v>
      </c>
      <c r="K298" s="388" t="e">
        <f t="shared" si="57"/>
        <v>#REF!</v>
      </c>
      <c r="L298" s="388" t="e">
        <f t="shared" si="57"/>
        <v>#VALUE!</v>
      </c>
      <c r="M298" s="388" t="e">
        <f t="shared" si="57"/>
        <v>#VALUE!</v>
      </c>
      <c r="N298" s="388" t="e">
        <f t="shared" si="57"/>
        <v>#VALUE!</v>
      </c>
      <c r="O298" s="388" t="e">
        <f t="shared" si="57"/>
        <v>#REF!</v>
      </c>
      <c r="P298" s="388" t="e">
        <f t="shared" si="57"/>
        <v>#REF!</v>
      </c>
      <c r="Q298" s="388" t="e">
        <f t="shared" si="57"/>
        <v>#REF!</v>
      </c>
      <c r="R298" s="398" t="e">
        <f t="shared" si="57"/>
        <v>#REF!</v>
      </c>
    </row>
    <row r="299" spans="1:18" s="4" customFormat="1" ht="18.75" customHeight="1">
      <c r="A299" s="956"/>
      <c r="B299" s="959"/>
      <c r="C299" s="962"/>
      <c r="D299" s="389" t="s">
        <v>13</v>
      </c>
      <c r="E299" s="388" t="e">
        <f t="shared" si="57"/>
        <v>#VALUE!</v>
      </c>
      <c r="F299" s="388">
        <f t="shared" si="57"/>
        <v>16204.7</v>
      </c>
      <c r="G299" s="388" t="e">
        <f t="shared" si="57"/>
        <v>#REF!</v>
      </c>
      <c r="H299" s="388" t="e">
        <f t="shared" si="57"/>
        <v>#REF!</v>
      </c>
      <c r="I299" s="388" t="e">
        <f t="shared" si="57"/>
        <v>#REF!</v>
      </c>
      <c r="J299" s="388" t="e">
        <f t="shared" si="57"/>
        <v>#REF!</v>
      </c>
      <c r="K299" s="388" t="e">
        <f t="shared" si="57"/>
        <v>#REF!</v>
      </c>
      <c r="L299" s="388" t="e">
        <f t="shared" si="57"/>
        <v>#VALUE!</v>
      </c>
      <c r="M299" s="388" t="e">
        <f t="shared" si="57"/>
        <v>#VALUE!</v>
      </c>
      <c r="N299" s="388" t="e">
        <f t="shared" si="57"/>
        <v>#VALUE!</v>
      </c>
      <c r="O299" s="388" t="e">
        <f t="shared" si="57"/>
        <v>#REF!</v>
      </c>
      <c r="P299" s="388" t="e">
        <f t="shared" si="57"/>
        <v>#REF!</v>
      </c>
      <c r="Q299" s="388" t="e">
        <f t="shared" si="57"/>
        <v>#REF!</v>
      </c>
      <c r="R299" s="398" t="e">
        <f t="shared" si="57"/>
        <v>#REF!</v>
      </c>
    </row>
    <row r="300" spans="1:18" s="4" customFormat="1" ht="18.75" customHeight="1">
      <c r="A300" s="957"/>
      <c r="B300" s="960"/>
      <c r="C300" s="963"/>
      <c r="D300" s="393" t="s">
        <v>14</v>
      </c>
      <c r="E300" s="458" t="e">
        <f t="shared" si="57"/>
        <v>#REF!</v>
      </c>
      <c r="F300" s="458" t="e">
        <f t="shared" si="57"/>
        <v>#REF!</v>
      </c>
      <c r="G300" s="458" t="e">
        <f t="shared" si="57"/>
        <v>#REF!</v>
      </c>
      <c r="H300" s="458" t="e">
        <f t="shared" si="57"/>
        <v>#REF!</v>
      </c>
      <c r="I300" s="458" t="e">
        <f t="shared" si="57"/>
        <v>#REF!</v>
      </c>
      <c r="J300" s="458" t="e">
        <f t="shared" si="57"/>
        <v>#REF!</v>
      </c>
      <c r="K300" s="458" t="e">
        <f t="shared" si="57"/>
        <v>#REF!</v>
      </c>
      <c r="L300" s="458" t="e">
        <f t="shared" si="57"/>
        <v>#REF!</v>
      </c>
      <c r="M300" s="458" t="e">
        <f t="shared" si="57"/>
        <v>#REF!</v>
      </c>
      <c r="N300" s="458" t="e">
        <f t="shared" si="57"/>
        <v>#REF!</v>
      </c>
      <c r="O300" s="458" t="e">
        <f t="shared" si="57"/>
        <v>#REF!</v>
      </c>
      <c r="P300" s="458" t="e">
        <f t="shared" si="57"/>
        <v>#REF!</v>
      </c>
      <c r="Q300" s="458" t="e">
        <f t="shared" si="57"/>
        <v>#REF!</v>
      </c>
      <c r="R300" s="459" t="e">
        <f t="shared" si="57"/>
        <v>#REF!</v>
      </c>
    </row>
    <row r="301" spans="1:18" s="4" customFormat="1" ht="5.25" customHeight="1">
      <c r="A301" s="79"/>
      <c r="B301" s="79"/>
      <c r="C301" s="79"/>
      <c r="D301" s="87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2"/>
      <c r="P301" s="82"/>
      <c r="Q301" s="52"/>
      <c r="R301" s="63"/>
    </row>
    <row r="302" spans="1:18" s="4" customFormat="1" ht="39" hidden="1" customHeight="1">
      <c r="A302" s="976" t="s">
        <v>397</v>
      </c>
      <c r="B302" s="976"/>
      <c r="C302" s="976"/>
      <c r="D302" s="976"/>
      <c r="E302" s="976"/>
      <c r="F302" s="976"/>
      <c r="G302" s="976"/>
      <c r="H302" s="976"/>
      <c r="I302" s="976"/>
      <c r="J302" s="976"/>
      <c r="K302" s="976"/>
      <c r="L302" s="976"/>
      <c r="M302" s="976"/>
      <c r="N302" s="976"/>
      <c r="O302" s="976"/>
      <c r="P302" s="112"/>
      <c r="Q302" s="75"/>
      <c r="R302" s="76"/>
    </row>
    <row r="303" spans="1:18" s="4" customFormat="1" ht="16.5" hidden="1" customHeight="1">
      <c r="A303" s="107"/>
      <c r="B303" s="80"/>
      <c r="C303" s="81"/>
      <c r="D303" s="86"/>
      <c r="E303" s="108"/>
      <c r="F303" s="108"/>
      <c r="G303" s="108"/>
      <c r="H303" s="108"/>
      <c r="I303" s="108"/>
      <c r="J303" s="108"/>
      <c r="K303" s="108"/>
      <c r="L303" s="108"/>
      <c r="M303" s="109"/>
      <c r="N303" s="108"/>
      <c r="O303" s="82"/>
      <c r="P303" s="82"/>
      <c r="Q303" s="77"/>
      <c r="R303" s="78"/>
    </row>
    <row r="304" spans="1:18" s="4" customFormat="1" ht="30" hidden="1" customHeight="1">
      <c r="A304" s="970" t="s">
        <v>376</v>
      </c>
      <c r="B304" s="972" t="s">
        <v>377</v>
      </c>
      <c r="C304" s="974" t="s">
        <v>378</v>
      </c>
      <c r="D304" s="970" t="s">
        <v>91</v>
      </c>
      <c r="E304" s="964" t="s">
        <v>368</v>
      </c>
      <c r="F304" s="965"/>
      <c r="G304" s="965"/>
      <c r="H304" s="965"/>
      <c r="I304" s="965"/>
      <c r="J304" s="965"/>
      <c r="K304" s="965"/>
      <c r="L304" s="966"/>
      <c r="M304" s="324" t="s">
        <v>63</v>
      </c>
      <c r="N304" s="974" t="s">
        <v>379</v>
      </c>
      <c r="O304" s="323" t="s">
        <v>18</v>
      </c>
      <c r="P304" s="104" t="s">
        <v>19</v>
      </c>
      <c r="Q304" s="57" t="s">
        <v>19</v>
      </c>
      <c r="R304" s="58" t="s">
        <v>16</v>
      </c>
    </row>
    <row r="305" spans="1:18" s="4" customFormat="1" ht="26.25" hidden="1" customHeight="1">
      <c r="A305" s="971"/>
      <c r="B305" s="973"/>
      <c r="C305" s="975"/>
      <c r="D305" s="971"/>
      <c r="E305" s="327" t="s">
        <v>369</v>
      </c>
      <c r="F305" s="326" t="s">
        <v>370</v>
      </c>
      <c r="G305" s="328">
        <v>0</v>
      </c>
      <c r="H305" s="326" t="s">
        <v>257</v>
      </c>
      <c r="I305" s="326" t="s">
        <v>280</v>
      </c>
      <c r="J305" s="326" t="s">
        <v>261</v>
      </c>
      <c r="K305" s="326" t="s">
        <v>371</v>
      </c>
      <c r="L305" s="326" t="s">
        <v>372</v>
      </c>
      <c r="M305" s="326" t="s">
        <v>48</v>
      </c>
      <c r="N305" s="975"/>
      <c r="O305" s="325" t="s">
        <v>20</v>
      </c>
      <c r="P305" s="105" t="s">
        <v>21</v>
      </c>
      <c r="Q305" s="59" t="s">
        <v>22</v>
      </c>
      <c r="R305" s="60" t="s">
        <v>17</v>
      </c>
    </row>
    <row r="306" spans="1:18" s="4" customFormat="1" ht="14.25" hidden="1" customHeight="1">
      <c r="A306" s="329" t="s">
        <v>52</v>
      </c>
      <c r="B306" s="330" t="s">
        <v>53</v>
      </c>
      <c r="C306" s="330" t="s">
        <v>54</v>
      </c>
      <c r="D306" s="331" t="s">
        <v>55</v>
      </c>
      <c r="E306" s="332" t="s">
        <v>56</v>
      </c>
      <c r="F306" s="332" t="s">
        <v>57</v>
      </c>
      <c r="G306" s="332"/>
      <c r="H306" s="332" t="s">
        <v>58</v>
      </c>
      <c r="I306" s="332" t="s">
        <v>59</v>
      </c>
      <c r="J306" s="332" t="s">
        <v>60</v>
      </c>
      <c r="K306" s="332" t="s">
        <v>61</v>
      </c>
      <c r="L306" s="333" t="s">
        <v>373</v>
      </c>
      <c r="M306" s="333" t="s">
        <v>374</v>
      </c>
      <c r="N306" s="334" t="s">
        <v>375</v>
      </c>
      <c r="O306" s="332" t="s">
        <v>62</v>
      </c>
      <c r="P306" s="48"/>
      <c r="Q306" s="48"/>
      <c r="R306" s="49"/>
    </row>
    <row r="307" spans="1:18" s="4" customFormat="1" ht="21.75" hidden="1" customHeight="1">
      <c r="A307" s="335" t="s">
        <v>3</v>
      </c>
      <c r="B307" s="336" t="s">
        <v>380</v>
      </c>
      <c r="C307" s="337"/>
      <c r="D307" s="344"/>
      <c r="E307" s="345"/>
      <c r="F307" s="345"/>
      <c r="G307" s="345"/>
      <c r="H307" s="345"/>
      <c r="I307" s="345"/>
      <c r="J307" s="345"/>
      <c r="K307" s="345"/>
      <c r="L307" s="346"/>
      <c r="M307" s="346"/>
      <c r="N307" s="345"/>
      <c r="O307" s="347"/>
      <c r="P307" s="407"/>
      <c r="Q307" s="408"/>
      <c r="R307" s="409"/>
    </row>
    <row r="308" spans="1:18" s="4" customFormat="1" ht="20.25" hidden="1" customHeight="1">
      <c r="A308" s="315" t="s">
        <v>9</v>
      </c>
      <c r="B308" s="314" t="s">
        <v>73</v>
      </c>
      <c r="C308" s="318" t="s">
        <v>1</v>
      </c>
      <c r="D308" s="351" t="s">
        <v>9</v>
      </c>
      <c r="E308" s="352" t="e">
        <f>'NC-CLBD'!O5/900</f>
        <v>#VALUE!</v>
      </c>
      <c r="F308" s="353"/>
      <c r="G308" s="353">
        <f t="shared" ref="G308:G323" si="58">$Q$1*10*P308</f>
        <v>1385.8418803418804</v>
      </c>
      <c r="H308" s="353">
        <f>'DCu-CLBD'!P23</f>
        <v>129.32784188034191</v>
      </c>
      <c r="I308" s="353">
        <f>'VL-CLBD'!N16</f>
        <v>83.4</v>
      </c>
      <c r="J308" s="353"/>
      <c r="K308" s="353"/>
      <c r="L308" s="348" t="e">
        <f>SUM(E308:K308)</f>
        <v>#VALUE!</v>
      </c>
      <c r="M308" s="348" t="e">
        <f>L308*'He so chung'!$D$16/100</f>
        <v>#VALUE!</v>
      </c>
      <c r="N308" s="349" t="e">
        <f>M308+L308</f>
        <v>#VALUE!</v>
      </c>
      <c r="O308" s="354">
        <f>'He so chung'!$D$18*R308</f>
        <v>346.46047008547009</v>
      </c>
      <c r="P308" s="354">
        <f>'He so chung'!$D$19*R308</f>
        <v>277.16837606837606</v>
      </c>
      <c r="Q308" s="411">
        <f>'He so chung'!$D$20*R308</f>
        <v>69.292094017094016</v>
      </c>
      <c r="R308" s="412">
        <f>'NC-CLBD'!N5/900</f>
        <v>5.1844444444444443E-2</v>
      </c>
    </row>
    <row r="309" spans="1:18" s="4" customFormat="1" ht="20.25" hidden="1" customHeight="1">
      <c r="A309" s="314"/>
      <c r="B309" s="187"/>
      <c r="C309" s="318"/>
      <c r="D309" s="351" t="s">
        <v>10</v>
      </c>
      <c r="E309" s="352" t="e">
        <f>'NC-CLBD'!O7/900</f>
        <v>#VALUE!</v>
      </c>
      <c r="F309" s="353"/>
      <c r="G309" s="353">
        <f t="shared" si="58"/>
        <v>1663.2478632478633</v>
      </c>
      <c r="H309" s="353">
        <f>'DCu-CLBD'!P24</f>
        <v>161.65980235042741</v>
      </c>
      <c r="I309" s="353">
        <f>I308</f>
        <v>83.4</v>
      </c>
      <c r="J309" s="353"/>
      <c r="K309" s="353"/>
      <c r="L309" s="348" t="e">
        <f>SUM(E309:K309)</f>
        <v>#VALUE!</v>
      </c>
      <c r="M309" s="348" t="e">
        <f>L309*'He so chung'!$D$16/100</f>
        <v>#VALUE!</v>
      </c>
      <c r="N309" s="349" t="e">
        <f>M309+L309</f>
        <v>#VALUE!</v>
      </c>
      <c r="O309" s="354">
        <f>'He so chung'!$D$18*R309</f>
        <v>415.81196581196582</v>
      </c>
      <c r="P309" s="354">
        <f>'He so chung'!$D$19*R309</f>
        <v>332.64957264957263</v>
      </c>
      <c r="Q309" s="411">
        <f>'He so chung'!$D$20*R309</f>
        <v>83.162393162393172</v>
      </c>
      <c r="R309" s="412">
        <f>'NC-CLBD'!N7/900</f>
        <v>6.222222222222222E-2</v>
      </c>
    </row>
    <row r="310" spans="1:18" s="4" customFormat="1" ht="20.25" hidden="1" customHeight="1">
      <c r="A310" s="315"/>
      <c r="B310" s="314"/>
      <c r="C310" s="318"/>
      <c r="D310" s="351" t="s">
        <v>11</v>
      </c>
      <c r="E310" s="352" t="e">
        <f>'NC-CLBD'!O9/900</f>
        <v>#VALUE!</v>
      </c>
      <c r="F310" s="353"/>
      <c r="G310" s="353">
        <f t="shared" si="58"/>
        <v>1995.897435897436</v>
      </c>
      <c r="H310" s="353">
        <f>'DCu-CLBD'!P25</f>
        <v>215.5464031339032</v>
      </c>
      <c r="I310" s="353">
        <f>I309</f>
        <v>83.4</v>
      </c>
      <c r="J310" s="353"/>
      <c r="K310" s="353"/>
      <c r="L310" s="348" t="e">
        <f>SUM(E310:K310)</f>
        <v>#VALUE!</v>
      </c>
      <c r="M310" s="348" t="e">
        <f>L310*'He so chung'!$D$16/100</f>
        <v>#VALUE!</v>
      </c>
      <c r="N310" s="349" t="e">
        <f>M310+L310</f>
        <v>#VALUE!</v>
      </c>
      <c r="O310" s="354">
        <f>'He so chung'!$D$18*R310</f>
        <v>498.97435897435901</v>
      </c>
      <c r="P310" s="354">
        <f>'He so chung'!$D$19*R310</f>
        <v>399.17948717948718</v>
      </c>
      <c r="Q310" s="411">
        <f>'He so chung'!$D$20*R310</f>
        <v>99.79487179487181</v>
      </c>
      <c r="R310" s="412">
        <f>'NC-CLBD'!N9/900</f>
        <v>7.4666666666666673E-2</v>
      </c>
    </row>
    <row r="311" spans="1:18" s="4" customFormat="1" ht="20.25" hidden="1" customHeight="1">
      <c r="A311" s="315"/>
      <c r="B311" s="314"/>
      <c r="C311" s="318"/>
      <c r="D311" s="351" t="s">
        <v>12</v>
      </c>
      <c r="E311" s="352" t="e">
        <f>'NC-CLBD'!O11/900</f>
        <v>#VALUE!</v>
      </c>
      <c r="F311" s="353"/>
      <c r="G311" s="353">
        <f t="shared" si="58"/>
        <v>2395.0769230769229</v>
      </c>
      <c r="H311" s="353">
        <f>'DCu-CLBD'!P26</f>
        <v>237.10104344729353</v>
      </c>
      <c r="I311" s="353">
        <f>I310</f>
        <v>83.4</v>
      </c>
      <c r="J311" s="353"/>
      <c r="K311" s="353"/>
      <c r="L311" s="348" t="e">
        <f>SUM(E311:K311)</f>
        <v>#VALUE!</v>
      </c>
      <c r="M311" s="348" t="e">
        <f>L311*'He so chung'!$D$16/100</f>
        <v>#VALUE!</v>
      </c>
      <c r="N311" s="349" t="e">
        <f>M311+L311</f>
        <v>#VALUE!</v>
      </c>
      <c r="O311" s="354">
        <f>'He so chung'!$D$18*R311</f>
        <v>598.76923076923072</v>
      </c>
      <c r="P311" s="354">
        <f>'He so chung'!$D$19*R311</f>
        <v>479.01538461538456</v>
      </c>
      <c r="Q311" s="411">
        <f>'He so chung'!$D$20*R311</f>
        <v>119.75384615384617</v>
      </c>
      <c r="R311" s="412">
        <f>'NC-CLBD'!N11/900</f>
        <v>8.9599999999999999E-2</v>
      </c>
    </row>
    <row r="312" spans="1:18" s="4" customFormat="1" ht="20.25" hidden="1" customHeight="1">
      <c r="A312" s="315"/>
      <c r="B312" s="314"/>
      <c r="C312" s="338"/>
      <c r="D312" s="351"/>
      <c r="E312" s="352"/>
      <c r="F312" s="353"/>
      <c r="G312" s="353">
        <f t="shared" si="58"/>
        <v>0</v>
      </c>
      <c r="H312" s="353"/>
      <c r="I312" s="353"/>
      <c r="J312" s="353"/>
      <c r="K312" s="353"/>
      <c r="L312" s="348"/>
      <c r="M312" s="348"/>
      <c r="N312" s="349"/>
      <c r="O312" s="354"/>
      <c r="P312" s="354"/>
      <c r="Q312" s="411"/>
      <c r="R312" s="412"/>
    </row>
    <row r="313" spans="1:18" s="4" customFormat="1" ht="20.25" hidden="1" customHeight="1">
      <c r="A313" s="315" t="s">
        <v>10</v>
      </c>
      <c r="B313" s="314" t="s">
        <v>381</v>
      </c>
      <c r="C313" s="318" t="s">
        <v>278</v>
      </c>
      <c r="D313" s="351" t="s">
        <v>9</v>
      </c>
      <c r="E313" s="352" t="e">
        <f>'NC-CLBD'!O17/100</f>
        <v>#VALUE!</v>
      </c>
      <c r="F313" s="353"/>
      <c r="G313" s="353">
        <f t="shared" si="58"/>
        <v>1082.596153846154</v>
      </c>
      <c r="H313" s="353">
        <f>'DCu-CLBD'!P67</f>
        <v>64.456622596153849</v>
      </c>
      <c r="I313" s="353">
        <f>'VL-CLBD'!N45</f>
        <v>28.034100000000002</v>
      </c>
      <c r="J313" s="353">
        <f>'TBI-CLBD'!I37</f>
        <v>329.72</v>
      </c>
      <c r="K313" s="353" t="e">
        <f>#REF!</f>
        <v>#REF!</v>
      </c>
      <c r="L313" s="348" t="e">
        <f>SUM(E313:K313)</f>
        <v>#VALUE!</v>
      </c>
      <c r="M313" s="348" t="e">
        <f>L313*'He so chung'!$D$16/100</f>
        <v>#VALUE!</v>
      </c>
      <c r="N313" s="349" t="e">
        <f>M313+L313</f>
        <v>#VALUE!</v>
      </c>
      <c r="O313" s="354">
        <f>'He so chung'!$D$18*R313</f>
        <v>270.64903846153851</v>
      </c>
      <c r="P313" s="354">
        <f>'He so chung'!$D$19*R313</f>
        <v>216.5192307692308</v>
      </c>
      <c r="Q313" s="411">
        <f>'He so chung'!$D$20*R313</f>
        <v>54.129807692307708</v>
      </c>
      <c r="R313" s="412">
        <f>'NC-CLBD'!N17/100</f>
        <v>4.0500000000000008E-2</v>
      </c>
    </row>
    <row r="314" spans="1:18" s="4" customFormat="1" ht="20.25" hidden="1" customHeight="1">
      <c r="A314" s="314"/>
      <c r="B314" s="187"/>
      <c r="C314" s="318"/>
      <c r="D314" s="351" t="s">
        <v>10</v>
      </c>
      <c r="E314" s="352" t="e">
        <f>'NC-CLBD'!O19/100</f>
        <v>#VALUE!</v>
      </c>
      <c r="F314" s="353"/>
      <c r="G314" s="353">
        <f t="shared" si="58"/>
        <v>1242.9807692307693</v>
      </c>
      <c r="H314" s="353">
        <f>'DCu-CLBD'!P68</f>
        <v>80.570778245192315</v>
      </c>
      <c r="I314" s="353">
        <f>I313</f>
        <v>28.034100000000002</v>
      </c>
      <c r="J314" s="353">
        <f>'TBI-CLBD'!K37</f>
        <v>377.08</v>
      </c>
      <c r="K314" s="353" t="e">
        <f>#REF!</f>
        <v>#REF!</v>
      </c>
      <c r="L314" s="348" t="e">
        <f>SUM(E314:K314)</f>
        <v>#VALUE!</v>
      </c>
      <c r="M314" s="348" t="e">
        <f>L314*'He so chung'!$D$16/100</f>
        <v>#VALUE!</v>
      </c>
      <c r="N314" s="349" t="e">
        <f>M314+L314</f>
        <v>#VALUE!</v>
      </c>
      <c r="O314" s="354">
        <f>'He so chung'!$D$18*R314</f>
        <v>310.74519230769232</v>
      </c>
      <c r="P314" s="354">
        <f>'He so chung'!$D$19*R314</f>
        <v>248.59615384615387</v>
      </c>
      <c r="Q314" s="411">
        <f>'He so chung'!$D$20*R314</f>
        <v>62.149038461538474</v>
      </c>
      <c r="R314" s="412">
        <f>'NC-CLBD'!N19/100</f>
        <v>4.6500000000000007E-2</v>
      </c>
    </row>
    <row r="315" spans="1:18" s="4" customFormat="1" ht="20.25" hidden="1" customHeight="1">
      <c r="A315" s="315"/>
      <c r="B315" s="314"/>
      <c r="C315" s="318"/>
      <c r="D315" s="351" t="s">
        <v>11</v>
      </c>
      <c r="E315" s="352" t="e">
        <f>'NC-CLBD'!O21/100</f>
        <v>#VALUE!</v>
      </c>
      <c r="F315" s="353"/>
      <c r="G315" s="353">
        <f t="shared" si="58"/>
        <v>1657.3076923076924</v>
      </c>
      <c r="H315" s="353">
        <f>'DCu-CLBD'!P69</f>
        <v>107.42770432692309</v>
      </c>
      <c r="I315" s="353">
        <f>I314</f>
        <v>28.034100000000002</v>
      </c>
      <c r="J315" s="353">
        <f>'TBI-CLBD'!M37</f>
        <v>497.92</v>
      </c>
      <c r="K315" s="353" t="e">
        <f>#REF!</f>
        <v>#REF!</v>
      </c>
      <c r="L315" s="348" t="e">
        <f>SUM(E315:K315)</f>
        <v>#VALUE!</v>
      </c>
      <c r="M315" s="348" t="e">
        <f>L315*'He so chung'!$D$16/100</f>
        <v>#VALUE!</v>
      </c>
      <c r="N315" s="349" t="e">
        <f>M315+L315</f>
        <v>#VALUE!</v>
      </c>
      <c r="O315" s="354">
        <f>'He so chung'!$D$18*R315</f>
        <v>414.32692307692309</v>
      </c>
      <c r="P315" s="354">
        <f>'He so chung'!$D$19*R315</f>
        <v>331.46153846153845</v>
      </c>
      <c r="Q315" s="411">
        <f>'He so chung'!$D$20*R315</f>
        <v>82.865384615384627</v>
      </c>
      <c r="R315" s="412">
        <f>'NC-CLBD'!N21/100</f>
        <v>6.2E-2</v>
      </c>
    </row>
    <row r="316" spans="1:18" s="4" customFormat="1" ht="20.25" hidden="1" customHeight="1">
      <c r="A316" s="315"/>
      <c r="B316" s="314"/>
      <c r="C316" s="318"/>
      <c r="D316" s="351" t="s">
        <v>12</v>
      </c>
      <c r="E316" s="352" t="e">
        <f>'NC-CLBD'!O23/100</f>
        <v>#VALUE!</v>
      </c>
      <c r="F316" s="353"/>
      <c r="G316" s="353">
        <f t="shared" si="58"/>
        <v>1817.6923076923076</v>
      </c>
      <c r="H316" s="353">
        <f>'DCu-CLBD'!P70</f>
        <v>118.17047475961542</v>
      </c>
      <c r="I316" s="353">
        <f>I315</f>
        <v>28.034100000000002</v>
      </c>
      <c r="J316" s="353">
        <f>'TBI-CLBD'!O37</f>
        <v>551.96</v>
      </c>
      <c r="K316" s="353" t="e">
        <f>#REF!</f>
        <v>#REF!</v>
      </c>
      <c r="L316" s="348" t="e">
        <f>SUM(E316:K316)</f>
        <v>#VALUE!</v>
      </c>
      <c r="M316" s="348" t="e">
        <f>L316*'He so chung'!$D$16/100</f>
        <v>#VALUE!</v>
      </c>
      <c r="N316" s="349" t="e">
        <f>M316+L316</f>
        <v>#VALUE!</v>
      </c>
      <c r="O316" s="354">
        <f>'He so chung'!$D$18*R316</f>
        <v>454.42307692307696</v>
      </c>
      <c r="P316" s="354">
        <f>'He so chung'!$D$19*R316</f>
        <v>363.53846153846155</v>
      </c>
      <c r="Q316" s="411">
        <f>'He so chung'!$D$20*R316</f>
        <v>90.884615384615401</v>
      </c>
      <c r="R316" s="412">
        <f>'NC-CLBD'!N23/100</f>
        <v>6.8000000000000005E-2</v>
      </c>
    </row>
    <row r="317" spans="1:18" s="4" customFormat="1" ht="21.75" hidden="1" customHeight="1">
      <c r="A317" s="315"/>
      <c r="B317" s="314"/>
      <c r="C317" s="338"/>
      <c r="D317" s="351"/>
      <c r="E317" s="352"/>
      <c r="F317" s="353"/>
      <c r="G317" s="353">
        <f t="shared" si="58"/>
        <v>0</v>
      </c>
      <c r="H317" s="353"/>
      <c r="I317" s="353"/>
      <c r="J317" s="353"/>
      <c r="K317" s="353"/>
      <c r="L317" s="348"/>
      <c r="M317" s="348"/>
      <c r="N317" s="349"/>
      <c r="O317" s="354"/>
      <c r="P317" s="354"/>
      <c r="Q317" s="411"/>
      <c r="R317" s="412"/>
    </row>
    <row r="318" spans="1:18" s="4" customFormat="1" ht="20.25" hidden="1" customHeight="1">
      <c r="A318" s="315" t="s">
        <v>11</v>
      </c>
      <c r="B318" s="314" t="s">
        <v>77</v>
      </c>
      <c r="C318" s="318" t="s">
        <v>278</v>
      </c>
      <c r="D318" s="351" t="s">
        <v>9</v>
      </c>
      <c r="E318" s="352" t="e">
        <f>'NC-CLBD'!O28/100</f>
        <v>#VALUE!</v>
      </c>
      <c r="F318" s="353">
        <f>'NC-CLBD'!O29/100</f>
        <v>10951.6</v>
      </c>
      <c r="G318" s="353">
        <f t="shared" si="58"/>
        <v>15971.634615384613</v>
      </c>
      <c r="H318" s="353">
        <f>'DCu-CLBD'!P112</f>
        <v>870.28378365384583</v>
      </c>
      <c r="I318" s="353">
        <f>'VL-CLBD'!N39</f>
        <v>560.68200000000002</v>
      </c>
      <c r="J318" s="353">
        <f>'TBI-CLBD'!I87</f>
        <v>3994</v>
      </c>
      <c r="K318" s="353" t="e">
        <f>#REF!</f>
        <v>#REF!</v>
      </c>
      <c r="L318" s="348" t="e">
        <f>SUM(E318:K318)</f>
        <v>#VALUE!</v>
      </c>
      <c r="M318" s="348" t="e">
        <f>L318*'He so chung'!$D$16/100</f>
        <v>#VALUE!</v>
      </c>
      <c r="N318" s="349" t="e">
        <f>M318+L318</f>
        <v>#VALUE!</v>
      </c>
      <c r="O318" s="354">
        <f>'He so chung'!$D$18*R318</f>
        <v>3992.9086538461538</v>
      </c>
      <c r="P318" s="354">
        <f>'He so chung'!$D$19*R318</f>
        <v>3194.3269230769229</v>
      </c>
      <c r="Q318" s="411">
        <f>'He so chung'!$D$20*R318</f>
        <v>798.58173076923083</v>
      </c>
      <c r="R318" s="412">
        <f>'NC-CLBD'!N28/100</f>
        <v>0.59750000000000003</v>
      </c>
    </row>
    <row r="319" spans="1:18" s="4" customFormat="1" ht="20.25" hidden="1" customHeight="1">
      <c r="A319" s="315"/>
      <c r="B319" s="314"/>
      <c r="C319" s="318"/>
      <c r="D319" s="351" t="s">
        <v>10</v>
      </c>
      <c r="E319" s="352" t="e">
        <f>'NC-CLBD'!O32/100</f>
        <v>#VALUE!</v>
      </c>
      <c r="F319" s="353">
        <f>'NC-CLBD'!O33/100</f>
        <v>13139.3</v>
      </c>
      <c r="G319" s="353">
        <f t="shared" si="58"/>
        <v>19165.961538461539</v>
      </c>
      <c r="H319" s="353">
        <f>'DCu-CLBD'!P113</f>
        <v>1087.8547295673072</v>
      </c>
      <c r="I319" s="353">
        <f>I318</f>
        <v>560.68200000000002</v>
      </c>
      <c r="J319" s="353">
        <f>'TBI-CLBD'!K87</f>
        <v>4606.6400000000003</v>
      </c>
      <c r="K319" s="353" t="e">
        <f>#REF!</f>
        <v>#REF!</v>
      </c>
      <c r="L319" s="348" t="e">
        <f>SUM(E319:K319)</f>
        <v>#VALUE!</v>
      </c>
      <c r="M319" s="348" t="e">
        <f>L319*'He so chung'!$D$16/100</f>
        <v>#VALUE!</v>
      </c>
      <c r="N319" s="349" t="e">
        <f>M319+L319</f>
        <v>#VALUE!</v>
      </c>
      <c r="O319" s="354">
        <f>'He so chung'!$D$18*R319</f>
        <v>4791.4903846153848</v>
      </c>
      <c r="P319" s="354">
        <f>'He so chung'!$D$19*R319</f>
        <v>3833.1923076923076</v>
      </c>
      <c r="Q319" s="411">
        <f>'He so chung'!$D$20*R319</f>
        <v>958.29807692307713</v>
      </c>
      <c r="R319" s="412">
        <f>'NC-CLBD'!N32/100</f>
        <v>0.71700000000000008</v>
      </c>
    </row>
    <row r="320" spans="1:18" s="4" customFormat="1" ht="20.25" hidden="1" customHeight="1">
      <c r="A320" s="315"/>
      <c r="B320" s="314"/>
      <c r="C320" s="318"/>
      <c r="D320" s="351" t="s">
        <v>11</v>
      </c>
      <c r="E320" s="352" t="e">
        <f>'NC-CLBD'!O36/100</f>
        <v>#VALUE!</v>
      </c>
      <c r="F320" s="353">
        <f>'NC-CLBD'!O37/100</f>
        <v>15759.3</v>
      </c>
      <c r="G320" s="353">
        <f t="shared" si="58"/>
        <v>23001.826923076922</v>
      </c>
      <c r="H320" s="353">
        <f>'DCu-CLBD'!P114</f>
        <v>1450.4729727564097</v>
      </c>
      <c r="I320" s="353">
        <f>I319</f>
        <v>560.68200000000002</v>
      </c>
      <c r="J320" s="353">
        <f>'TBI-CLBD'!M87</f>
        <v>6144.16</v>
      </c>
      <c r="K320" s="353" t="e">
        <f>#REF!</f>
        <v>#REF!</v>
      </c>
      <c r="L320" s="348" t="e">
        <f>SUM(E320:K320)</f>
        <v>#VALUE!</v>
      </c>
      <c r="M320" s="348" t="e">
        <f>L320*'He so chung'!$D$16/100</f>
        <v>#VALUE!</v>
      </c>
      <c r="N320" s="349" t="e">
        <f>M320+L320</f>
        <v>#VALUE!</v>
      </c>
      <c r="O320" s="354">
        <f>'He so chung'!$D$18*R320</f>
        <v>5750.4567307692314</v>
      </c>
      <c r="P320" s="354">
        <f>'He so chung'!$D$19*R320</f>
        <v>4600.3653846153848</v>
      </c>
      <c r="Q320" s="411">
        <f>'He so chung'!$D$20*R320</f>
        <v>1150.0913461538464</v>
      </c>
      <c r="R320" s="412">
        <f>'NC-CLBD'!N36/100</f>
        <v>0.86050000000000015</v>
      </c>
    </row>
    <row r="321" spans="1:18" s="4" customFormat="1" ht="20.25" hidden="1" customHeight="1">
      <c r="A321" s="315"/>
      <c r="B321" s="314"/>
      <c r="C321" s="318"/>
      <c r="D321" s="351" t="s">
        <v>12</v>
      </c>
      <c r="E321" s="352" t="e">
        <f>'NC-CLBD'!O40/100</f>
        <v>#VALUE!</v>
      </c>
      <c r="F321" s="353">
        <f>'NC-CLBD'!O41/100</f>
        <v>18916.400000000001</v>
      </c>
      <c r="G321" s="353">
        <f t="shared" si="58"/>
        <v>27599.519230769227</v>
      </c>
      <c r="H321" s="353">
        <f>'DCu-CLBD'!P115</f>
        <v>1595.5202700320508</v>
      </c>
      <c r="I321" s="353">
        <f>I320</f>
        <v>560.68200000000002</v>
      </c>
      <c r="J321" s="353">
        <f>'TBI-CLBD'!O87</f>
        <v>6763.4</v>
      </c>
      <c r="K321" s="353" t="e">
        <f>#REF!</f>
        <v>#REF!</v>
      </c>
      <c r="L321" s="348" t="e">
        <f>SUM(E321:K321)</f>
        <v>#VALUE!</v>
      </c>
      <c r="M321" s="348" t="e">
        <f>L321*'He so chung'!$D$16/100</f>
        <v>#VALUE!</v>
      </c>
      <c r="N321" s="349" t="e">
        <f>M321+L321</f>
        <v>#VALUE!</v>
      </c>
      <c r="O321" s="354">
        <f>'He so chung'!$D$18*R321</f>
        <v>6899.8798076923076</v>
      </c>
      <c r="P321" s="354">
        <f>'He so chung'!$D$19*R321</f>
        <v>5519.9038461538457</v>
      </c>
      <c r="Q321" s="411">
        <f>'He so chung'!$D$20*R321</f>
        <v>1379.9759615384617</v>
      </c>
      <c r="R321" s="412">
        <f>'NC-CLBD'!N40/100</f>
        <v>1.0325</v>
      </c>
    </row>
    <row r="322" spans="1:18" s="4" customFormat="1" ht="21.75" hidden="1" customHeight="1">
      <c r="A322" s="315"/>
      <c r="B322" s="314"/>
      <c r="C322" s="318"/>
      <c r="D322" s="351"/>
      <c r="E322" s="352"/>
      <c r="F322" s="353"/>
      <c r="G322" s="353">
        <f t="shared" si="58"/>
        <v>0</v>
      </c>
      <c r="H322" s="353"/>
      <c r="I322" s="353"/>
      <c r="J322" s="353"/>
      <c r="K322" s="353"/>
      <c r="L322" s="348"/>
      <c r="M322" s="348"/>
      <c r="N322" s="349"/>
      <c r="O322" s="354"/>
      <c r="P322" s="354"/>
      <c r="Q322" s="411"/>
      <c r="R322" s="412"/>
    </row>
    <row r="323" spans="1:18" s="4" customFormat="1" ht="22.5" hidden="1" customHeight="1">
      <c r="A323" s="339" t="s">
        <v>4</v>
      </c>
      <c r="B323" s="340" t="s">
        <v>382</v>
      </c>
      <c r="C323" s="341"/>
      <c r="D323" s="355"/>
      <c r="E323" s="356"/>
      <c r="F323" s="357"/>
      <c r="G323" s="353">
        <f t="shared" si="58"/>
        <v>0</v>
      </c>
      <c r="H323" s="357"/>
      <c r="I323" s="357"/>
      <c r="J323" s="357"/>
      <c r="K323" s="357"/>
      <c r="L323" s="358"/>
      <c r="M323" s="357"/>
      <c r="N323" s="359"/>
      <c r="O323" s="360"/>
      <c r="P323" s="354"/>
      <c r="Q323" s="411"/>
      <c r="R323" s="412"/>
    </row>
    <row r="324" spans="1:18" s="4" customFormat="1" ht="22.5" hidden="1" customHeight="1">
      <c r="A324" s="315" t="s">
        <v>9</v>
      </c>
      <c r="B324" s="314" t="s">
        <v>383</v>
      </c>
      <c r="C324" s="318"/>
      <c r="D324" s="351"/>
      <c r="E324" s="352"/>
      <c r="F324" s="353"/>
      <c r="G324" s="353"/>
      <c r="H324" s="353"/>
      <c r="I324" s="353"/>
      <c r="J324" s="353"/>
      <c r="K324" s="353"/>
      <c r="L324" s="348"/>
      <c r="M324" s="353"/>
      <c r="N324" s="349"/>
      <c r="O324" s="354"/>
      <c r="P324" s="354"/>
      <c r="Q324" s="411"/>
      <c r="R324" s="412"/>
    </row>
    <row r="325" spans="1:18" s="4" customFormat="1" ht="16.5" hidden="1" customHeight="1">
      <c r="A325" s="338"/>
      <c r="B325" s="338"/>
      <c r="C325" s="338"/>
      <c r="D325" s="351"/>
      <c r="E325" s="352"/>
      <c r="F325" s="353"/>
      <c r="G325" s="353"/>
      <c r="H325" s="353"/>
      <c r="I325" s="353"/>
      <c r="J325" s="353"/>
      <c r="K325" s="353"/>
      <c r="L325" s="348"/>
      <c r="M325" s="353"/>
      <c r="N325" s="349"/>
      <c r="O325" s="354"/>
      <c r="P325" s="354"/>
      <c r="Q325" s="411"/>
      <c r="R325" s="412"/>
    </row>
    <row r="326" spans="1:18" s="4" customFormat="1" ht="20.25" hidden="1" customHeight="1">
      <c r="A326" s="315" t="s">
        <v>10</v>
      </c>
      <c r="B326" s="314" t="s">
        <v>80</v>
      </c>
      <c r="C326" s="318" t="s">
        <v>278</v>
      </c>
      <c r="D326" s="351" t="s">
        <v>9</v>
      </c>
      <c r="E326" s="352" t="e">
        <f>'NC-CLBD'!#REF!/100</f>
        <v>#REF!</v>
      </c>
      <c r="F326" s="353"/>
      <c r="G326" s="353" t="e">
        <f>$Q$1*10*P326</f>
        <v>#REF!</v>
      </c>
      <c r="H326" s="353" t="e">
        <f>'DCu-CLBD'!#REF!</f>
        <v>#REF!</v>
      </c>
      <c r="I326" s="353" t="e">
        <f>'VL-CLBD'!#REF!</f>
        <v>#REF!</v>
      </c>
      <c r="J326" s="353" t="e">
        <f>'TBI-CLBD'!#REF!</f>
        <v>#REF!</v>
      </c>
      <c r="K326" s="353" t="e">
        <f>#REF!</f>
        <v>#REF!</v>
      </c>
      <c r="L326" s="348" t="e">
        <f>SUM(E326:K326)</f>
        <v>#REF!</v>
      </c>
      <c r="M326" s="353" t="e">
        <f>L326*0.2</f>
        <v>#REF!</v>
      </c>
      <c r="N326" s="349" t="e">
        <f>M326+L326</f>
        <v>#REF!</v>
      </c>
      <c r="O326" s="354" t="e">
        <f>'He so chung'!$D$21*R326</f>
        <v>#REF!</v>
      </c>
      <c r="P326" s="354" t="e">
        <f>'He so chung'!$D$22*R326</f>
        <v>#REF!</v>
      </c>
      <c r="Q326" s="411" t="e">
        <f>'He so chung'!$D$23*R326</f>
        <v>#REF!</v>
      </c>
      <c r="R326" s="412" t="e">
        <f>'NC-CLBD'!#REF!/100</f>
        <v>#REF!</v>
      </c>
    </row>
    <row r="327" spans="1:18" s="4" customFormat="1" ht="20.25" hidden="1" customHeight="1">
      <c r="A327" s="315"/>
      <c r="B327" s="314"/>
      <c r="C327" s="318"/>
      <c r="D327" s="351" t="s">
        <v>10</v>
      </c>
      <c r="E327" s="352" t="e">
        <f>'NC-CLBD'!#REF!/100</f>
        <v>#REF!</v>
      </c>
      <c r="F327" s="353"/>
      <c r="G327" s="353" t="e">
        <f>$Q$1*10*P327</f>
        <v>#REF!</v>
      </c>
      <c r="H327" s="353" t="e">
        <f>'DCu-CLBD'!#REF!</f>
        <v>#REF!</v>
      </c>
      <c r="I327" s="353" t="e">
        <f>I326</f>
        <v>#REF!</v>
      </c>
      <c r="J327" s="353" t="e">
        <f>'TBI-CLBD'!#REF!</f>
        <v>#REF!</v>
      </c>
      <c r="K327" s="353" t="e">
        <f>#REF!</f>
        <v>#REF!</v>
      </c>
      <c r="L327" s="348" t="e">
        <f>SUM(E327:K327)</f>
        <v>#REF!</v>
      </c>
      <c r="M327" s="353" t="e">
        <f>L327*0.2</f>
        <v>#REF!</v>
      </c>
      <c r="N327" s="349" t="e">
        <f>M327+L327</f>
        <v>#REF!</v>
      </c>
      <c r="O327" s="354" t="e">
        <f>'He so chung'!$D$21*R327</f>
        <v>#REF!</v>
      </c>
      <c r="P327" s="354" t="e">
        <f>'He so chung'!$D$22*R327</f>
        <v>#REF!</v>
      </c>
      <c r="Q327" s="411" t="e">
        <f>'He so chung'!$D$23*R327</f>
        <v>#REF!</v>
      </c>
      <c r="R327" s="412" t="e">
        <f>'NC-CLBD'!#REF!/100</f>
        <v>#REF!</v>
      </c>
    </row>
    <row r="328" spans="1:18" s="4" customFormat="1" ht="20.25" hidden="1" customHeight="1">
      <c r="A328" s="315"/>
      <c r="B328" s="314"/>
      <c r="C328" s="318"/>
      <c r="D328" s="351" t="s">
        <v>11</v>
      </c>
      <c r="E328" s="352" t="e">
        <f>'NC-CLBD'!#REF!/100</f>
        <v>#REF!</v>
      </c>
      <c r="F328" s="353"/>
      <c r="G328" s="353" t="e">
        <f>$Q$1*10*P328</f>
        <v>#REF!</v>
      </c>
      <c r="H328" s="353" t="e">
        <f>'DCu-CLBD'!#REF!</f>
        <v>#REF!</v>
      </c>
      <c r="I328" s="353" t="e">
        <f>I327</f>
        <v>#REF!</v>
      </c>
      <c r="J328" s="353" t="e">
        <f>'TBI-CLBD'!#REF!</f>
        <v>#REF!</v>
      </c>
      <c r="K328" s="353" t="e">
        <f>#REF!</f>
        <v>#REF!</v>
      </c>
      <c r="L328" s="348" t="e">
        <f>SUM(E328:K328)</f>
        <v>#REF!</v>
      </c>
      <c r="M328" s="353" t="e">
        <f>L328*0.2</f>
        <v>#REF!</v>
      </c>
      <c r="N328" s="349" t="e">
        <f>M328+L328</f>
        <v>#REF!</v>
      </c>
      <c r="O328" s="354" t="e">
        <f>'He so chung'!$D$21*R328</f>
        <v>#REF!</v>
      </c>
      <c r="P328" s="354" t="e">
        <f>'He so chung'!$D$22*R328</f>
        <v>#REF!</v>
      </c>
      <c r="Q328" s="411" t="e">
        <f>'He so chung'!$D$23*R328</f>
        <v>#REF!</v>
      </c>
      <c r="R328" s="412" t="e">
        <f>'NC-CLBD'!#REF!/100</f>
        <v>#REF!</v>
      </c>
    </row>
    <row r="329" spans="1:18" s="4" customFormat="1" ht="20.25" hidden="1" customHeight="1">
      <c r="A329" s="315"/>
      <c r="B329" s="314"/>
      <c r="C329" s="318"/>
      <c r="D329" s="351" t="s">
        <v>12</v>
      </c>
      <c r="E329" s="352" t="e">
        <f>'NC-CLBD'!#REF!/100</f>
        <v>#REF!</v>
      </c>
      <c r="F329" s="353"/>
      <c r="G329" s="353" t="e">
        <f>$Q$1*10*P329</f>
        <v>#REF!</v>
      </c>
      <c r="H329" s="353" t="e">
        <f>'DCu-CLBD'!#REF!</f>
        <v>#REF!</v>
      </c>
      <c r="I329" s="353" t="e">
        <f>I328</f>
        <v>#REF!</v>
      </c>
      <c r="J329" s="353" t="e">
        <f>'TBI-CLBD'!#REF!</f>
        <v>#REF!</v>
      </c>
      <c r="K329" s="353" t="e">
        <f>#REF!</f>
        <v>#REF!</v>
      </c>
      <c r="L329" s="348" t="e">
        <f>SUM(E329:K329)</f>
        <v>#REF!</v>
      </c>
      <c r="M329" s="353" t="e">
        <f>L329*0.2</f>
        <v>#REF!</v>
      </c>
      <c r="N329" s="349" t="e">
        <f>M329+L329</f>
        <v>#REF!</v>
      </c>
      <c r="O329" s="354" t="e">
        <f>'He so chung'!$D$21*R329</f>
        <v>#REF!</v>
      </c>
      <c r="P329" s="354" t="e">
        <f>'He so chung'!$D$22*R329</f>
        <v>#REF!</v>
      </c>
      <c r="Q329" s="411" t="e">
        <f>'He so chung'!$D$23*R329</f>
        <v>#REF!</v>
      </c>
      <c r="R329" s="412" t="e">
        <f>'NC-CLBD'!#REF!/100</f>
        <v>#REF!</v>
      </c>
    </row>
    <row r="330" spans="1:18" s="4" customFormat="1" ht="17.25" hidden="1" customHeight="1">
      <c r="A330" s="338"/>
      <c r="B330" s="338"/>
      <c r="C330" s="338"/>
      <c r="D330" s="361"/>
      <c r="E330" s="362"/>
      <c r="F330" s="363"/>
      <c r="G330" s="363"/>
      <c r="H330" s="363"/>
      <c r="I330" s="363"/>
      <c r="J330" s="363"/>
      <c r="K330" s="363"/>
      <c r="L330" s="364"/>
      <c r="M330" s="363"/>
      <c r="N330" s="365"/>
      <c r="O330" s="366"/>
      <c r="P330" s="354"/>
      <c r="Q330" s="411"/>
      <c r="R330" s="412"/>
    </row>
    <row r="331" spans="1:18" s="4" customFormat="1" ht="21" hidden="1" customHeight="1">
      <c r="A331" s="342"/>
      <c r="B331" s="342"/>
      <c r="C331" s="342"/>
      <c r="D331" s="367"/>
      <c r="E331" s="368"/>
      <c r="F331" s="368"/>
      <c r="G331" s="368"/>
      <c r="H331" s="368"/>
      <c r="I331" s="368"/>
      <c r="J331" s="368"/>
      <c r="K331" s="368"/>
      <c r="L331" s="369"/>
      <c r="M331" s="368"/>
      <c r="N331" s="370"/>
      <c r="O331" s="371"/>
      <c r="P331" s="354"/>
      <c r="Q331" s="411"/>
      <c r="R331" s="412"/>
    </row>
    <row r="332" spans="1:18" s="4" customFormat="1" ht="20.25" hidden="1" customHeight="1">
      <c r="A332" s="343"/>
      <c r="B332" s="343"/>
      <c r="C332" s="343"/>
      <c r="D332" s="372"/>
      <c r="E332" s="373"/>
      <c r="F332" s="373"/>
      <c r="G332" s="373"/>
      <c r="H332" s="373"/>
      <c r="I332" s="373"/>
      <c r="J332" s="373"/>
      <c r="K332" s="373"/>
      <c r="L332" s="374"/>
      <c r="M332" s="373"/>
      <c r="N332" s="375"/>
      <c r="O332" s="376"/>
      <c r="P332" s="354"/>
      <c r="Q332" s="411"/>
      <c r="R332" s="412"/>
    </row>
    <row r="333" spans="1:18" s="4" customFormat="1" ht="18" hidden="1" customHeight="1">
      <c r="A333" s="970" t="s">
        <v>376</v>
      </c>
      <c r="B333" s="972" t="s">
        <v>377</v>
      </c>
      <c r="C333" s="974" t="s">
        <v>378</v>
      </c>
      <c r="D333" s="970" t="s">
        <v>91</v>
      </c>
      <c r="E333" s="964" t="s">
        <v>368</v>
      </c>
      <c r="F333" s="965"/>
      <c r="G333" s="965"/>
      <c r="H333" s="965"/>
      <c r="I333" s="965"/>
      <c r="J333" s="965"/>
      <c r="K333" s="965"/>
      <c r="L333" s="966"/>
      <c r="M333" s="324" t="s">
        <v>63</v>
      </c>
      <c r="N333" s="974" t="s">
        <v>379</v>
      </c>
      <c r="O333" s="323" t="s">
        <v>18</v>
      </c>
      <c r="P333" s="418" t="s">
        <v>19</v>
      </c>
      <c r="Q333" s="419" t="s">
        <v>19</v>
      </c>
      <c r="R333" s="420" t="s">
        <v>16</v>
      </c>
    </row>
    <row r="334" spans="1:18" s="4" customFormat="1" ht="19.5" hidden="1" customHeight="1">
      <c r="A334" s="971"/>
      <c r="B334" s="973"/>
      <c r="C334" s="975"/>
      <c r="D334" s="971"/>
      <c r="E334" s="327" t="s">
        <v>369</v>
      </c>
      <c r="F334" s="326" t="s">
        <v>370</v>
      </c>
      <c r="G334" s="328">
        <v>0</v>
      </c>
      <c r="H334" s="326" t="s">
        <v>257</v>
      </c>
      <c r="I334" s="326" t="s">
        <v>280</v>
      </c>
      <c r="J334" s="326" t="s">
        <v>261</v>
      </c>
      <c r="K334" s="326" t="s">
        <v>371</v>
      </c>
      <c r="L334" s="326" t="s">
        <v>372</v>
      </c>
      <c r="M334" s="326" t="s">
        <v>48</v>
      </c>
      <c r="N334" s="975"/>
      <c r="O334" s="325" t="s">
        <v>20</v>
      </c>
      <c r="P334" s="325" t="s">
        <v>21</v>
      </c>
      <c r="Q334" s="421" t="s">
        <v>22</v>
      </c>
      <c r="R334" s="422" t="s">
        <v>17</v>
      </c>
    </row>
    <row r="335" spans="1:18" s="4" customFormat="1" ht="14.25" hidden="1" customHeight="1">
      <c r="A335" s="329" t="s">
        <v>52</v>
      </c>
      <c r="B335" s="330" t="s">
        <v>53</v>
      </c>
      <c r="C335" s="330" t="s">
        <v>54</v>
      </c>
      <c r="D335" s="331" t="s">
        <v>55</v>
      </c>
      <c r="E335" s="332" t="s">
        <v>56</v>
      </c>
      <c r="F335" s="332" t="s">
        <v>57</v>
      </c>
      <c r="G335" s="332"/>
      <c r="H335" s="332" t="s">
        <v>58</v>
      </c>
      <c r="I335" s="332" t="s">
        <v>59</v>
      </c>
      <c r="J335" s="332" t="s">
        <v>60</v>
      </c>
      <c r="K335" s="332" t="s">
        <v>61</v>
      </c>
      <c r="L335" s="333" t="s">
        <v>373</v>
      </c>
      <c r="M335" s="333" t="s">
        <v>374</v>
      </c>
      <c r="N335" s="334" t="s">
        <v>375</v>
      </c>
      <c r="O335" s="332" t="s">
        <v>62</v>
      </c>
      <c r="P335" s="408"/>
      <c r="Q335" s="408"/>
      <c r="R335" s="409"/>
    </row>
    <row r="336" spans="1:18" s="4" customFormat="1" ht="20.25" hidden="1" customHeight="1">
      <c r="A336" s="315" t="s">
        <v>11</v>
      </c>
      <c r="B336" s="402" t="s">
        <v>392</v>
      </c>
      <c r="C336" s="318" t="s">
        <v>278</v>
      </c>
      <c r="D336" s="351" t="s">
        <v>15</v>
      </c>
      <c r="E336" s="352" t="e">
        <f>'NC-CLBD'!#REF!/100</f>
        <v>#REF!</v>
      </c>
      <c r="F336" s="353"/>
      <c r="G336" s="353" t="e">
        <f>$Q$1*10*P336</f>
        <v>#REF!</v>
      </c>
      <c r="H336" s="353"/>
      <c r="I336" s="353"/>
      <c r="J336" s="353"/>
      <c r="K336" s="353"/>
      <c r="L336" s="348" t="e">
        <f>SUM(E336:K336)</f>
        <v>#REF!</v>
      </c>
      <c r="M336" s="353" t="e">
        <f>L336*'He so chung'!$D$17/100</f>
        <v>#REF!</v>
      </c>
      <c r="N336" s="349" t="e">
        <f>M336+L336</f>
        <v>#REF!</v>
      </c>
      <c r="O336" s="354" t="e">
        <f>'He so chung'!$D$21*R336</f>
        <v>#REF!</v>
      </c>
      <c r="P336" s="354" t="e">
        <f>'He so chung'!$D$22*R336</f>
        <v>#REF!</v>
      </c>
      <c r="Q336" s="411" t="e">
        <f>'He so chung'!$D$23*R336</f>
        <v>#REF!</v>
      </c>
      <c r="R336" s="457" t="e">
        <f>'NC-CLBD'!#REF!/100</f>
        <v>#REF!</v>
      </c>
    </row>
    <row r="337" spans="1:18" s="4" customFormat="1" ht="17.25" hidden="1" customHeight="1">
      <c r="A337" s="315"/>
      <c r="B337" s="402" t="s">
        <v>393</v>
      </c>
      <c r="C337" s="318"/>
      <c r="D337" s="351"/>
      <c r="E337" s="352"/>
      <c r="F337" s="353"/>
      <c r="G337" s="353"/>
      <c r="H337" s="353"/>
      <c r="I337" s="353"/>
      <c r="J337" s="353"/>
      <c r="K337" s="353"/>
      <c r="L337" s="348"/>
      <c r="M337" s="353"/>
      <c r="N337" s="349"/>
      <c r="O337" s="354"/>
      <c r="P337" s="354"/>
      <c r="Q337" s="411"/>
      <c r="R337" s="412"/>
    </row>
    <row r="338" spans="1:18" s="4" customFormat="1" ht="18" hidden="1" customHeight="1">
      <c r="A338" s="315"/>
      <c r="B338" s="314"/>
      <c r="C338" s="318"/>
      <c r="D338" s="351"/>
      <c r="E338" s="352"/>
      <c r="F338" s="353"/>
      <c r="G338" s="353">
        <f t="shared" ref="G338:G353" si="59">$Q$1*10*P338</f>
        <v>0</v>
      </c>
      <c r="H338" s="353"/>
      <c r="I338" s="353"/>
      <c r="J338" s="353"/>
      <c r="K338" s="353"/>
      <c r="L338" s="348"/>
      <c r="M338" s="353"/>
      <c r="N338" s="349"/>
      <c r="O338" s="354"/>
      <c r="P338" s="354"/>
      <c r="Q338" s="411"/>
      <c r="R338" s="412"/>
    </row>
    <row r="339" spans="1:18" s="4" customFormat="1" ht="20.25" hidden="1" customHeight="1">
      <c r="A339" s="315" t="s">
        <v>12</v>
      </c>
      <c r="B339" s="314" t="s">
        <v>81</v>
      </c>
      <c r="C339" s="318" t="s">
        <v>278</v>
      </c>
      <c r="D339" s="351" t="s">
        <v>9</v>
      </c>
      <c r="E339" s="352" t="e">
        <f>'NC-CLBD'!O54/100</f>
        <v>#VALUE!</v>
      </c>
      <c r="F339" s="353"/>
      <c r="G339" s="353">
        <f t="shared" si="59"/>
        <v>748.46153846153834</v>
      </c>
      <c r="H339" s="353">
        <f>'DCu-CLBD'!P156</f>
        <v>152.08208669230774</v>
      </c>
      <c r="I339" s="353">
        <f>'VL-CLBD'!N71</f>
        <v>5618.5919999999996</v>
      </c>
      <c r="J339" s="353">
        <f>'TBI-CLBD'!I134</f>
        <v>178.73480000000001</v>
      </c>
      <c r="K339" s="353" t="e">
        <f>#REF!</f>
        <v>#REF!</v>
      </c>
      <c r="L339" s="348" t="e">
        <f>SUM(E339:K339)</f>
        <v>#VALUE!</v>
      </c>
      <c r="M339" s="353" t="e">
        <f>L339*'He so chung'!$D$17/100</f>
        <v>#VALUE!</v>
      </c>
      <c r="N339" s="349" t="e">
        <f>M339+L339</f>
        <v>#VALUE!</v>
      </c>
      <c r="O339" s="354">
        <f>'He so chung'!$D$21*R339</f>
        <v>172.14615384615382</v>
      </c>
      <c r="P339" s="354">
        <f>'He so chung'!$D$22*R339</f>
        <v>149.69230769230768</v>
      </c>
      <c r="Q339" s="411">
        <f>'He so chung'!$D$23*R339</f>
        <v>22.45384615384615</v>
      </c>
      <c r="R339" s="412">
        <f>'NC-CLBD'!N54/100</f>
        <v>2.7999999999999997E-2</v>
      </c>
    </row>
    <row r="340" spans="1:18" s="4" customFormat="1" ht="20.25" hidden="1" customHeight="1">
      <c r="A340" s="315"/>
      <c r="B340" s="314"/>
      <c r="C340" s="318"/>
      <c r="D340" s="351" t="s">
        <v>10</v>
      </c>
      <c r="E340" s="352" t="e">
        <f>'NC-CLBD'!O56/100</f>
        <v>#VALUE!</v>
      </c>
      <c r="F340" s="353"/>
      <c r="G340" s="353">
        <f t="shared" si="59"/>
        <v>866.07692307692321</v>
      </c>
      <c r="H340" s="353">
        <f>'DCu-CLBD'!P157</f>
        <v>190.10260836538467</v>
      </c>
      <c r="I340" s="353">
        <f>I339</f>
        <v>5618.5919999999996</v>
      </c>
      <c r="J340" s="353">
        <f>'TBI-CLBD'!K134</f>
        <v>187.7064</v>
      </c>
      <c r="K340" s="353" t="e">
        <f>#REF!</f>
        <v>#REF!</v>
      </c>
      <c r="L340" s="348" t="e">
        <f>SUM(E340:K340)</f>
        <v>#VALUE!</v>
      </c>
      <c r="M340" s="353" t="e">
        <f>L340*'He so chung'!$D$17/100</f>
        <v>#VALUE!</v>
      </c>
      <c r="N340" s="349" t="e">
        <f>M340+L340</f>
        <v>#VALUE!</v>
      </c>
      <c r="O340" s="354">
        <f>'He so chung'!$D$21*R340</f>
        <v>199.19769230769234</v>
      </c>
      <c r="P340" s="354">
        <f>'He so chung'!$D$22*R340</f>
        <v>173.21538461538464</v>
      </c>
      <c r="Q340" s="411">
        <f>'He so chung'!$D$23*R340</f>
        <v>25.982307692307696</v>
      </c>
      <c r="R340" s="412">
        <f>'NC-CLBD'!N56/100</f>
        <v>3.2400000000000005E-2</v>
      </c>
    </row>
    <row r="341" spans="1:18" s="4" customFormat="1" ht="20.25" hidden="1" customHeight="1">
      <c r="A341" s="315"/>
      <c r="B341" s="314"/>
      <c r="C341" s="318"/>
      <c r="D341" s="351" t="s">
        <v>11</v>
      </c>
      <c r="E341" s="352" t="e">
        <f>'NC-CLBD'!O58/100</f>
        <v>#VALUE!</v>
      </c>
      <c r="F341" s="353"/>
      <c r="G341" s="353">
        <f t="shared" si="59"/>
        <v>1154.7692307692307</v>
      </c>
      <c r="H341" s="353">
        <f>'DCu-CLBD'!P158</f>
        <v>253.47014448717957</v>
      </c>
      <c r="I341" s="353">
        <f>I340</f>
        <v>5618.5919999999996</v>
      </c>
      <c r="J341" s="353">
        <f>'TBI-CLBD'!M134</f>
        <v>210.12799999999999</v>
      </c>
      <c r="K341" s="353" t="e">
        <f>#REF!</f>
        <v>#REF!</v>
      </c>
      <c r="L341" s="348" t="e">
        <f>SUM(E341:K341)</f>
        <v>#VALUE!</v>
      </c>
      <c r="M341" s="353" t="e">
        <f>L341*'He so chung'!$D$17/100</f>
        <v>#VALUE!</v>
      </c>
      <c r="N341" s="349" t="e">
        <f>M341+L341</f>
        <v>#VALUE!</v>
      </c>
      <c r="O341" s="354">
        <f>'He so chung'!$D$21*R341</f>
        <v>265.59692307692308</v>
      </c>
      <c r="P341" s="354">
        <f>'He so chung'!$D$22*R341</f>
        <v>230.95384615384614</v>
      </c>
      <c r="Q341" s="411">
        <f>'He so chung'!$D$23*R341</f>
        <v>34.643076923076926</v>
      </c>
      <c r="R341" s="412">
        <f>'NC-CLBD'!N58/100</f>
        <v>4.3200000000000002E-2</v>
      </c>
    </row>
    <row r="342" spans="1:18" s="4" customFormat="1" ht="20.25" hidden="1" customHeight="1">
      <c r="A342" s="315"/>
      <c r="B342" s="314"/>
      <c r="C342" s="318"/>
      <c r="D342" s="351" t="s">
        <v>12</v>
      </c>
      <c r="E342" s="352" t="e">
        <f>'NC-CLBD'!O60/100</f>
        <v>#VALUE!</v>
      </c>
      <c r="F342" s="353"/>
      <c r="G342" s="353">
        <f t="shared" si="59"/>
        <v>1272.3846153846152</v>
      </c>
      <c r="H342" s="353">
        <f>'DCu-CLBD'!P159</f>
        <v>278.81715893589757</v>
      </c>
      <c r="I342" s="353">
        <f>I341</f>
        <v>5618.5919999999996</v>
      </c>
      <c r="J342" s="353">
        <f>'TBI-CLBD'!O134</f>
        <v>218.798</v>
      </c>
      <c r="K342" s="353" t="e">
        <f>#REF!</f>
        <v>#REF!</v>
      </c>
      <c r="L342" s="348" t="e">
        <f>SUM(E342:K342)</f>
        <v>#VALUE!</v>
      </c>
      <c r="M342" s="353" t="e">
        <f>L342*'He so chung'!$D$17/100</f>
        <v>#VALUE!</v>
      </c>
      <c r="N342" s="349" t="e">
        <f>M342+L342</f>
        <v>#VALUE!</v>
      </c>
      <c r="O342" s="354">
        <f>'He so chung'!$D$21*R342</f>
        <v>292.6484615384615</v>
      </c>
      <c r="P342" s="354">
        <f>'He so chung'!$D$22*R342</f>
        <v>254.47692307692304</v>
      </c>
      <c r="Q342" s="411">
        <f>'He so chung'!$D$23*R342</f>
        <v>38.171538461538461</v>
      </c>
      <c r="R342" s="412">
        <f>'NC-CLBD'!N60/100</f>
        <v>4.7599999999999996E-2</v>
      </c>
    </row>
    <row r="343" spans="1:18" s="4" customFormat="1" ht="16.5" hidden="1" customHeight="1">
      <c r="A343" s="315"/>
      <c r="B343" s="314"/>
      <c r="C343" s="318"/>
      <c r="D343" s="351"/>
      <c r="E343" s="352"/>
      <c r="F343" s="353"/>
      <c r="G343" s="353">
        <f t="shared" si="59"/>
        <v>0</v>
      </c>
      <c r="H343" s="353"/>
      <c r="I343" s="353"/>
      <c r="J343" s="353"/>
      <c r="K343" s="353"/>
      <c r="L343" s="348"/>
      <c r="M343" s="353"/>
      <c r="N343" s="349"/>
      <c r="O343" s="354"/>
      <c r="P343" s="354"/>
      <c r="Q343" s="411"/>
      <c r="R343" s="412"/>
    </row>
    <row r="344" spans="1:18" s="4" customFormat="1" ht="20.25" hidden="1" customHeight="1">
      <c r="A344" s="315" t="s">
        <v>13</v>
      </c>
      <c r="B344" s="314" t="s">
        <v>384</v>
      </c>
      <c r="C344" s="318" t="s">
        <v>278</v>
      </c>
      <c r="D344" s="351" t="s">
        <v>15</v>
      </c>
      <c r="E344" s="352" t="e">
        <f>'NC-CLBD'!O64/100</f>
        <v>#VALUE!</v>
      </c>
      <c r="F344" s="353"/>
      <c r="G344" s="353">
        <f t="shared" si="59"/>
        <v>801.92307692307679</v>
      </c>
      <c r="H344" s="353"/>
      <c r="I344" s="353"/>
      <c r="J344" s="353"/>
      <c r="K344" s="353"/>
      <c r="L344" s="348" t="e">
        <f>SUM(E344:K344)</f>
        <v>#VALUE!</v>
      </c>
      <c r="M344" s="353" t="e">
        <f>L344*'He so chung'!$D$17/100</f>
        <v>#VALUE!</v>
      </c>
      <c r="N344" s="349" t="e">
        <f>M344+L344</f>
        <v>#VALUE!</v>
      </c>
      <c r="O344" s="354">
        <f>'He so chung'!$D$21*R344</f>
        <v>184.44230769230768</v>
      </c>
      <c r="P344" s="354">
        <f>'He so chung'!$D$22*R344</f>
        <v>160.38461538461536</v>
      </c>
      <c r="Q344" s="411">
        <f>'He so chung'!$D$23*R344</f>
        <v>24.057692307692307</v>
      </c>
      <c r="R344" s="412">
        <f>'NC-CLBD'!N64/100</f>
        <v>0.03</v>
      </c>
    </row>
    <row r="345" spans="1:18" s="4" customFormat="1" ht="20.25" hidden="1" customHeight="1">
      <c r="A345" s="315"/>
      <c r="B345" s="314" t="s">
        <v>385</v>
      </c>
      <c r="C345" s="318"/>
      <c r="D345" s="351"/>
      <c r="E345" s="352"/>
      <c r="F345" s="353"/>
      <c r="G345" s="353">
        <f t="shared" si="59"/>
        <v>0</v>
      </c>
      <c r="H345" s="353"/>
      <c r="I345" s="353"/>
      <c r="J345" s="353"/>
      <c r="K345" s="353"/>
      <c r="L345" s="348"/>
      <c r="M345" s="353"/>
      <c r="N345" s="349"/>
      <c r="O345" s="354"/>
      <c r="P345" s="354"/>
      <c r="Q345" s="411"/>
      <c r="R345" s="412"/>
    </row>
    <row r="346" spans="1:18" s="4" customFormat="1" ht="16.5" hidden="1" customHeight="1">
      <c r="A346" s="315"/>
      <c r="B346" s="314"/>
      <c r="C346" s="318"/>
      <c r="D346" s="351"/>
      <c r="E346" s="352"/>
      <c r="F346" s="353"/>
      <c r="G346" s="353">
        <f t="shared" si="59"/>
        <v>0</v>
      </c>
      <c r="H346" s="353"/>
      <c r="I346" s="353"/>
      <c r="J346" s="353"/>
      <c r="K346" s="353"/>
      <c r="L346" s="348"/>
      <c r="M346" s="353"/>
      <c r="N346" s="349"/>
      <c r="O346" s="354"/>
      <c r="P346" s="354"/>
      <c r="Q346" s="411"/>
      <c r="R346" s="412"/>
    </row>
    <row r="347" spans="1:18" s="4" customFormat="1" ht="20.25" hidden="1" customHeight="1">
      <c r="A347" s="315" t="s">
        <v>14</v>
      </c>
      <c r="B347" s="314" t="s">
        <v>363</v>
      </c>
      <c r="C347" s="318" t="s">
        <v>278</v>
      </c>
      <c r="D347" s="351" t="s">
        <v>15</v>
      </c>
      <c r="E347" s="352" t="e">
        <f>'NC-CLBD'!O67/100</f>
        <v>#VALUE!</v>
      </c>
      <c r="F347" s="353"/>
      <c r="G347" s="353">
        <f t="shared" si="59"/>
        <v>695</v>
      </c>
      <c r="H347" s="353">
        <f>'DCu-CLBD'!P186</f>
        <v>184.59746666666666</v>
      </c>
      <c r="I347" s="353">
        <f>'VL-CLBD'!N92</f>
        <v>1232.28</v>
      </c>
      <c r="J347" s="353">
        <f>'TBI-CLBD'!I155</f>
        <v>105.78</v>
      </c>
      <c r="K347" s="353" t="e">
        <f>#REF!</f>
        <v>#REF!</v>
      </c>
      <c r="L347" s="348" t="e">
        <f>SUM(E347:K347)</f>
        <v>#VALUE!</v>
      </c>
      <c r="M347" s="353" t="e">
        <f>L347*'He so chung'!$D$17/100</f>
        <v>#VALUE!</v>
      </c>
      <c r="N347" s="349" t="e">
        <f>M347+L347</f>
        <v>#VALUE!</v>
      </c>
      <c r="O347" s="354">
        <f>'He so chung'!$D$21*R347</f>
        <v>159.85000000000002</v>
      </c>
      <c r="P347" s="354">
        <f>'He so chung'!$D$22*R347</f>
        <v>139</v>
      </c>
      <c r="Q347" s="411">
        <f>'He so chung'!$D$23*R347</f>
        <v>20.85</v>
      </c>
      <c r="R347" s="412">
        <f>'NC-CLBD'!N67/100</f>
        <v>2.6000000000000002E-2</v>
      </c>
    </row>
    <row r="348" spans="1:18" s="4" customFormat="1" ht="17.25" hidden="1" customHeight="1">
      <c r="A348" s="316"/>
      <c r="B348" s="317"/>
      <c r="C348" s="405"/>
      <c r="D348" s="361"/>
      <c r="E348" s="362"/>
      <c r="F348" s="363"/>
      <c r="G348" s="353">
        <f t="shared" si="59"/>
        <v>0</v>
      </c>
      <c r="H348" s="363"/>
      <c r="I348" s="363"/>
      <c r="J348" s="363"/>
      <c r="K348" s="363"/>
      <c r="L348" s="348"/>
      <c r="M348" s="353"/>
      <c r="N348" s="349"/>
      <c r="O348" s="354"/>
      <c r="P348" s="354"/>
      <c r="Q348" s="411"/>
      <c r="R348" s="425"/>
    </row>
    <row r="349" spans="1:18" s="4" customFormat="1" ht="20.25" hidden="1" customHeight="1">
      <c r="A349" s="315" t="s">
        <v>85</v>
      </c>
      <c r="B349" s="314" t="s">
        <v>364</v>
      </c>
      <c r="C349" s="318" t="s">
        <v>1</v>
      </c>
      <c r="D349" s="351" t="s">
        <v>15</v>
      </c>
      <c r="E349" s="362" t="e">
        <f>'NC-CLBD'!O69/900</f>
        <v>#VALUE!</v>
      </c>
      <c r="F349" s="363"/>
      <c r="G349" s="353">
        <f t="shared" si="59"/>
        <v>25.24572649572649</v>
      </c>
      <c r="H349" s="363">
        <f>'DCu-CLBD'!P209*70%</f>
        <v>16.398279622507122</v>
      </c>
      <c r="I349" s="363">
        <f>'VL-CLBD'!N112*70%</f>
        <v>64.554000000000002</v>
      </c>
      <c r="J349" s="363">
        <f>'TBI-CLBD'!I192*70%</f>
        <v>3.5124444444444443</v>
      </c>
      <c r="K349" s="363" t="e">
        <f>#REF!*70%</f>
        <v>#REF!</v>
      </c>
      <c r="L349" s="348" t="e">
        <f>SUM(E349:K349)</f>
        <v>#VALUE!</v>
      </c>
      <c r="M349" s="353" t="e">
        <f>L349*'He so chung'!$D$17/100</f>
        <v>#VALUE!</v>
      </c>
      <c r="N349" s="349" t="e">
        <f>M349+L349</f>
        <v>#VALUE!</v>
      </c>
      <c r="O349" s="354">
        <f>'He so chung'!$D$21*R349</f>
        <v>5.8065170940170932</v>
      </c>
      <c r="P349" s="354">
        <f>'He so chung'!$D$22*R349</f>
        <v>5.0491452991452981</v>
      </c>
      <c r="Q349" s="479">
        <f>'He so chung'!$D$23*R349</f>
        <v>0.75737179487179485</v>
      </c>
      <c r="R349" s="425">
        <f>'NC-CLBD'!N69/900</f>
        <v>9.4444444444444437E-4</v>
      </c>
    </row>
    <row r="350" spans="1:18" s="4" customFormat="1" ht="17.25" hidden="1" customHeight="1">
      <c r="A350" s="316"/>
      <c r="B350" s="317"/>
      <c r="C350" s="405"/>
      <c r="D350" s="361"/>
      <c r="E350" s="362"/>
      <c r="F350" s="363"/>
      <c r="G350" s="353">
        <f t="shared" si="59"/>
        <v>0</v>
      </c>
      <c r="H350" s="363"/>
      <c r="I350" s="363"/>
      <c r="J350" s="363"/>
      <c r="K350" s="363"/>
      <c r="L350" s="348"/>
      <c r="M350" s="353"/>
      <c r="N350" s="349"/>
      <c r="O350" s="354"/>
      <c r="P350" s="354"/>
      <c r="Q350" s="479"/>
      <c r="R350" s="425"/>
    </row>
    <row r="351" spans="1:18" s="4" customFormat="1" ht="20.25" hidden="1" customHeight="1">
      <c r="A351" s="315" t="s">
        <v>87</v>
      </c>
      <c r="B351" s="314" t="s">
        <v>365</v>
      </c>
      <c r="C351" s="318" t="s">
        <v>1</v>
      </c>
      <c r="D351" s="351" t="s">
        <v>15</v>
      </c>
      <c r="E351" s="362" t="e">
        <f>'NC-CLBD'!O71/900</f>
        <v>#VALUE!</v>
      </c>
      <c r="F351" s="363"/>
      <c r="G351" s="353">
        <f t="shared" si="59"/>
        <v>50.491452991452981</v>
      </c>
      <c r="H351" s="363">
        <f>'DCu-CLBD'!P209*20%</f>
        <v>4.6852227492877487</v>
      </c>
      <c r="I351" s="363">
        <f>'VL-CLBD'!N112*15%</f>
        <v>13.833</v>
      </c>
      <c r="J351" s="363">
        <f>'TBI-CLBD'!I192*20%</f>
        <v>1.0035555555555555</v>
      </c>
      <c r="K351" s="363" t="e">
        <f>#REF!*15%</f>
        <v>#REF!</v>
      </c>
      <c r="L351" s="348" t="e">
        <f>SUM(E351:K351)</f>
        <v>#VALUE!</v>
      </c>
      <c r="M351" s="353" t="e">
        <f>L351*'He so chung'!$D$17/100</f>
        <v>#VALUE!</v>
      </c>
      <c r="N351" s="349" t="e">
        <f>M351+L351</f>
        <v>#VALUE!</v>
      </c>
      <c r="O351" s="354">
        <f>'He so chung'!$D$21*R351</f>
        <v>11.613034188034186</v>
      </c>
      <c r="P351" s="354">
        <f>'He so chung'!$D$22*R351</f>
        <v>10.098290598290596</v>
      </c>
      <c r="Q351" s="411">
        <f>'He so chung'!$D$23*R351</f>
        <v>1.5147435897435897</v>
      </c>
      <c r="R351" s="425">
        <f>'NC-CLBD'!N71/900</f>
        <v>1.8888888888888887E-3</v>
      </c>
    </row>
    <row r="352" spans="1:18" s="4" customFormat="1" ht="20.25" hidden="1" customHeight="1">
      <c r="A352" s="316"/>
      <c r="B352" s="317"/>
      <c r="C352" s="405"/>
      <c r="D352" s="361"/>
      <c r="E352" s="362"/>
      <c r="F352" s="363"/>
      <c r="G352" s="353">
        <f t="shared" si="59"/>
        <v>0</v>
      </c>
      <c r="H352" s="363"/>
      <c r="I352" s="363"/>
      <c r="J352" s="363"/>
      <c r="K352" s="363"/>
      <c r="L352" s="348"/>
      <c r="M352" s="353"/>
      <c r="N352" s="349"/>
      <c r="O352" s="354"/>
      <c r="P352" s="354"/>
      <c r="Q352" s="411"/>
      <c r="R352" s="425"/>
    </row>
    <row r="353" spans="1:18" s="4" customFormat="1" ht="20.25" hidden="1" customHeight="1">
      <c r="A353" s="316" t="s">
        <v>88</v>
      </c>
      <c r="B353" s="317" t="s">
        <v>366</v>
      </c>
      <c r="C353" s="405" t="s">
        <v>1</v>
      </c>
      <c r="D353" s="361" t="s">
        <v>15</v>
      </c>
      <c r="E353" s="362" t="e">
        <f>'NC-CLBD'!O73/900</f>
        <v>#VALUE!</v>
      </c>
      <c r="F353" s="363"/>
      <c r="G353" s="353">
        <f t="shared" si="59"/>
        <v>100.98290598290596</v>
      </c>
      <c r="H353" s="363">
        <f>'DCu-CLBD'!P209*10%</f>
        <v>2.3426113746438744</v>
      </c>
      <c r="I353" s="363">
        <f>'VL-CLBD'!N112*15%</f>
        <v>13.833</v>
      </c>
      <c r="J353" s="363">
        <f>'TBI-CLBD'!I192*10%</f>
        <v>0.50177777777777777</v>
      </c>
      <c r="K353" s="363" t="e">
        <f>#REF!*15%</f>
        <v>#REF!</v>
      </c>
      <c r="L353" s="348" t="e">
        <f>SUM(E353:K353)</f>
        <v>#VALUE!</v>
      </c>
      <c r="M353" s="353" t="e">
        <f>L353*'He so chung'!$D$17/100</f>
        <v>#VALUE!</v>
      </c>
      <c r="N353" s="349" t="e">
        <f>M353+L353</f>
        <v>#VALUE!</v>
      </c>
      <c r="O353" s="354">
        <f>'He so chung'!$D$21*R353</f>
        <v>23.226068376068373</v>
      </c>
      <c r="P353" s="354">
        <f>'He so chung'!$D$22*R353</f>
        <v>20.196581196581192</v>
      </c>
      <c r="Q353" s="411">
        <f>'He so chung'!$D$23*R353</f>
        <v>3.0294871794871794</v>
      </c>
      <c r="R353" s="425">
        <f>'NC-CLBD'!N73/900</f>
        <v>3.7777777777777775E-3</v>
      </c>
    </row>
    <row r="354" spans="1:18" s="4" customFormat="1" ht="12.75" hidden="1" customHeight="1">
      <c r="A354" s="403"/>
      <c r="B354" s="401"/>
      <c r="C354" s="404"/>
      <c r="D354" s="377"/>
      <c r="E354" s="378"/>
      <c r="F354" s="379"/>
      <c r="G354" s="379"/>
      <c r="H354" s="379"/>
      <c r="I354" s="379"/>
      <c r="J354" s="379"/>
      <c r="K354" s="379"/>
      <c r="L354" s="380"/>
      <c r="M354" s="379"/>
      <c r="N354" s="381"/>
      <c r="O354" s="382"/>
      <c r="P354" s="382"/>
      <c r="Q354" s="423"/>
      <c r="R354" s="424"/>
    </row>
    <row r="355" spans="1:18" s="4" customFormat="1" ht="5.25" hidden="1" customHeight="1">
      <c r="A355" s="383"/>
      <c r="B355" s="338"/>
      <c r="C355" s="338"/>
      <c r="D355" s="383"/>
      <c r="E355" s="187"/>
      <c r="F355" s="187"/>
      <c r="G355" s="84"/>
      <c r="H355" s="187"/>
      <c r="I355" s="187"/>
      <c r="J355" s="187"/>
      <c r="K355" s="187"/>
      <c r="L355" s="187"/>
      <c r="M355" s="187"/>
      <c r="N355" s="187"/>
      <c r="O355" s="322"/>
      <c r="P355" s="322"/>
      <c r="Q355" s="426"/>
      <c r="R355" s="427"/>
    </row>
    <row r="356" spans="1:18" s="4" customFormat="1" ht="20.25" customHeight="1">
      <c r="A356" s="385"/>
      <c r="B356" s="501" t="s">
        <v>423</v>
      </c>
      <c r="C356" s="385"/>
      <c r="D356" s="384"/>
      <c r="E356" s="385"/>
      <c r="F356" s="385"/>
      <c r="G356" s="385"/>
      <c r="H356" s="385"/>
      <c r="I356" s="385"/>
      <c r="J356" s="385"/>
      <c r="K356" s="385"/>
      <c r="L356" s="385"/>
      <c r="M356" s="385"/>
      <c r="N356" s="385"/>
      <c r="O356" s="386"/>
      <c r="P356" s="428"/>
      <c r="Q356" s="429"/>
      <c r="R356" s="430"/>
    </row>
    <row r="357" spans="1:18" s="4" customFormat="1" ht="20.25" customHeight="1">
      <c r="A357" s="955" t="s">
        <v>3</v>
      </c>
      <c r="B357" s="958" t="s">
        <v>390</v>
      </c>
      <c r="C357" s="961" t="s">
        <v>1</v>
      </c>
      <c r="D357" s="387">
        <v>1</v>
      </c>
      <c r="E357" s="388" t="e">
        <f t="shared" ref="E357:R360" si="60">E308+E$349+E$351+E$353</f>
        <v>#VALUE!</v>
      </c>
      <c r="F357" s="388">
        <f t="shared" si="60"/>
        <v>0</v>
      </c>
      <c r="G357" s="388">
        <f t="shared" si="60"/>
        <v>1562.5619658119658</v>
      </c>
      <c r="H357" s="388">
        <f t="shared" si="60"/>
        <v>152.75395562678065</v>
      </c>
      <c r="I357" s="388">
        <f t="shared" si="60"/>
        <v>175.62</v>
      </c>
      <c r="J357" s="388">
        <f t="shared" si="60"/>
        <v>5.0177777777777779</v>
      </c>
      <c r="K357" s="388" t="e">
        <f t="shared" si="60"/>
        <v>#REF!</v>
      </c>
      <c r="L357" s="388" t="e">
        <f t="shared" si="60"/>
        <v>#VALUE!</v>
      </c>
      <c r="M357" s="388" t="e">
        <f t="shared" si="60"/>
        <v>#VALUE!</v>
      </c>
      <c r="N357" s="388" t="e">
        <f t="shared" si="60"/>
        <v>#VALUE!</v>
      </c>
      <c r="O357" s="388">
        <f t="shared" si="60"/>
        <v>387.10608974358973</v>
      </c>
      <c r="P357" s="388">
        <f t="shared" si="60"/>
        <v>312.51239316239315</v>
      </c>
      <c r="Q357" s="388">
        <f t="shared" si="60"/>
        <v>74.593696581196582</v>
      </c>
      <c r="R357" s="388">
        <f t="shared" si="60"/>
        <v>5.8455555555555552E-2</v>
      </c>
    </row>
    <row r="358" spans="1:18" s="4" customFormat="1" ht="20.25" customHeight="1">
      <c r="A358" s="956"/>
      <c r="B358" s="959"/>
      <c r="C358" s="962"/>
      <c r="D358" s="389">
        <v>2</v>
      </c>
      <c r="E358" s="388" t="e">
        <f t="shared" si="60"/>
        <v>#VALUE!</v>
      </c>
      <c r="F358" s="388">
        <f t="shared" si="60"/>
        <v>0</v>
      </c>
      <c r="G358" s="388">
        <f t="shared" si="60"/>
        <v>1839.9679487179487</v>
      </c>
      <c r="H358" s="388">
        <f t="shared" si="60"/>
        <v>185.08591609686616</v>
      </c>
      <c r="I358" s="388">
        <f t="shared" si="60"/>
        <v>175.62</v>
      </c>
      <c r="J358" s="388">
        <f t="shared" si="60"/>
        <v>5.0177777777777779</v>
      </c>
      <c r="K358" s="388" t="e">
        <f t="shared" si="60"/>
        <v>#REF!</v>
      </c>
      <c r="L358" s="388" t="e">
        <f t="shared" si="60"/>
        <v>#VALUE!</v>
      </c>
      <c r="M358" s="388" t="e">
        <f t="shared" si="60"/>
        <v>#VALUE!</v>
      </c>
      <c r="N358" s="388" t="e">
        <f t="shared" si="60"/>
        <v>#VALUE!</v>
      </c>
      <c r="O358" s="388">
        <f t="shared" si="60"/>
        <v>456.45758547008546</v>
      </c>
      <c r="P358" s="388">
        <f t="shared" si="60"/>
        <v>367.99358974358972</v>
      </c>
      <c r="Q358" s="388">
        <f t="shared" si="60"/>
        <v>88.463995726495739</v>
      </c>
      <c r="R358" s="388">
        <f t="shared" si="60"/>
        <v>6.883333333333333E-2</v>
      </c>
    </row>
    <row r="359" spans="1:18" s="4" customFormat="1" ht="20.25" customHeight="1">
      <c r="A359" s="956"/>
      <c r="B359" s="959"/>
      <c r="C359" s="962"/>
      <c r="D359" s="389">
        <v>3</v>
      </c>
      <c r="E359" s="388" t="e">
        <f t="shared" si="60"/>
        <v>#VALUE!</v>
      </c>
      <c r="F359" s="388">
        <f t="shared" si="60"/>
        <v>0</v>
      </c>
      <c r="G359" s="388">
        <f t="shared" si="60"/>
        <v>2172.6175213675215</v>
      </c>
      <c r="H359" s="388">
        <f t="shared" si="60"/>
        <v>238.97251688034194</v>
      </c>
      <c r="I359" s="388">
        <f t="shared" si="60"/>
        <v>175.62</v>
      </c>
      <c r="J359" s="388">
        <f t="shared" si="60"/>
        <v>5.0177777777777779</v>
      </c>
      <c r="K359" s="388" t="e">
        <f t="shared" si="60"/>
        <v>#REF!</v>
      </c>
      <c r="L359" s="388" t="e">
        <f t="shared" si="60"/>
        <v>#VALUE!</v>
      </c>
      <c r="M359" s="388" t="e">
        <f t="shared" si="60"/>
        <v>#VALUE!</v>
      </c>
      <c r="N359" s="388" t="e">
        <f t="shared" si="60"/>
        <v>#VALUE!</v>
      </c>
      <c r="O359" s="388">
        <f t="shared" si="60"/>
        <v>539.61997863247859</v>
      </c>
      <c r="P359" s="388">
        <f t="shared" si="60"/>
        <v>434.52350427350427</v>
      </c>
      <c r="Q359" s="388">
        <f t="shared" si="60"/>
        <v>105.09647435897438</v>
      </c>
      <c r="R359" s="388">
        <f t="shared" si="60"/>
        <v>8.1277777777777782E-2</v>
      </c>
    </row>
    <row r="360" spans="1:18" s="4" customFormat="1" ht="20.25" customHeight="1">
      <c r="A360" s="967"/>
      <c r="B360" s="968"/>
      <c r="C360" s="969"/>
      <c r="D360" s="391">
        <v>4</v>
      </c>
      <c r="E360" s="388" t="e">
        <f t="shared" si="60"/>
        <v>#VALUE!</v>
      </c>
      <c r="F360" s="388">
        <f t="shared" si="60"/>
        <v>0</v>
      </c>
      <c r="G360" s="388">
        <f t="shared" si="60"/>
        <v>2571.7970085470083</v>
      </c>
      <c r="H360" s="388">
        <f t="shared" si="60"/>
        <v>260.52715719373225</v>
      </c>
      <c r="I360" s="388">
        <f t="shared" si="60"/>
        <v>175.62</v>
      </c>
      <c r="J360" s="388">
        <f t="shared" si="60"/>
        <v>5.0177777777777779</v>
      </c>
      <c r="K360" s="388" t="e">
        <f t="shared" si="60"/>
        <v>#REF!</v>
      </c>
      <c r="L360" s="388" t="e">
        <f t="shared" si="60"/>
        <v>#VALUE!</v>
      </c>
      <c r="M360" s="388" t="e">
        <f t="shared" si="60"/>
        <v>#VALUE!</v>
      </c>
      <c r="N360" s="388" t="e">
        <f t="shared" si="60"/>
        <v>#VALUE!</v>
      </c>
      <c r="O360" s="388">
        <f t="shared" si="60"/>
        <v>639.4148504273503</v>
      </c>
      <c r="P360" s="388">
        <f t="shared" si="60"/>
        <v>514.35940170940171</v>
      </c>
      <c r="Q360" s="388">
        <f t="shared" si="60"/>
        <v>125.05544871794874</v>
      </c>
      <c r="R360" s="388">
        <f t="shared" si="60"/>
        <v>9.6211111111111108E-2</v>
      </c>
    </row>
    <row r="361" spans="1:18" s="4" customFormat="1" ht="13.5" customHeight="1">
      <c r="A361" s="115"/>
      <c r="B361" s="116"/>
      <c r="C361" s="406"/>
      <c r="D361" s="389"/>
      <c r="E361" s="390"/>
      <c r="F361" s="390"/>
      <c r="G361" s="390"/>
      <c r="H361" s="390"/>
      <c r="I361" s="390"/>
      <c r="J361" s="390"/>
      <c r="K361" s="390"/>
      <c r="L361" s="390"/>
      <c r="M361" s="390"/>
      <c r="N361" s="390"/>
      <c r="O361" s="390"/>
      <c r="P361" s="431"/>
      <c r="Q361" s="432"/>
      <c r="R361" s="433"/>
    </row>
    <row r="362" spans="1:18" s="4" customFormat="1" ht="20.25" customHeight="1">
      <c r="A362" s="955" t="s">
        <v>4</v>
      </c>
      <c r="B362" s="958" t="s">
        <v>391</v>
      </c>
      <c r="C362" s="961" t="s">
        <v>278</v>
      </c>
      <c r="D362" s="387">
        <v>1</v>
      </c>
      <c r="E362" s="448" t="e">
        <f t="shared" ref="E362:R365" si="61">E313+E318+E326+E$336+E339+E$344+E$347</f>
        <v>#VALUE!</v>
      </c>
      <c r="F362" s="448">
        <f t="shared" si="61"/>
        <v>10951.6</v>
      </c>
      <c r="G362" s="448" t="e">
        <f t="shared" si="61"/>
        <v>#REF!</v>
      </c>
      <c r="H362" s="448" t="e">
        <f t="shared" si="61"/>
        <v>#REF!</v>
      </c>
      <c r="I362" s="448" t="e">
        <f t="shared" si="61"/>
        <v>#REF!</v>
      </c>
      <c r="J362" s="448" t="e">
        <f t="shared" si="61"/>
        <v>#REF!</v>
      </c>
      <c r="K362" s="448" t="e">
        <f t="shared" si="61"/>
        <v>#REF!</v>
      </c>
      <c r="L362" s="448" t="e">
        <f t="shared" si="61"/>
        <v>#VALUE!</v>
      </c>
      <c r="M362" s="448" t="e">
        <f t="shared" si="61"/>
        <v>#VALUE!</v>
      </c>
      <c r="N362" s="448" t="e">
        <f t="shared" si="61"/>
        <v>#VALUE!</v>
      </c>
      <c r="O362" s="448" t="e">
        <f t="shared" si="61"/>
        <v>#REF!</v>
      </c>
      <c r="P362" s="448" t="e">
        <f t="shared" si="61"/>
        <v>#REF!</v>
      </c>
      <c r="Q362" s="448" t="e">
        <f t="shared" si="61"/>
        <v>#REF!</v>
      </c>
      <c r="R362" s="448" t="e">
        <f t="shared" si="61"/>
        <v>#REF!</v>
      </c>
    </row>
    <row r="363" spans="1:18" s="4" customFormat="1" ht="20.25" customHeight="1">
      <c r="A363" s="956"/>
      <c r="B363" s="959"/>
      <c r="C363" s="962"/>
      <c r="D363" s="389">
        <v>2</v>
      </c>
      <c r="E363" s="449" t="e">
        <f t="shared" si="61"/>
        <v>#VALUE!</v>
      </c>
      <c r="F363" s="449">
        <f t="shared" si="61"/>
        <v>13139.3</v>
      </c>
      <c r="G363" s="449" t="e">
        <f t="shared" si="61"/>
        <v>#REF!</v>
      </c>
      <c r="H363" s="449" t="e">
        <f t="shared" si="61"/>
        <v>#REF!</v>
      </c>
      <c r="I363" s="449" t="e">
        <f t="shared" si="61"/>
        <v>#REF!</v>
      </c>
      <c r="J363" s="449" t="e">
        <f t="shared" si="61"/>
        <v>#REF!</v>
      </c>
      <c r="K363" s="449" t="e">
        <f t="shared" si="61"/>
        <v>#REF!</v>
      </c>
      <c r="L363" s="449" t="e">
        <f t="shared" si="61"/>
        <v>#VALUE!</v>
      </c>
      <c r="M363" s="449" t="e">
        <f t="shared" si="61"/>
        <v>#VALUE!</v>
      </c>
      <c r="N363" s="449" t="e">
        <f t="shared" si="61"/>
        <v>#VALUE!</v>
      </c>
      <c r="O363" s="449" t="e">
        <f t="shared" si="61"/>
        <v>#REF!</v>
      </c>
      <c r="P363" s="449" t="e">
        <f t="shared" si="61"/>
        <v>#REF!</v>
      </c>
      <c r="Q363" s="449" t="e">
        <f t="shared" si="61"/>
        <v>#REF!</v>
      </c>
      <c r="R363" s="449" t="e">
        <f t="shared" si="61"/>
        <v>#REF!</v>
      </c>
    </row>
    <row r="364" spans="1:18" s="4" customFormat="1" ht="20.25" customHeight="1">
      <c r="A364" s="956"/>
      <c r="B364" s="959"/>
      <c r="C364" s="962"/>
      <c r="D364" s="389">
        <v>3</v>
      </c>
      <c r="E364" s="449" t="e">
        <f t="shared" si="61"/>
        <v>#VALUE!</v>
      </c>
      <c r="F364" s="449">
        <f t="shared" si="61"/>
        <v>15759.3</v>
      </c>
      <c r="G364" s="449" t="e">
        <f t="shared" si="61"/>
        <v>#REF!</v>
      </c>
      <c r="H364" s="449" t="e">
        <f t="shared" si="61"/>
        <v>#REF!</v>
      </c>
      <c r="I364" s="449" t="e">
        <f t="shared" si="61"/>
        <v>#REF!</v>
      </c>
      <c r="J364" s="449" t="e">
        <f t="shared" si="61"/>
        <v>#REF!</v>
      </c>
      <c r="K364" s="449" t="e">
        <f t="shared" si="61"/>
        <v>#REF!</v>
      </c>
      <c r="L364" s="449" t="e">
        <f t="shared" si="61"/>
        <v>#VALUE!</v>
      </c>
      <c r="M364" s="449" t="e">
        <f t="shared" si="61"/>
        <v>#VALUE!</v>
      </c>
      <c r="N364" s="449" t="e">
        <f t="shared" si="61"/>
        <v>#VALUE!</v>
      </c>
      <c r="O364" s="449" t="e">
        <f t="shared" si="61"/>
        <v>#REF!</v>
      </c>
      <c r="P364" s="449" t="e">
        <f t="shared" si="61"/>
        <v>#REF!</v>
      </c>
      <c r="Q364" s="449" t="e">
        <f t="shared" si="61"/>
        <v>#REF!</v>
      </c>
      <c r="R364" s="449" t="e">
        <f t="shared" si="61"/>
        <v>#REF!</v>
      </c>
    </row>
    <row r="365" spans="1:18" s="4" customFormat="1" ht="20.25" customHeight="1">
      <c r="A365" s="957"/>
      <c r="B365" s="960"/>
      <c r="C365" s="963"/>
      <c r="D365" s="393">
        <v>4</v>
      </c>
      <c r="E365" s="450" t="e">
        <f t="shared" si="61"/>
        <v>#VALUE!</v>
      </c>
      <c r="F365" s="450">
        <f t="shared" si="61"/>
        <v>18916.400000000001</v>
      </c>
      <c r="G365" s="450" t="e">
        <f t="shared" si="61"/>
        <v>#REF!</v>
      </c>
      <c r="H365" s="450" t="e">
        <f t="shared" si="61"/>
        <v>#REF!</v>
      </c>
      <c r="I365" s="450" t="e">
        <f t="shared" si="61"/>
        <v>#REF!</v>
      </c>
      <c r="J365" s="450" t="e">
        <f t="shared" si="61"/>
        <v>#REF!</v>
      </c>
      <c r="K365" s="450" t="e">
        <f t="shared" si="61"/>
        <v>#REF!</v>
      </c>
      <c r="L365" s="450" t="e">
        <f t="shared" si="61"/>
        <v>#VALUE!</v>
      </c>
      <c r="M365" s="450" t="e">
        <f t="shared" si="61"/>
        <v>#VALUE!</v>
      </c>
      <c r="N365" s="450" t="e">
        <f t="shared" si="61"/>
        <v>#VALUE!</v>
      </c>
      <c r="O365" s="450" t="e">
        <f t="shared" si="61"/>
        <v>#REF!</v>
      </c>
      <c r="P365" s="450" t="e">
        <f t="shared" si="61"/>
        <v>#REF!</v>
      </c>
      <c r="Q365" s="450" t="e">
        <f t="shared" si="61"/>
        <v>#REF!</v>
      </c>
      <c r="R365" s="450" t="e">
        <f t="shared" si="61"/>
        <v>#REF!</v>
      </c>
    </row>
    <row r="366" spans="1:18" s="4" customFormat="1" ht="14.25">
      <c r="A366" s="84"/>
      <c r="B366" s="84"/>
      <c r="C366" s="84"/>
      <c r="D366" s="320"/>
      <c r="E366" s="187"/>
      <c r="F366" s="187"/>
      <c r="G366" s="187"/>
      <c r="H366" s="187"/>
      <c r="I366" s="187"/>
      <c r="J366" s="187"/>
      <c r="K366" s="187"/>
      <c r="L366" s="187"/>
      <c r="M366" s="187"/>
      <c r="N366" s="187"/>
      <c r="O366" s="322"/>
      <c r="P366" s="322"/>
      <c r="Q366" s="426"/>
      <c r="R366" s="427"/>
    </row>
    <row r="367" spans="1:18" s="4" customFormat="1" ht="14.25">
      <c r="A367" s="84"/>
      <c r="B367" s="84"/>
      <c r="C367" s="84"/>
      <c r="D367" s="320"/>
      <c r="E367" s="187"/>
      <c r="F367" s="187"/>
      <c r="G367" s="187"/>
      <c r="H367" s="187"/>
      <c r="I367" s="187"/>
      <c r="J367" s="187"/>
      <c r="K367" s="187"/>
      <c r="L367" s="187"/>
      <c r="M367" s="187"/>
      <c r="N367" s="187"/>
      <c r="O367" s="322"/>
      <c r="P367" s="322"/>
      <c r="Q367" s="426"/>
      <c r="R367" s="427"/>
    </row>
    <row r="368" spans="1:18" s="4" customFormat="1" ht="14.25">
      <c r="A368" s="84"/>
      <c r="B368" s="84"/>
      <c r="C368" s="84"/>
      <c r="D368" s="320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322"/>
      <c r="P368" s="322"/>
      <c r="Q368" s="426"/>
      <c r="R368" s="427"/>
    </row>
    <row r="369" spans="1:18" s="4" customFormat="1" ht="12.75">
      <c r="A369" s="65"/>
      <c r="B369" s="66"/>
      <c r="C369" s="66"/>
      <c r="D369" s="65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2"/>
      <c r="P369" s="52"/>
      <c r="Q369" s="52"/>
      <c r="R369" s="63"/>
    </row>
    <row r="370" spans="1:18" s="4" customFormat="1" ht="12.75">
      <c r="A370" s="65"/>
      <c r="B370" s="66"/>
      <c r="C370" s="66"/>
      <c r="D370" s="65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2"/>
      <c r="P370" s="52"/>
      <c r="Q370" s="52"/>
      <c r="R370" s="63"/>
    </row>
    <row r="371" spans="1:18" s="4" customFormat="1" ht="12.75">
      <c r="A371" s="65"/>
      <c r="B371" s="66"/>
      <c r="C371" s="66"/>
      <c r="D371" s="65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2"/>
      <c r="P371" s="52"/>
      <c r="Q371" s="52"/>
      <c r="R371" s="63"/>
    </row>
    <row r="372" spans="1:18" s="4" customFormat="1" ht="12.75">
      <c r="A372" s="65"/>
      <c r="B372" s="66"/>
      <c r="C372" s="66"/>
      <c r="D372" s="65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2"/>
      <c r="P372" s="52"/>
      <c r="Q372" s="52"/>
      <c r="R372" s="63"/>
    </row>
    <row r="373" spans="1:18" s="4" customFormat="1" ht="12.75">
      <c r="A373" s="65"/>
      <c r="B373" s="66"/>
      <c r="C373" s="66"/>
      <c r="D373" s="65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2"/>
      <c r="P373" s="52"/>
      <c r="Q373" s="52"/>
      <c r="R373" s="63"/>
    </row>
    <row r="374" spans="1:18" s="4" customFormat="1" ht="12.75">
      <c r="A374" s="65"/>
      <c r="B374" s="66"/>
      <c r="C374" s="66"/>
      <c r="D374" s="65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2"/>
      <c r="P374" s="52"/>
      <c r="Q374" s="52"/>
      <c r="R374" s="63"/>
    </row>
    <row r="375" spans="1:18" s="4" customFormat="1" ht="12.75">
      <c r="A375" s="65"/>
      <c r="B375" s="66"/>
      <c r="C375" s="66"/>
      <c r="D375" s="65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2"/>
      <c r="P375" s="52"/>
      <c r="Q375" s="52"/>
      <c r="R375" s="63"/>
    </row>
    <row r="376" spans="1:18" s="4" customFormat="1" ht="12.75">
      <c r="A376" s="65"/>
      <c r="B376" s="66"/>
      <c r="C376" s="66"/>
      <c r="D376" s="65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2"/>
      <c r="P376" s="52"/>
      <c r="Q376" s="52"/>
      <c r="R376" s="63"/>
    </row>
    <row r="377" spans="1:18" s="4" customFormat="1" ht="12.75">
      <c r="A377" s="65"/>
      <c r="B377" s="66"/>
      <c r="C377" s="66"/>
      <c r="D377" s="65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2"/>
      <c r="P377" s="52"/>
      <c r="Q377" s="52"/>
      <c r="R377" s="63"/>
    </row>
    <row r="378" spans="1:18" s="4" customFormat="1" ht="12.75">
      <c r="A378" s="65"/>
      <c r="B378" s="66"/>
      <c r="C378" s="66"/>
      <c r="D378" s="65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2"/>
      <c r="P378" s="52"/>
      <c r="Q378" s="52"/>
      <c r="R378" s="63"/>
    </row>
    <row r="379" spans="1:18" s="4" customFormat="1" ht="12.75">
      <c r="A379" s="65"/>
      <c r="B379" s="66"/>
      <c r="C379" s="66"/>
      <c r="D379" s="65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2"/>
      <c r="P379" s="52"/>
      <c r="Q379" s="52"/>
      <c r="R379" s="63"/>
    </row>
    <row r="380" spans="1:18" s="4" customFormat="1" ht="12.75">
      <c r="A380" s="65"/>
      <c r="B380" s="66"/>
      <c r="C380" s="66"/>
      <c r="D380" s="65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2"/>
      <c r="P380" s="52"/>
      <c r="Q380" s="52"/>
      <c r="R380" s="63"/>
    </row>
    <row r="381" spans="1:18" s="4" customFormat="1" ht="12.75">
      <c r="A381" s="65"/>
      <c r="B381" s="66"/>
      <c r="C381" s="66"/>
      <c r="D381" s="65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2"/>
      <c r="P381" s="52"/>
      <c r="Q381" s="52"/>
      <c r="R381" s="63"/>
    </row>
    <row r="382" spans="1:18" s="4" customFormat="1" ht="12.75">
      <c r="A382" s="65"/>
      <c r="B382" s="66"/>
      <c r="C382" s="66"/>
      <c r="D382" s="65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2"/>
      <c r="P382" s="52"/>
      <c r="Q382" s="52"/>
      <c r="R382" s="63"/>
    </row>
    <row r="383" spans="1:18" s="4" customFormat="1" ht="12.75">
      <c r="A383" s="65"/>
      <c r="B383" s="66"/>
      <c r="C383" s="66"/>
      <c r="D383" s="65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2"/>
      <c r="P383" s="52"/>
      <c r="Q383" s="52"/>
      <c r="R383" s="63"/>
    </row>
    <row r="384" spans="1:18" s="4" customFormat="1" ht="12.75">
      <c r="A384" s="65"/>
      <c r="B384" s="66"/>
      <c r="C384" s="66"/>
      <c r="D384" s="65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2"/>
      <c r="P384" s="52"/>
      <c r="Q384" s="52"/>
      <c r="R384" s="63"/>
    </row>
    <row r="385" spans="1:18" s="4" customFormat="1" ht="12.75">
      <c r="A385" s="65"/>
      <c r="B385" s="66"/>
      <c r="C385" s="66"/>
      <c r="D385" s="65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2"/>
      <c r="P385" s="52"/>
      <c r="Q385" s="52"/>
      <c r="R385" s="63"/>
    </row>
    <row r="386" spans="1:18" s="4" customFormat="1" ht="12.75">
      <c r="A386" s="65"/>
      <c r="B386" s="66"/>
      <c r="C386" s="66"/>
      <c r="D386" s="65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2"/>
      <c r="P386" s="52"/>
      <c r="Q386" s="52"/>
      <c r="R386" s="63"/>
    </row>
    <row r="387" spans="1:18" s="4" customFormat="1" ht="12.75">
      <c r="A387" s="65"/>
      <c r="B387" s="66"/>
      <c r="C387" s="66"/>
      <c r="D387" s="65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2"/>
      <c r="P387" s="52"/>
      <c r="Q387" s="52"/>
      <c r="R387" s="63"/>
    </row>
    <row r="388" spans="1:18" s="4" customFormat="1" ht="12.75">
      <c r="A388" s="65"/>
      <c r="B388" s="66"/>
      <c r="C388" s="66"/>
      <c r="D388" s="65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2"/>
      <c r="P388" s="52"/>
      <c r="Q388" s="52"/>
      <c r="R388" s="63"/>
    </row>
    <row r="389" spans="1:18" s="4" customFormat="1" ht="12.75">
      <c r="A389" s="65"/>
      <c r="B389" s="66"/>
      <c r="C389" s="66"/>
      <c r="D389" s="65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2"/>
      <c r="P389" s="52"/>
      <c r="Q389" s="52"/>
      <c r="R389" s="63"/>
    </row>
    <row r="390" spans="1:18" s="4" customFormat="1" ht="12.75">
      <c r="A390" s="65"/>
      <c r="B390" s="66"/>
      <c r="C390" s="66"/>
      <c r="D390" s="65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2"/>
      <c r="P390" s="52"/>
      <c r="Q390" s="52"/>
      <c r="R390" s="63"/>
    </row>
    <row r="391" spans="1:18" s="4" customFormat="1" ht="12.75">
      <c r="A391" s="65"/>
      <c r="B391" s="66"/>
      <c r="C391" s="66"/>
      <c r="D391" s="65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2"/>
      <c r="P391" s="52"/>
      <c r="Q391" s="52"/>
      <c r="R391" s="63"/>
    </row>
    <row r="392" spans="1:18" s="4" customFormat="1" ht="12.75">
      <c r="A392" s="65"/>
      <c r="B392" s="66"/>
      <c r="C392" s="66"/>
      <c r="D392" s="65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2"/>
      <c r="P392" s="52"/>
      <c r="Q392" s="52"/>
      <c r="R392" s="63"/>
    </row>
    <row r="393" spans="1:18" s="4" customFormat="1" ht="12.75">
      <c r="A393" s="65"/>
      <c r="B393" s="66"/>
      <c r="C393" s="66"/>
      <c r="D393" s="65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2"/>
      <c r="P393" s="52"/>
      <c r="Q393" s="52"/>
      <c r="R393" s="63"/>
    </row>
    <row r="394" spans="1:18" s="4" customFormat="1" ht="12.75">
      <c r="A394" s="65"/>
      <c r="B394" s="66"/>
      <c r="C394" s="66"/>
      <c r="D394" s="65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2"/>
      <c r="P394" s="52"/>
      <c r="Q394" s="52"/>
      <c r="R394" s="63"/>
    </row>
    <row r="395" spans="1:18" s="4" customFormat="1" ht="12.75">
      <c r="A395" s="65"/>
      <c r="B395" s="66"/>
      <c r="C395" s="66"/>
      <c r="D395" s="65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2"/>
      <c r="P395" s="52"/>
      <c r="Q395" s="52"/>
      <c r="R395" s="63"/>
    </row>
    <row r="396" spans="1:18" s="4" customFormat="1" ht="12.75">
      <c r="A396" s="65"/>
      <c r="B396" s="66"/>
      <c r="C396" s="66"/>
      <c r="D396" s="65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2"/>
      <c r="P396" s="52"/>
      <c r="Q396" s="52"/>
      <c r="R396" s="63"/>
    </row>
    <row r="397" spans="1:18" s="4" customFormat="1" ht="12.75">
      <c r="A397" s="65"/>
      <c r="B397" s="66"/>
      <c r="C397" s="66"/>
      <c r="D397" s="65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2"/>
      <c r="P397" s="52"/>
      <c r="Q397" s="52"/>
      <c r="R397" s="63"/>
    </row>
    <row r="398" spans="1:18" s="4" customFormat="1" ht="12.75">
      <c r="A398" s="65"/>
      <c r="B398" s="66"/>
      <c r="C398" s="66"/>
      <c r="D398" s="65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2"/>
      <c r="P398" s="52"/>
      <c r="Q398" s="52"/>
      <c r="R398" s="63"/>
    </row>
    <row r="399" spans="1:18" s="4" customFormat="1" ht="12.75">
      <c r="A399" s="65"/>
      <c r="B399" s="66"/>
      <c r="C399" s="66"/>
      <c r="D399" s="65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2"/>
      <c r="P399" s="52"/>
      <c r="Q399" s="52"/>
      <c r="R399" s="63"/>
    </row>
    <row r="400" spans="1:18" s="4" customFormat="1" ht="12.75">
      <c r="A400" s="65"/>
      <c r="B400" s="66"/>
      <c r="C400" s="66"/>
      <c r="D400" s="65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2"/>
      <c r="P400" s="52"/>
      <c r="Q400" s="52"/>
      <c r="R400" s="63"/>
    </row>
    <row r="401" spans="1:18" s="4" customFormat="1" ht="12.75">
      <c r="A401" s="65"/>
      <c r="B401" s="66"/>
      <c r="C401" s="66"/>
      <c r="D401" s="65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2"/>
      <c r="P401" s="52"/>
      <c r="Q401" s="52"/>
      <c r="R401" s="63"/>
    </row>
    <row r="402" spans="1:18" s="4" customFormat="1" ht="12.75">
      <c r="A402" s="65"/>
      <c r="B402" s="66"/>
      <c r="C402" s="66"/>
      <c r="D402" s="65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2"/>
      <c r="P402" s="52"/>
      <c r="Q402" s="52"/>
      <c r="R402" s="63"/>
    </row>
    <row r="403" spans="1:18" s="4" customFormat="1" ht="12.75">
      <c r="A403" s="65"/>
      <c r="B403" s="66"/>
      <c r="C403" s="66"/>
      <c r="D403" s="65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2"/>
      <c r="P403" s="52"/>
      <c r="Q403" s="52"/>
      <c r="R403" s="63"/>
    </row>
    <row r="404" spans="1:18" s="4" customFormat="1" ht="12.75">
      <c r="A404" s="65"/>
      <c r="B404" s="66"/>
      <c r="C404" s="66"/>
      <c r="D404" s="65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2"/>
      <c r="P404" s="52"/>
      <c r="Q404" s="52"/>
      <c r="R404" s="63"/>
    </row>
    <row r="405" spans="1:18" s="4" customFormat="1" ht="12.75">
      <c r="A405" s="65"/>
      <c r="B405" s="66"/>
      <c r="C405" s="66"/>
      <c r="D405" s="65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2"/>
      <c r="P405" s="52"/>
      <c r="Q405" s="52"/>
      <c r="R405" s="63"/>
    </row>
    <row r="406" spans="1:18" s="4" customFormat="1" ht="12.75">
      <c r="A406" s="65"/>
      <c r="B406" s="66"/>
      <c r="C406" s="66"/>
      <c r="D406" s="65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2"/>
      <c r="P406" s="52"/>
      <c r="Q406" s="52"/>
      <c r="R406" s="63"/>
    </row>
    <row r="407" spans="1:18" s="4" customFormat="1" ht="12.75">
      <c r="A407" s="65"/>
      <c r="B407" s="66"/>
      <c r="C407" s="66"/>
      <c r="D407" s="65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2"/>
      <c r="P407" s="52"/>
      <c r="Q407" s="52"/>
      <c r="R407" s="63"/>
    </row>
    <row r="408" spans="1:18" s="4" customFormat="1" ht="12.75">
      <c r="A408" s="65"/>
      <c r="B408" s="66"/>
      <c r="C408" s="66"/>
      <c r="D408" s="65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2"/>
      <c r="P408" s="52"/>
      <c r="Q408" s="52"/>
      <c r="R408" s="63"/>
    </row>
    <row r="409" spans="1:18" s="4" customFormat="1" ht="12.75">
      <c r="A409" s="65"/>
      <c r="B409" s="66"/>
      <c r="C409" s="66"/>
      <c r="D409" s="65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2"/>
      <c r="P409" s="52"/>
      <c r="Q409" s="52"/>
      <c r="R409" s="63"/>
    </row>
    <row r="410" spans="1:18" s="4" customFormat="1" ht="12.75">
      <c r="A410" s="65"/>
      <c r="B410" s="66"/>
      <c r="C410" s="66"/>
      <c r="D410" s="65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2"/>
      <c r="P410" s="52"/>
      <c r="Q410" s="52"/>
      <c r="R410" s="63"/>
    </row>
    <row r="411" spans="1:18" s="4" customFormat="1" ht="12.75">
      <c r="A411" s="65"/>
      <c r="B411" s="66"/>
      <c r="C411" s="66"/>
      <c r="D411" s="65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2"/>
      <c r="P411" s="52"/>
      <c r="Q411" s="52"/>
      <c r="R411" s="63"/>
    </row>
    <row r="412" spans="1:18" s="4" customFormat="1" ht="12.75">
      <c r="A412" s="65"/>
      <c r="B412" s="66"/>
      <c r="C412" s="66"/>
      <c r="D412" s="65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2"/>
      <c r="P412" s="52"/>
      <c r="Q412" s="52"/>
      <c r="R412" s="63"/>
    </row>
    <row r="413" spans="1:18" s="4" customFormat="1" ht="12.75">
      <c r="A413" s="65"/>
      <c r="B413" s="66"/>
      <c r="C413" s="66"/>
      <c r="D413" s="65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2"/>
      <c r="P413" s="52"/>
      <c r="Q413" s="52"/>
      <c r="R413" s="63"/>
    </row>
    <row r="414" spans="1:18" s="4" customFormat="1" ht="12.75">
      <c r="A414" s="65"/>
      <c r="B414" s="66"/>
      <c r="C414" s="66"/>
      <c r="D414" s="65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2"/>
      <c r="P414" s="52"/>
      <c r="Q414" s="52"/>
      <c r="R414" s="63"/>
    </row>
    <row r="415" spans="1:18" s="4" customFormat="1" ht="12.75">
      <c r="A415" s="65"/>
      <c r="B415" s="66"/>
      <c r="C415" s="66"/>
      <c r="D415" s="65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2"/>
      <c r="P415" s="52"/>
      <c r="Q415" s="52"/>
      <c r="R415" s="63"/>
    </row>
    <row r="416" spans="1:18" s="4" customFormat="1" ht="12.75">
      <c r="A416" s="65"/>
      <c r="B416" s="66"/>
      <c r="C416" s="66"/>
      <c r="D416" s="65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2"/>
      <c r="P416" s="52"/>
      <c r="Q416" s="52"/>
      <c r="R416" s="63"/>
    </row>
    <row r="417" spans="1:18" s="4" customFormat="1" ht="12.75">
      <c r="A417" s="65"/>
      <c r="B417" s="66"/>
      <c r="C417" s="66"/>
      <c r="D417" s="65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2"/>
      <c r="P417" s="52"/>
      <c r="Q417" s="52"/>
      <c r="R417" s="63"/>
    </row>
    <row r="418" spans="1:18" s="4" customFormat="1" ht="12.75">
      <c r="A418" s="65"/>
      <c r="B418" s="66"/>
      <c r="C418" s="66"/>
      <c r="D418" s="65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2"/>
      <c r="P418" s="52"/>
      <c r="Q418" s="52"/>
      <c r="R418" s="63"/>
    </row>
    <row r="419" spans="1:18" s="4" customFormat="1" ht="12.75">
      <c r="A419" s="65"/>
      <c r="B419" s="66"/>
      <c r="C419" s="66"/>
      <c r="D419" s="65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2"/>
      <c r="P419" s="52"/>
      <c r="Q419" s="52"/>
      <c r="R419" s="63"/>
    </row>
    <row r="420" spans="1:18" s="4" customFormat="1" ht="12.75">
      <c r="A420" s="65"/>
      <c r="B420" s="66"/>
      <c r="C420" s="66"/>
      <c r="D420" s="65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2"/>
      <c r="P420" s="52"/>
      <c r="Q420" s="52"/>
      <c r="R420" s="63"/>
    </row>
    <row r="421" spans="1:18" s="4" customFormat="1" ht="12.75">
      <c r="A421" s="65"/>
      <c r="B421" s="66"/>
      <c r="C421" s="66"/>
      <c r="D421" s="65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2"/>
      <c r="P421" s="52"/>
      <c r="Q421" s="52"/>
      <c r="R421" s="63"/>
    </row>
    <row r="422" spans="1:18" s="4" customFormat="1" ht="12.75">
      <c r="A422" s="65"/>
      <c r="B422" s="66"/>
      <c r="C422" s="66"/>
      <c r="D422" s="65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2"/>
      <c r="P422" s="52"/>
      <c r="Q422" s="52"/>
      <c r="R422" s="63"/>
    </row>
    <row r="423" spans="1:18" s="4" customFormat="1" ht="12.75">
      <c r="A423" s="65"/>
      <c r="B423" s="66"/>
      <c r="C423" s="66"/>
      <c r="D423" s="65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2"/>
      <c r="P423" s="52"/>
      <c r="Q423" s="52"/>
      <c r="R423" s="63"/>
    </row>
    <row r="424" spans="1:18" s="4" customFormat="1" ht="12.75">
      <c r="A424" s="65"/>
      <c r="B424" s="66"/>
      <c r="C424" s="66"/>
      <c r="D424" s="65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2"/>
      <c r="P424" s="52"/>
      <c r="Q424" s="52"/>
      <c r="R424" s="63"/>
    </row>
    <row r="425" spans="1:18" s="4" customFormat="1" ht="12.75">
      <c r="A425" s="65"/>
      <c r="B425" s="66"/>
      <c r="C425" s="66"/>
      <c r="D425" s="65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2"/>
      <c r="P425" s="52"/>
      <c r="Q425" s="52"/>
      <c r="R425" s="63"/>
    </row>
    <row r="426" spans="1:18" s="4" customFormat="1" ht="12.75">
      <c r="A426" s="65"/>
      <c r="B426" s="66"/>
      <c r="C426" s="66"/>
      <c r="D426" s="65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2"/>
      <c r="P426" s="52"/>
      <c r="Q426" s="52"/>
      <c r="R426" s="63"/>
    </row>
    <row r="427" spans="1:18" s="4" customFormat="1" ht="12.75">
      <c r="A427" s="65"/>
      <c r="B427" s="66"/>
      <c r="C427" s="66"/>
      <c r="D427" s="65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2"/>
      <c r="P427" s="52"/>
      <c r="Q427" s="52"/>
      <c r="R427" s="63"/>
    </row>
    <row r="428" spans="1:18" s="4" customFormat="1" ht="12.75">
      <c r="A428" s="65"/>
      <c r="B428" s="66"/>
      <c r="C428" s="66"/>
      <c r="D428" s="65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2"/>
      <c r="P428" s="52"/>
      <c r="Q428" s="52"/>
      <c r="R428" s="63"/>
    </row>
    <row r="429" spans="1:18" s="4" customFormat="1" ht="12.75">
      <c r="A429" s="65"/>
      <c r="B429" s="66"/>
      <c r="C429" s="66"/>
      <c r="D429" s="65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2"/>
      <c r="P429" s="52"/>
      <c r="Q429" s="52"/>
      <c r="R429" s="63"/>
    </row>
    <row r="430" spans="1:18" s="4" customFormat="1" ht="12.75">
      <c r="A430" s="65"/>
      <c r="B430" s="66"/>
      <c r="C430" s="66"/>
      <c r="D430" s="65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2"/>
      <c r="P430" s="52"/>
      <c r="Q430" s="52"/>
      <c r="R430" s="63"/>
    </row>
    <row r="431" spans="1:18" s="4" customFormat="1" ht="12.75">
      <c r="A431" s="65"/>
      <c r="B431" s="66"/>
      <c r="C431" s="66"/>
      <c r="D431" s="65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2"/>
      <c r="P431" s="52"/>
      <c r="Q431" s="52"/>
      <c r="R431" s="63"/>
    </row>
    <row r="432" spans="1:18" s="4" customFormat="1" ht="12.75">
      <c r="A432" s="65"/>
      <c r="B432" s="66"/>
      <c r="C432" s="66"/>
      <c r="D432" s="65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2"/>
      <c r="P432" s="52"/>
      <c r="Q432" s="52"/>
      <c r="R432" s="63"/>
    </row>
    <row r="433" spans="1:18" s="4" customFormat="1" ht="12.75">
      <c r="A433" s="65"/>
      <c r="B433" s="66"/>
      <c r="C433" s="66"/>
      <c r="D433" s="65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2"/>
      <c r="P433" s="52"/>
      <c r="Q433" s="52"/>
      <c r="R433" s="63"/>
    </row>
    <row r="434" spans="1:18" s="4" customFormat="1" ht="12.75">
      <c r="A434" s="65"/>
      <c r="B434" s="66"/>
      <c r="C434" s="66"/>
      <c r="D434" s="65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2"/>
      <c r="P434" s="52"/>
      <c r="Q434" s="52"/>
      <c r="R434" s="63"/>
    </row>
    <row r="435" spans="1:18" s="4" customFormat="1" ht="12.75">
      <c r="A435" s="65"/>
      <c r="B435" s="66"/>
      <c r="C435" s="66"/>
      <c r="D435" s="65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2"/>
      <c r="P435" s="52"/>
      <c r="Q435" s="52"/>
      <c r="R435" s="63"/>
    </row>
    <row r="436" spans="1:18" s="4" customFormat="1" ht="12.75">
      <c r="A436" s="65"/>
      <c r="B436" s="66"/>
      <c r="C436" s="66"/>
      <c r="D436" s="65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2"/>
      <c r="P436" s="52"/>
      <c r="Q436" s="52"/>
      <c r="R436" s="63"/>
    </row>
    <row r="437" spans="1:18" s="4" customFormat="1" ht="12.75">
      <c r="A437" s="65"/>
      <c r="B437" s="66"/>
      <c r="C437" s="66"/>
      <c r="D437" s="65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2"/>
      <c r="P437" s="52"/>
      <c r="Q437" s="52"/>
      <c r="R437" s="63"/>
    </row>
    <row r="438" spans="1:18" s="4" customFormat="1" ht="12.75">
      <c r="A438" s="65"/>
      <c r="B438" s="66"/>
      <c r="C438" s="66"/>
      <c r="D438" s="65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2"/>
      <c r="P438" s="52"/>
      <c r="Q438" s="52"/>
      <c r="R438" s="63"/>
    </row>
    <row r="439" spans="1:18" s="4" customFormat="1" ht="12.75">
      <c r="A439" s="65"/>
      <c r="B439" s="66"/>
      <c r="C439" s="66"/>
      <c r="D439" s="65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2"/>
      <c r="P439" s="52"/>
      <c r="Q439" s="52"/>
      <c r="R439" s="63"/>
    </row>
    <row r="440" spans="1:18" s="4" customFormat="1" ht="12.75">
      <c r="A440" s="65"/>
      <c r="B440" s="66"/>
      <c r="C440" s="66"/>
      <c r="D440" s="65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2"/>
      <c r="P440" s="52"/>
      <c r="Q440" s="52"/>
      <c r="R440" s="63"/>
    </row>
    <row r="441" spans="1:18" s="4" customFormat="1" ht="12.75">
      <c r="A441" s="65"/>
      <c r="B441" s="66"/>
      <c r="C441" s="66"/>
      <c r="D441" s="65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2"/>
      <c r="P441" s="52"/>
      <c r="Q441" s="52"/>
      <c r="R441" s="63"/>
    </row>
    <row r="442" spans="1:18" s="4" customFormat="1" ht="12.75">
      <c r="A442" s="65"/>
      <c r="B442" s="66"/>
      <c r="C442" s="66"/>
      <c r="D442" s="65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2"/>
      <c r="P442" s="52"/>
      <c r="Q442" s="52"/>
      <c r="R442" s="63"/>
    </row>
    <row r="443" spans="1:18" s="4" customFormat="1" ht="12.75">
      <c r="A443" s="65"/>
      <c r="B443" s="66"/>
      <c r="C443" s="66"/>
      <c r="D443" s="65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2"/>
      <c r="P443" s="52"/>
      <c r="Q443" s="52"/>
      <c r="R443" s="63"/>
    </row>
    <row r="444" spans="1:18" s="4" customFormat="1" ht="12.75">
      <c r="A444" s="65"/>
      <c r="B444" s="66"/>
      <c r="C444" s="66"/>
      <c r="D444" s="65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2"/>
      <c r="P444" s="52"/>
      <c r="Q444" s="52"/>
      <c r="R444" s="63"/>
    </row>
    <row r="445" spans="1:18" s="4" customFormat="1" ht="12.75">
      <c r="A445" s="65"/>
      <c r="B445" s="66"/>
      <c r="C445" s="66"/>
      <c r="D445" s="65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2"/>
      <c r="P445" s="52"/>
      <c r="Q445" s="52"/>
      <c r="R445" s="63"/>
    </row>
    <row r="446" spans="1:18" s="4" customFormat="1" ht="12.75">
      <c r="A446" s="65"/>
      <c r="B446" s="66"/>
      <c r="C446" s="66"/>
      <c r="D446" s="65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2"/>
      <c r="P446" s="52"/>
      <c r="Q446" s="52"/>
      <c r="R446" s="63"/>
    </row>
    <row r="447" spans="1:18" s="4" customFormat="1" ht="12.75">
      <c r="A447" s="65"/>
      <c r="B447" s="66"/>
      <c r="C447" s="66"/>
      <c r="D447" s="65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2"/>
      <c r="P447" s="52"/>
      <c r="Q447" s="52"/>
      <c r="R447" s="63"/>
    </row>
    <row r="448" spans="1:18" s="4" customFormat="1" ht="12.75">
      <c r="A448" s="65"/>
      <c r="B448" s="66"/>
      <c r="C448" s="66"/>
      <c r="D448" s="65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2"/>
      <c r="P448" s="52"/>
      <c r="Q448" s="52"/>
      <c r="R448" s="63"/>
    </row>
    <row r="449" spans="1:18" s="4" customFormat="1" ht="12.75">
      <c r="A449" s="65"/>
      <c r="B449" s="66"/>
      <c r="C449" s="66"/>
      <c r="D449" s="65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2"/>
      <c r="P449" s="52"/>
      <c r="Q449" s="52"/>
      <c r="R449" s="63"/>
    </row>
    <row r="450" spans="1:18" s="4" customFormat="1" ht="12.75">
      <c r="A450" s="65"/>
      <c r="B450" s="66"/>
      <c r="C450" s="66"/>
      <c r="D450" s="65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2"/>
      <c r="P450" s="52"/>
      <c r="Q450" s="52"/>
      <c r="R450" s="63"/>
    </row>
    <row r="451" spans="1:18" s="4" customFormat="1" ht="12.75">
      <c r="A451" s="65"/>
      <c r="B451" s="66"/>
      <c r="C451" s="66"/>
      <c r="D451" s="65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2"/>
      <c r="P451" s="52"/>
      <c r="Q451" s="52"/>
      <c r="R451" s="63"/>
    </row>
    <row r="452" spans="1:18" s="4" customFormat="1" ht="12.75">
      <c r="A452" s="65"/>
      <c r="B452" s="66"/>
      <c r="C452" s="66"/>
      <c r="D452" s="65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2"/>
      <c r="P452" s="52"/>
      <c r="Q452" s="52"/>
      <c r="R452" s="63"/>
    </row>
    <row r="453" spans="1:18" s="4" customFormat="1" ht="12.75">
      <c r="A453" s="65"/>
      <c r="B453" s="66"/>
      <c r="C453" s="66"/>
      <c r="D453" s="65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2"/>
      <c r="P453" s="52"/>
      <c r="Q453" s="52"/>
      <c r="R453" s="63"/>
    </row>
    <row r="454" spans="1:18" s="4" customFormat="1" ht="12.75">
      <c r="A454" s="65"/>
      <c r="B454" s="66"/>
      <c r="C454" s="66"/>
      <c r="D454" s="65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2"/>
      <c r="P454" s="52"/>
      <c r="Q454" s="52"/>
      <c r="R454" s="63"/>
    </row>
    <row r="455" spans="1:18" s="4" customFormat="1" ht="12.75">
      <c r="A455" s="65"/>
      <c r="B455" s="66"/>
      <c r="C455" s="66"/>
      <c r="D455" s="65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2"/>
      <c r="P455" s="52"/>
      <c r="Q455" s="52"/>
      <c r="R455" s="63"/>
    </row>
    <row r="456" spans="1:18" s="4" customFormat="1" ht="12.75">
      <c r="A456" s="65"/>
      <c r="B456" s="66"/>
      <c r="C456" s="66"/>
      <c r="D456" s="65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2"/>
      <c r="P456" s="52"/>
      <c r="Q456" s="52"/>
      <c r="R456" s="63"/>
    </row>
    <row r="457" spans="1:18" s="4" customFormat="1" ht="12.75">
      <c r="A457" s="65"/>
      <c r="B457" s="66"/>
      <c r="C457" s="66"/>
      <c r="D457" s="65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2"/>
      <c r="P457" s="52"/>
      <c r="Q457" s="52"/>
      <c r="R457" s="63"/>
    </row>
    <row r="458" spans="1:18" s="4" customFormat="1" ht="12.75">
      <c r="A458" s="65"/>
      <c r="B458" s="66"/>
      <c r="C458" s="66"/>
      <c r="D458" s="65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2"/>
      <c r="P458" s="52"/>
      <c r="Q458" s="52"/>
      <c r="R458" s="63"/>
    </row>
    <row r="459" spans="1:18" s="4" customFormat="1" ht="12.75">
      <c r="A459" s="65"/>
      <c r="B459" s="66"/>
      <c r="C459" s="66"/>
      <c r="D459" s="65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2"/>
      <c r="P459" s="52"/>
      <c r="Q459" s="52"/>
      <c r="R459" s="63"/>
    </row>
    <row r="460" spans="1:18" s="4" customFormat="1" ht="12.75">
      <c r="A460" s="65"/>
      <c r="B460" s="66"/>
      <c r="C460" s="66"/>
      <c r="D460" s="65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2"/>
      <c r="P460" s="52"/>
      <c r="Q460" s="52"/>
      <c r="R460" s="63"/>
    </row>
    <row r="461" spans="1:18" s="4" customFormat="1" ht="12.75">
      <c r="A461" s="65"/>
      <c r="B461" s="66"/>
      <c r="C461" s="66"/>
      <c r="D461" s="65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2"/>
      <c r="P461" s="52"/>
      <c r="Q461" s="52"/>
      <c r="R461" s="63"/>
    </row>
    <row r="462" spans="1:18" s="4" customFormat="1" ht="12.75">
      <c r="A462" s="33"/>
      <c r="B462" s="32"/>
      <c r="C462" s="32"/>
      <c r="D462" s="33"/>
      <c r="O462" s="36"/>
      <c r="P462" s="36"/>
      <c r="Q462" s="36"/>
      <c r="R462" s="30"/>
    </row>
    <row r="463" spans="1:18" s="4" customFormat="1" ht="12.75">
      <c r="A463" s="33"/>
      <c r="B463" s="32"/>
      <c r="C463" s="32"/>
      <c r="D463" s="33"/>
      <c r="O463" s="36"/>
      <c r="P463" s="36"/>
      <c r="Q463" s="36"/>
      <c r="R463" s="30"/>
    </row>
    <row r="464" spans="1:18" s="4" customFormat="1" ht="12.75">
      <c r="A464" s="33"/>
      <c r="B464" s="32"/>
      <c r="C464" s="32"/>
      <c r="D464" s="33"/>
      <c r="O464" s="36"/>
      <c r="P464" s="36"/>
      <c r="Q464" s="36"/>
      <c r="R464" s="30"/>
    </row>
    <row r="465" spans="1:18" s="4" customFormat="1" ht="12.75">
      <c r="A465" s="33"/>
      <c r="B465" s="32"/>
      <c r="C465" s="32"/>
      <c r="D465" s="33"/>
      <c r="O465" s="36"/>
      <c r="P465" s="36"/>
      <c r="Q465" s="36"/>
      <c r="R465" s="30"/>
    </row>
    <row r="466" spans="1:18" s="4" customFormat="1" ht="12.75">
      <c r="A466" s="33"/>
      <c r="B466" s="32"/>
      <c r="C466" s="32"/>
      <c r="D466" s="33"/>
      <c r="O466" s="36"/>
      <c r="P466" s="36"/>
      <c r="Q466" s="36"/>
      <c r="R466" s="30"/>
    </row>
    <row r="467" spans="1:18" s="4" customFormat="1" ht="12.75">
      <c r="A467" s="33"/>
      <c r="B467" s="32"/>
      <c r="C467" s="32"/>
      <c r="D467" s="33"/>
      <c r="O467" s="36"/>
      <c r="P467" s="36"/>
      <c r="Q467" s="36"/>
      <c r="R467" s="30"/>
    </row>
    <row r="468" spans="1:18" s="4" customFormat="1" ht="12.75">
      <c r="A468" s="33"/>
      <c r="B468" s="32"/>
      <c r="C468" s="32"/>
      <c r="D468" s="33"/>
      <c r="O468" s="36"/>
      <c r="P468" s="36"/>
      <c r="Q468" s="36"/>
      <c r="R468" s="30"/>
    </row>
    <row r="469" spans="1:18" s="4" customFormat="1" ht="12.75">
      <c r="A469" s="33"/>
      <c r="B469" s="32"/>
      <c r="C469" s="32"/>
      <c r="D469" s="33"/>
      <c r="O469" s="36"/>
      <c r="P469" s="36"/>
      <c r="Q469" s="36"/>
      <c r="R469" s="30"/>
    </row>
    <row r="470" spans="1:18" s="4" customFormat="1" ht="12.75">
      <c r="A470" s="33"/>
      <c r="B470" s="32"/>
      <c r="C470" s="32"/>
      <c r="D470" s="33"/>
      <c r="O470" s="36"/>
      <c r="P470" s="36"/>
      <c r="Q470" s="36"/>
      <c r="R470" s="30"/>
    </row>
    <row r="471" spans="1:18" s="4" customFormat="1" ht="12.75">
      <c r="A471" s="33"/>
      <c r="B471" s="32"/>
      <c r="C471" s="32"/>
      <c r="D471" s="33"/>
      <c r="O471" s="36"/>
      <c r="P471" s="36"/>
      <c r="Q471" s="36"/>
      <c r="R471" s="30"/>
    </row>
    <row r="472" spans="1:18" s="4" customFormat="1" ht="12.75">
      <c r="A472" s="33"/>
      <c r="B472" s="32"/>
      <c r="C472" s="32"/>
      <c r="D472" s="33"/>
      <c r="O472" s="36"/>
      <c r="P472" s="36"/>
      <c r="Q472" s="36"/>
      <c r="R472" s="30"/>
    </row>
    <row r="473" spans="1:18" s="4" customFormat="1" ht="12.75">
      <c r="A473" s="33"/>
      <c r="B473" s="32"/>
      <c r="C473" s="32"/>
      <c r="D473" s="33"/>
      <c r="O473" s="36"/>
      <c r="P473" s="36"/>
      <c r="Q473" s="36"/>
      <c r="R473" s="30"/>
    </row>
    <row r="474" spans="1:18" s="4" customFormat="1" ht="12.75">
      <c r="A474" s="33"/>
      <c r="B474" s="32"/>
      <c r="C474" s="32"/>
      <c r="D474" s="33"/>
      <c r="O474" s="36"/>
      <c r="P474" s="36"/>
      <c r="Q474" s="36"/>
      <c r="R474" s="30"/>
    </row>
    <row r="475" spans="1:18" s="4" customFormat="1" ht="12.75">
      <c r="A475" s="33"/>
      <c r="B475" s="32"/>
      <c r="C475" s="32"/>
      <c r="D475" s="33"/>
      <c r="O475" s="36"/>
      <c r="P475" s="36"/>
      <c r="Q475" s="36"/>
      <c r="R475" s="30"/>
    </row>
    <row r="476" spans="1:18" s="4" customFormat="1" ht="12.75">
      <c r="A476" s="33"/>
      <c r="B476" s="32"/>
      <c r="C476" s="32"/>
      <c r="D476" s="33"/>
      <c r="O476" s="36"/>
      <c r="P476" s="36"/>
      <c r="Q476" s="36"/>
      <c r="R476" s="30"/>
    </row>
    <row r="477" spans="1:18" s="4" customFormat="1" ht="12.75">
      <c r="A477" s="33"/>
      <c r="B477" s="32"/>
      <c r="C477" s="32"/>
      <c r="D477" s="33"/>
      <c r="O477" s="36"/>
      <c r="P477" s="36"/>
      <c r="Q477" s="36"/>
      <c r="R477" s="30"/>
    </row>
    <row r="478" spans="1:18" s="4" customFormat="1" ht="12.75">
      <c r="A478" s="33"/>
      <c r="B478" s="32"/>
      <c r="C478" s="32"/>
      <c r="D478" s="33"/>
      <c r="O478" s="36"/>
      <c r="P478" s="36"/>
      <c r="Q478" s="36"/>
      <c r="R478" s="30"/>
    </row>
    <row r="479" spans="1:18" s="4" customFormat="1" ht="12.75">
      <c r="A479" s="33"/>
      <c r="B479" s="32"/>
      <c r="C479" s="32"/>
      <c r="D479" s="33"/>
      <c r="O479" s="36"/>
      <c r="P479" s="36"/>
      <c r="Q479" s="36"/>
      <c r="R479" s="30"/>
    </row>
    <row r="480" spans="1:18" s="4" customFormat="1" ht="12.75">
      <c r="A480" s="33"/>
      <c r="B480" s="32"/>
      <c r="C480" s="32"/>
      <c r="D480" s="33"/>
      <c r="O480" s="36"/>
      <c r="P480" s="36"/>
      <c r="Q480" s="36"/>
      <c r="R480" s="30"/>
    </row>
    <row r="481" spans="1:18" s="4" customFormat="1" ht="12.75">
      <c r="A481" s="33"/>
      <c r="B481" s="32"/>
      <c r="C481" s="32"/>
      <c r="D481" s="33"/>
      <c r="O481" s="36"/>
      <c r="P481" s="36"/>
      <c r="Q481" s="36"/>
      <c r="R481" s="30"/>
    </row>
    <row r="482" spans="1:18" s="4" customFormat="1" ht="12.75">
      <c r="A482" s="33"/>
      <c r="B482" s="32"/>
      <c r="C482" s="32"/>
      <c r="D482" s="33"/>
      <c r="O482" s="36"/>
      <c r="P482" s="36"/>
      <c r="Q482" s="36"/>
      <c r="R482" s="30"/>
    </row>
    <row r="483" spans="1:18" s="4" customFormat="1" ht="12.75">
      <c r="A483" s="33"/>
      <c r="B483" s="32"/>
      <c r="C483" s="32"/>
      <c r="D483" s="33"/>
      <c r="O483" s="36"/>
      <c r="P483" s="36"/>
      <c r="Q483" s="36"/>
      <c r="R483" s="30"/>
    </row>
    <row r="484" spans="1:18" s="4" customFormat="1" ht="12.75">
      <c r="A484" s="33"/>
      <c r="B484" s="32"/>
      <c r="C484" s="32"/>
      <c r="D484" s="33"/>
      <c r="O484" s="36"/>
      <c r="P484" s="36"/>
      <c r="Q484" s="36"/>
      <c r="R484" s="30"/>
    </row>
    <row r="485" spans="1:18" s="4" customFormat="1" ht="12.75">
      <c r="A485" s="33"/>
      <c r="B485" s="32"/>
      <c r="C485" s="32"/>
      <c r="D485" s="33"/>
      <c r="O485" s="36"/>
      <c r="P485" s="36"/>
      <c r="Q485" s="36"/>
      <c r="R485" s="30"/>
    </row>
    <row r="486" spans="1:18" s="4" customFormat="1" ht="12.75">
      <c r="A486" s="33"/>
      <c r="B486" s="32"/>
      <c r="C486" s="32"/>
      <c r="D486" s="33"/>
      <c r="O486" s="36"/>
      <c r="P486" s="36"/>
      <c r="Q486" s="36"/>
      <c r="R486" s="30"/>
    </row>
    <row r="487" spans="1:18">
      <c r="A487" s="33"/>
      <c r="B487" s="32"/>
      <c r="C487" s="32"/>
      <c r="D487" s="3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6"/>
      <c r="P487" s="36"/>
      <c r="Q487" s="36"/>
      <c r="R487" s="30"/>
    </row>
    <row r="488" spans="1:18">
      <c r="A488" s="33"/>
      <c r="B488" s="32"/>
      <c r="C488" s="32"/>
      <c r="D488" s="3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6"/>
      <c r="P488" s="36"/>
      <c r="Q488" s="36"/>
      <c r="R488" s="30"/>
    </row>
    <row r="489" spans="1:18">
      <c r="A489" s="33"/>
      <c r="B489" s="32"/>
      <c r="C489" s="32"/>
      <c r="D489" s="3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6"/>
      <c r="P489" s="36"/>
      <c r="Q489" s="36"/>
      <c r="R489" s="30"/>
    </row>
    <row r="490" spans="1:18">
      <c r="A490" s="33"/>
      <c r="B490" s="32"/>
      <c r="C490" s="32"/>
      <c r="D490" s="3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6"/>
      <c r="P490" s="36"/>
      <c r="Q490" s="36"/>
      <c r="R490" s="30"/>
    </row>
    <row r="491" spans="1:18">
      <c r="A491" s="33"/>
      <c r="B491" s="32"/>
      <c r="C491" s="32"/>
      <c r="D491" s="3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6"/>
      <c r="P491" s="36"/>
      <c r="Q491" s="36"/>
      <c r="R491" s="30"/>
    </row>
    <row r="492" spans="1:18">
      <c r="A492" s="33"/>
      <c r="B492" s="32"/>
      <c r="C492" s="32"/>
      <c r="D492" s="3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6"/>
      <c r="P492" s="36"/>
      <c r="Q492" s="36"/>
      <c r="R492" s="30"/>
    </row>
    <row r="493" spans="1:18">
      <c r="A493" s="33"/>
      <c r="B493" s="32"/>
      <c r="C493" s="32"/>
      <c r="D493" s="3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6"/>
      <c r="P493" s="36"/>
      <c r="Q493" s="36"/>
      <c r="R493" s="30"/>
    </row>
    <row r="494" spans="1:18">
      <c r="A494" s="33"/>
      <c r="B494" s="32"/>
      <c r="C494" s="32"/>
      <c r="D494" s="3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6"/>
      <c r="P494" s="36"/>
      <c r="Q494" s="36"/>
      <c r="R494" s="30"/>
    </row>
    <row r="495" spans="1:18">
      <c r="A495" s="33"/>
      <c r="B495" s="32"/>
      <c r="C495" s="32"/>
      <c r="D495" s="3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6"/>
      <c r="P495" s="36"/>
      <c r="Q495" s="36"/>
      <c r="R495" s="30"/>
    </row>
    <row r="496" spans="1:18">
      <c r="A496" s="33"/>
      <c r="B496" s="32"/>
      <c r="C496" s="32"/>
      <c r="D496" s="3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6"/>
      <c r="P496" s="36"/>
      <c r="Q496" s="36"/>
      <c r="R496" s="30"/>
    </row>
    <row r="497" spans="1:18">
      <c r="A497" s="33"/>
      <c r="B497" s="32"/>
      <c r="C497" s="32"/>
      <c r="D497" s="3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6"/>
      <c r="P497" s="36"/>
      <c r="Q497" s="36"/>
      <c r="R497" s="30"/>
    </row>
    <row r="498" spans="1:18">
      <c r="A498" s="33"/>
      <c r="B498" s="32"/>
      <c r="C498" s="32"/>
      <c r="D498" s="3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6"/>
      <c r="P498" s="36"/>
      <c r="Q498" s="36"/>
      <c r="R498" s="30"/>
    </row>
    <row r="499" spans="1:18">
      <c r="A499" s="33"/>
      <c r="B499" s="32"/>
      <c r="C499" s="32"/>
      <c r="D499" s="3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6"/>
      <c r="P499" s="36"/>
      <c r="Q499" s="36"/>
      <c r="R499" s="30"/>
    </row>
    <row r="500" spans="1:18">
      <c r="A500" s="33"/>
      <c r="B500" s="32"/>
      <c r="C500" s="32"/>
      <c r="D500" s="3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6"/>
      <c r="P500" s="36"/>
      <c r="Q500" s="36"/>
      <c r="R500" s="30"/>
    </row>
    <row r="501" spans="1:18">
      <c r="A501" s="33"/>
      <c r="B501" s="32"/>
      <c r="C501" s="32"/>
      <c r="D501" s="3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6"/>
      <c r="P501" s="36"/>
      <c r="Q501" s="36"/>
      <c r="R501" s="30"/>
    </row>
    <row r="502" spans="1:18">
      <c r="A502" s="33"/>
      <c r="B502" s="32"/>
      <c r="C502" s="32"/>
      <c r="D502" s="3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6"/>
      <c r="P502" s="36"/>
      <c r="Q502" s="36"/>
      <c r="R502" s="30"/>
    </row>
    <row r="503" spans="1:18">
      <c r="A503" s="33"/>
      <c r="B503" s="32"/>
      <c r="C503" s="32"/>
      <c r="D503" s="3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6"/>
      <c r="P503" s="36"/>
      <c r="Q503" s="36"/>
      <c r="R503" s="30"/>
    </row>
    <row r="504" spans="1:18">
      <c r="A504" s="33"/>
      <c r="B504" s="32"/>
      <c r="C504" s="32"/>
      <c r="D504" s="3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6"/>
      <c r="P504" s="36"/>
      <c r="Q504" s="36"/>
      <c r="R504" s="30"/>
    </row>
    <row r="505" spans="1:18">
      <c r="A505" s="33"/>
      <c r="B505" s="32"/>
      <c r="C505" s="32"/>
      <c r="D505" s="3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6"/>
      <c r="P505" s="36"/>
      <c r="Q505" s="36"/>
      <c r="R505" s="30"/>
    </row>
    <row r="506" spans="1:18">
      <c r="A506" s="33"/>
      <c r="B506" s="32"/>
      <c r="C506" s="32"/>
      <c r="D506" s="3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6"/>
      <c r="P506" s="36"/>
      <c r="Q506" s="36"/>
      <c r="R506" s="30"/>
    </row>
    <row r="507" spans="1:18">
      <c r="A507" s="33"/>
      <c r="B507" s="32"/>
      <c r="C507" s="32"/>
      <c r="D507" s="3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6"/>
      <c r="P507" s="36"/>
      <c r="Q507" s="36"/>
      <c r="R507" s="30"/>
    </row>
    <row r="508" spans="1:18">
      <c r="A508" s="33"/>
      <c r="B508" s="32"/>
      <c r="C508" s="32"/>
      <c r="D508" s="3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6"/>
      <c r="P508" s="36"/>
      <c r="Q508" s="36"/>
      <c r="R508" s="30"/>
    </row>
    <row r="509" spans="1:18">
      <c r="A509" s="33"/>
      <c r="B509" s="32"/>
      <c r="C509" s="32"/>
      <c r="D509" s="3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6"/>
      <c r="P509" s="36"/>
      <c r="Q509" s="36"/>
      <c r="R509" s="30"/>
    </row>
    <row r="510" spans="1:18">
      <c r="A510" s="33"/>
      <c r="B510" s="32"/>
      <c r="C510" s="32"/>
      <c r="D510" s="3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6"/>
      <c r="P510" s="36"/>
      <c r="Q510" s="36"/>
      <c r="R510" s="30"/>
    </row>
    <row r="511" spans="1:18">
      <c r="A511" s="33"/>
      <c r="B511" s="32"/>
      <c r="C511" s="32"/>
      <c r="D511" s="3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6"/>
      <c r="P511" s="36"/>
      <c r="Q511" s="36"/>
      <c r="R511" s="30"/>
    </row>
    <row r="512" spans="1:18">
      <c r="A512" s="33"/>
      <c r="B512" s="32"/>
      <c r="C512" s="32"/>
      <c r="D512" s="3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6"/>
      <c r="P512" s="36"/>
      <c r="Q512" s="36"/>
      <c r="R512" s="30"/>
    </row>
    <row r="513" spans="1:18">
      <c r="A513" s="33"/>
      <c r="B513" s="32"/>
      <c r="C513" s="32"/>
      <c r="D513" s="3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6"/>
      <c r="P513" s="36"/>
      <c r="Q513" s="36"/>
      <c r="R513" s="30"/>
    </row>
    <row r="514" spans="1:18">
      <c r="A514" s="33"/>
      <c r="B514" s="32"/>
      <c r="C514" s="32"/>
      <c r="D514" s="3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6"/>
      <c r="P514" s="36"/>
      <c r="Q514" s="36"/>
      <c r="R514" s="30"/>
    </row>
    <row r="515" spans="1:18">
      <c r="A515" s="33"/>
      <c r="B515" s="32"/>
      <c r="C515" s="32"/>
      <c r="D515" s="3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6"/>
      <c r="P515" s="36"/>
      <c r="Q515" s="36"/>
      <c r="R515" s="30"/>
    </row>
    <row r="516" spans="1:18">
      <c r="A516" s="33"/>
      <c r="B516" s="32"/>
      <c r="C516" s="32"/>
      <c r="D516" s="3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6"/>
      <c r="P516" s="36"/>
      <c r="Q516" s="36"/>
      <c r="R516" s="30"/>
    </row>
    <row r="517" spans="1:18">
      <c r="A517" s="33"/>
      <c r="B517" s="32"/>
      <c r="C517" s="32"/>
      <c r="D517" s="3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6"/>
      <c r="P517" s="36"/>
      <c r="Q517" s="36"/>
      <c r="R517" s="30"/>
    </row>
    <row r="518" spans="1:18">
      <c r="A518" s="33"/>
      <c r="B518" s="32"/>
      <c r="C518" s="32"/>
      <c r="D518" s="3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6"/>
      <c r="P518" s="36"/>
      <c r="Q518" s="36"/>
      <c r="R518" s="30"/>
    </row>
    <row r="519" spans="1:18">
      <c r="A519" s="33"/>
      <c r="B519" s="32"/>
      <c r="C519" s="32"/>
      <c r="D519" s="3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6"/>
      <c r="P519" s="36"/>
      <c r="Q519" s="36"/>
      <c r="R519" s="30"/>
    </row>
    <row r="520" spans="1:18">
      <c r="A520" s="33"/>
      <c r="B520" s="32"/>
      <c r="C520" s="32"/>
      <c r="D520" s="3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6"/>
      <c r="P520" s="36"/>
      <c r="Q520" s="36"/>
      <c r="R520" s="30"/>
    </row>
    <row r="521" spans="1:18">
      <c r="A521" s="33"/>
      <c r="B521" s="32"/>
      <c r="C521" s="32"/>
      <c r="D521" s="3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6"/>
      <c r="P521" s="36"/>
      <c r="Q521" s="36"/>
      <c r="R521" s="30"/>
    </row>
    <row r="522" spans="1:18">
      <c r="A522" s="33"/>
      <c r="B522" s="32"/>
      <c r="C522" s="32"/>
      <c r="D522" s="3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6"/>
      <c r="P522" s="36"/>
      <c r="Q522" s="36"/>
      <c r="R522" s="30"/>
    </row>
    <row r="523" spans="1:18">
      <c r="A523" s="33"/>
      <c r="B523" s="32"/>
      <c r="C523" s="32"/>
      <c r="D523" s="3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6"/>
      <c r="P523" s="36"/>
      <c r="Q523" s="36"/>
      <c r="R523" s="30"/>
    </row>
    <row r="524" spans="1:18">
      <c r="A524" s="33"/>
      <c r="B524" s="32"/>
      <c r="C524" s="32"/>
      <c r="D524" s="3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6"/>
      <c r="P524" s="36"/>
      <c r="Q524" s="36"/>
      <c r="R524" s="30"/>
    </row>
    <row r="525" spans="1:18">
      <c r="A525" s="33"/>
      <c r="B525" s="32"/>
      <c r="C525" s="32"/>
      <c r="D525" s="3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6"/>
      <c r="P525" s="36"/>
      <c r="Q525" s="36"/>
      <c r="R525" s="30"/>
    </row>
    <row r="526" spans="1:18">
      <c r="A526" s="33"/>
      <c r="B526" s="32"/>
      <c r="C526" s="32"/>
      <c r="D526" s="3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6"/>
      <c r="P526" s="36"/>
      <c r="Q526" s="36"/>
      <c r="R526" s="30"/>
    </row>
    <row r="527" spans="1:18">
      <c r="A527" s="33"/>
      <c r="B527" s="32"/>
      <c r="C527" s="32"/>
      <c r="D527" s="3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6"/>
      <c r="P527" s="36"/>
      <c r="Q527" s="36"/>
      <c r="R527" s="30"/>
    </row>
    <row r="528" spans="1:18">
      <c r="A528" s="33"/>
      <c r="B528" s="32"/>
      <c r="C528" s="32"/>
      <c r="D528" s="3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6"/>
      <c r="P528" s="36"/>
      <c r="Q528" s="36"/>
      <c r="R528" s="30"/>
    </row>
    <row r="529" spans="1:18">
      <c r="A529" s="33"/>
      <c r="B529" s="32"/>
      <c r="C529" s="32"/>
      <c r="D529" s="3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6"/>
      <c r="P529" s="36"/>
      <c r="Q529" s="36"/>
      <c r="R529" s="30"/>
    </row>
    <row r="530" spans="1:18">
      <c r="A530" s="33"/>
      <c r="B530" s="32"/>
      <c r="C530" s="32"/>
      <c r="D530" s="3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6"/>
      <c r="P530" s="36"/>
      <c r="Q530" s="36"/>
      <c r="R530" s="30"/>
    </row>
    <row r="531" spans="1:18">
      <c r="A531" s="33"/>
      <c r="B531" s="32"/>
      <c r="C531" s="32"/>
      <c r="D531" s="3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6"/>
      <c r="P531" s="36"/>
      <c r="Q531" s="36"/>
      <c r="R531" s="30"/>
    </row>
    <row r="532" spans="1:18">
      <c r="A532" s="33"/>
      <c r="B532" s="32"/>
      <c r="C532" s="32"/>
      <c r="D532" s="3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6"/>
      <c r="P532" s="36"/>
      <c r="Q532" s="36"/>
      <c r="R532" s="30"/>
    </row>
    <row r="533" spans="1:18">
      <c r="A533" s="33"/>
      <c r="B533" s="32"/>
      <c r="C533" s="32"/>
      <c r="D533" s="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6"/>
      <c r="P533" s="36"/>
      <c r="Q533" s="36"/>
      <c r="R533" s="30"/>
    </row>
    <row r="534" spans="1:18">
      <c r="A534" s="33"/>
      <c r="B534" s="32"/>
      <c r="C534" s="32"/>
      <c r="D534" s="3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6"/>
      <c r="P534" s="36"/>
      <c r="Q534" s="36"/>
      <c r="R534" s="30"/>
    </row>
    <row r="535" spans="1:18">
      <c r="A535" s="33"/>
      <c r="B535" s="32"/>
      <c r="C535" s="32"/>
      <c r="D535" s="3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6"/>
      <c r="P535" s="36"/>
      <c r="Q535" s="36"/>
      <c r="R535" s="30"/>
    </row>
    <row r="536" spans="1:18">
      <c r="A536" s="33"/>
      <c r="B536" s="32"/>
      <c r="C536" s="32"/>
      <c r="D536" s="3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6"/>
      <c r="P536" s="36"/>
      <c r="Q536" s="36"/>
      <c r="R536" s="30"/>
    </row>
    <row r="537" spans="1:18">
      <c r="A537" s="33"/>
      <c r="B537" s="32"/>
      <c r="C537" s="32"/>
      <c r="D537" s="3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6"/>
      <c r="P537" s="36"/>
      <c r="Q537" s="36"/>
      <c r="R537" s="30"/>
    </row>
    <row r="538" spans="1:18">
      <c r="A538" s="33"/>
      <c r="B538" s="32"/>
      <c r="C538" s="32"/>
      <c r="D538" s="3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6"/>
      <c r="P538" s="36"/>
      <c r="Q538" s="36"/>
      <c r="R538" s="30"/>
    </row>
    <row r="539" spans="1:18">
      <c r="A539" s="33"/>
      <c r="B539" s="32"/>
      <c r="C539" s="32"/>
      <c r="D539" s="3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6"/>
      <c r="P539" s="36"/>
      <c r="Q539" s="36"/>
      <c r="R539" s="30"/>
    </row>
    <row r="540" spans="1:18">
      <c r="A540" s="33"/>
      <c r="B540" s="32"/>
      <c r="C540" s="32"/>
      <c r="D540" s="3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6"/>
      <c r="P540" s="36"/>
      <c r="Q540" s="36"/>
      <c r="R540" s="30"/>
    </row>
    <row r="541" spans="1:18">
      <c r="A541" s="33"/>
      <c r="B541" s="32"/>
      <c r="C541" s="32"/>
      <c r="D541" s="3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6"/>
      <c r="P541" s="36"/>
      <c r="Q541" s="36"/>
      <c r="R541" s="30"/>
    </row>
    <row r="542" spans="1:18">
      <c r="A542" s="33"/>
      <c r="B542" s="32"/>
      <c r="C542" s="32"/>
      <c r="D542" s="3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6"/>
      <c r="P542" s="36"/>
      <c r="Q542" s="36"/>
      <c r="R542" s="30"/>
    </row>
    <row r="543" spans="1:18">
      <c r="A543" s="33"/>
      <c r="B543" s="32"/>
      <c r="C543" s="32"/>
      <c r="D543" s="3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6"/>
      <c r="P543" s="36"/>
      <c r="Q543" s="36"/>
      <c r="R543" s="30"/>
    </row>
    <row r="544" spans="1:18">
      <c r="A544" s="33"/>
      <c r="B544" s="32"/>
      <c r="C544" s="32"/>
      <c r="D544" s="3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6"/>
      <c r="P544" s="36"/>
      <c r="Q544" s="36"/>
      <c r="R544" s="30"/>
    </row>
    <row r="545" spans="1:18">
      <c r="A545" s="33"/>
      <c r="B545" s="32"/>
      <c r="C545" s="32"/>
      <c r="D545" s="3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6"/>
      <c r="P545" s="36"/>
      <c r="Q545" s="36"/>
      <c r="R545" s="30"/>
    </row>
    <row r="546" spans="1:18">
      <c r="A546" s="33"/>
      <c r="B546" s="32"/>
      <c r="C546" s="32"/>
      <c r="D546" s="3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6"/>
      <c r="P546" s="36"/>
      <c r="Q546" s="36"/>
      <c r="R546" s="30"/>
    </row>
    <row r="547" spans="1:18">
      <c r="A547" s="33"/>
      <c r="B547" s="32"/>
      <c r="C547" s="32"/>
      <c r="D547" s="3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6"/>
      <c r="P547" s="36"/>
    </row>
    <row r="548" spans="1:18">
      <c r="A548" s="33"/>
      <c r="B548" s="32"/>
      <c r="C548" s="32"/>
      <c r="D548" s="3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6"/>
      <c r="P548" s="36"/>
    </row>
    <row r="549" spans="1:18">
      <c r="A549" s="33"/>
      <c r="B549" s="32"/>
      <c r="C549" s="32"/>
      <c r="D549" s="3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6"/>
      <c r="P549" s="36"/>
    </row>
    <row r="550" spans="1:18">
      <c r="A550" s="33"/>
      <c r="B550" s="32"/>
      <c r="C550" s="32"/>
      <c r="D550" s="3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6"/>
      <c r="P550" s="36"/>
    </row>
    <row r="551" spans="1:18">
      <c r="A551" s="33"/>
      <c r="B551" s="32"/>
      <c r="C551" s="32"/>
      <c r="D551" s="3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6"/>
      <c r="P551" s="36"/>
    </row>
    <row r="552" spans="1:18">
      <c r="A552" s="33"/>
      <c r="B552" s="32"/>
      <c r="C552" s="32"/>
      <c r="D552" s="3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6"/>
      <c r="P552" s="36"/>
    </row>
    <row r="553" spans="1:18">
      <c r="A553" s="33"/>
      <c r="B553" s="32"/>
      <c r="C553" s="32"/>
      <c r="D553" s="3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6"/>
      <c r="P553" s="36"/>
    </row>
    <row r="554" spans="1:18">
      <c r="A554" s="33"/>
      <c r="B554" s="32"/>
      <c r="C554" s="32"/>
      <c r="D554" s="3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6"/>
      <c r="P554" s="36"/>
    </row>
    <row r="555" spans="1:18">
      <c r="A555" s="33"/>
      <c r="B555" s="32"/>
      <c r="C555" s="32"/>
      <c r="D555" s="3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6"/>
      <c r="P555" s="36"/>
    </row>
    <row r="556" spans="1:18">
      <c r="A556" s="33"/>
      <c r="B556" s="32"/>
      <c r="C556" s="32"/>
      <c r="D556" s="3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6"/>
      <c r="P556" s="36"/>
    </row>
    <row r="557" spans="1:18">
      <c r="A557" s="33"/>
      <c r="B557" s="32"/>
      <c r="C557" s="32"/>
      <c r="D557" s="3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6"/>
      <c r="P557" s="36"/>
    </row>
    <row r="558" spans="1:18">
      <c r="A558" s="33"/>
      <c r="B558" s="32"/>
      <c r="C558" s="32"/>
      <c r="D558" s="3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6"/>
      <c r="P558" s="36"/>
    </row>
    <row r="559" spans="1:18">
      <c r="A559" s="33"/>
      <c r="B559" s="32"/>
      <c r="C559" s="32"/>
      <c r="D559" s="3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6"/>
      <c r="P559" s="36"/>
    </row>
    <row r="560" spans="1:18">
      <c r="A560" s="33"/>
      <c r="B560" s="32"/>
      <c r="C560" s="32"/>
      <c r="D560" s="3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6"/>
      <c r="P560" s="36"/>
    </row>
    <row r="561" spans="1:16">
      <c r="A561" s="33"/>
      <c r="B561" s="32"/>
      <c r="C561" s="32"/>
      <c r="D561" s="3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6"/>
      <c r="P561" s="36"/>
    </row>
    <row r="562" spans="1:16">
      <c r="A562" s="33"/>
      <c r="B562" s="32"/>
      <c r="C562" s="32"/>
      <c r="D562" s="3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6"/>
      <c r="P562" s="36"/>
    </row>
    <row r="563" spans="1:16">
      <c r="A563" s="33"/>
      <c r="B563" s="32"/>
      <c r="C563" s="32"/>
      <c r="D563" s="3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6"/>
      <c r="P563" s="36"/>
    </row>
    <row r="564" spans="1:16">
      <c r="A564" s="33"/>
      <c r="B564" s="32"/>
      <c r="C564" s="32"/>
      <c r="D564" s="3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6"/>
      <c r="P564" s="36"/>
    </row>
    <row r="565" spans="1:16">
      <c r="A565" s="33"/>
      <c r="B565" s="32"/>
      <c r="C565" s="32"/>
      <c r="D565" s="3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6"/>
      <c r="P565" s="36"/>
    </row>
    <row r="566" spans="1:16">
      <c r="A566" s="33"/>
      <c r="B566" s="32"/>
      <c r="C566" s="32"/>
      <c r="D566" s="3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6"/>
      <c r="P566" s="36"/>
    </row>
    <row r="567" spans="1:16">
      <c r="A567" s="33"/>
      <c r="B567" s="32"/>
      <c r="C567" s="32"/>
      <c r="D567" s="3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6"/>
      <c r="P567" s="36"/>
    </row>
    <row r="568" spans="1:16">
      <c r="A568" s="33"/>
      <c r="B568" s="32"/>
      <c r="C568" s="32"/>
      <c r="D568" s="3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6"/>
      <c r="P568" s="36"/>
    </row>
    <row r="569" spans="1:16">
      <c r="A569" s="33"/>
      <c r="B569" s="32"/>
      <c r="C569" s="32"/>
      <c r="D569" s="3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6"/>
      <c r="P569" s="36"/>
    </row>
    <row r="570" spans="1:16">
      <c r="A570" s="33"/>
      <c r="B570" s="32"/>
      <c r="C570" s="32"/>
      <c r="D570" s="3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6"/>
      <c r="P570" s="36"/>
    </row>
    <row r="571" spans="1:16">
      <c r="A571" s="33"/>
      <c r="B571" s="32"/>
      <c r="C571" s="32"/>
      <c r="D571" s="3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6"/>
      <c r="P571" s="36"/>
    </row>
    <row r="572" spans="1:16">
      <c r="A572" s="33"/>
      <c r="B572" s="32"/>
      <c r="C572" s="32"/>
      <c r="D572" s="3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6"/>
      <c r="P572" s="36"/>
    </row>
    <row r="573" spans="1:16">
      <c r="A573" s="33"/>
      <c r="B573" s="32"/>
      <c r="C573" s="32"/>
      <c r="D573" s="3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6"/>
      <c r="P573" s="36"/>
    </row>
    <row r="574" spans="1:16">
      <c r="A574" s="33"/>
      <c r="B574" s="32"/>
      <c r="C574" s="32"/>
      <c r="D574" s="3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6"/>
      <c r="P574" s="36"/>
    </row>
    <row r="575" spans="1:16">
      <c r="A575" s="33"/>
      <c r="B575" s="32"/>
      <c r="C575" s="32"/>
      <c r="D575" s="3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6"/>
      <c r="P575" s="36"/>
    </row>
    <row r="576" spans="1:16">
      <c r="A576" s="33"/>
      <c r="B576" s="32"/>
      <c r="C576" s="32"/>
      <c r="D576" s="3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6"/>
      <c r="P576" s="36"/>
    </row>
    <row r="577" spans="1:16">
      <c r="A577" s="33"/>
      <c r="B577" s="32"/>
      <c r="C577" s="32"/>
      <c r="D577" s="3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6"/>
      <c r="P577" s="36"/>
    </row>
    <row r="578" spans="1:16">
      <c r="A578" s="33"/>
      <c r="B578" s="32"/>
      <c r="C578" s="32"/>
      <c r="D578" s="3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6"/>
      <c r="P578" s="36"/>
    </row>
    <row r="579" spans="1:16">
      <c r="A579" s="33"/>
      <c r="B579" s="32"/>
      <c r="C579" s="32"/>
      <c r="D579" s="3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6"/>
      <c r="P579" s="36"/>
    </row>
    <row r="580" spans="1:16">
      <c r="A580" s="33"/>
      <c r="B580" s="32"/>
      <c r="C580" s="32"/>
      <c r="D580" s="3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6"/>
      <c r="P580" s="36"/>
    </row>
    <row r="581" spans="1:16">
      <c r="A581" s="33"/>
      <c r="B581" s="32"/>
      <c r="C581" s="32"/>
      <c r="D581" s="3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6"/>
      <c r="P581" s="36"/>
    </row>
    <row r="582" spans="1:16">
      <c r="A582" s="33"/>
      <c r="B582" s="32"/>
      <c r="C582" s="32"/>
      <c r="D582" s="3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6"/>
      <c r="P582" s="36"/>
    </row>
    <row r="583" spans="1:16">
      <c r="A583" s="33"/>
      <c r="B583" s="32"/>
      <c r="C583" s="32"/>
      <c r="D583" s="3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6"/>
      <c r="P583" s="36"/>
    </row>
    <row r="584" spans="1:16">
      <c r="A584" s="33"/>
      <c r="B584" s="32"/>
      <c r="C584" s="32"/>
      <c r="D584" s="3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6"/>
      <c r="P584" s="36"/>
    </row>
    <row r="585" spans="1:16">
      <c r="A585" s="33"/>
      <c r="B585" s="32"/>
      <c r="C585" s="32"/>
      <c r="D585" s="3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6"/>
      <c r="P585" s="36"/>
    </row>
    <row r="586" spans="1:16">
      <c r="A586" s="33"/>
      <c r="B586" s="32"/>
      <c r="C586" s="32"/>
      <c r="D586" s="3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6"/>
      <c r="P586" s="36"/>
    </row>
    <row r="587" spans="1:16">
      <c r="A587" s="33"/>
      <c r="B587" s="32"/>
      <c r="C587" s="32"/>
      <c r="D587" s="3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6"/>
      <c r="P587" s="36"/>
    </row>
    <row r="588" spans="1:16">
      <c r="A588" s="33"/>
      <c r="B588" s="32"/>
      <c r="C588" s="32"/>
      <c r="D588" s="3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6"/>
      <c r="P588" s="36"/>
    </row>
    <row r="589" spans="1:16">
      <c r="A589" s="33"/>
      <c r="B589" s="32"/>
      <c r="C589" s="32"/>
      <c r="D589" s="3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6"/>
      <c r="P589" s="36"/>
    </row>
    <row r="590" spans="1:16">
      <c r="A590" s="33"/>
      <c r="B590" s="32"/>
      <c r="C590" s="32"/>
      <c r="D590" s="3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6"/>
      <c r="P590" s="36"/>
    </row>
    <row r="591" spans="1:16">
      <c r="A591" s="33"/>
      <c r="B591" s="32"/>
      <c r="C591" s="32"/>
      <c r="D591" s="3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6"/>
      <c r="P591" s="36"/>
    </row>
    <row r="592" spans="1:16">
      <c r="A592" s="33"/>
      <c r="B592" s="32"/>
      <c r="C592" s="32"/>
      <c r="D592" s="3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6"/>
      <c r="P592" s="36"/>
    </row>
    <row r="593" spans="1:16">
      <c r="A593" s="33"/>
      <c r="B593" s="32"/>
      <c r="C593" s="32"/>
      <c r="D593" s="3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6"/>
      <c r="P593" s="36"/>
    </row>
    <row r="594" spans="1:16">
      <c r="A594" s="33"/>
      <c r="B594" s="32"/>
      <c r="C594" s="32"/>
      <c r="D594" s="3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6"/>
      <c r="P594" s="36"/>
    </row>
    <row r="595" spans="1:16">
      <c r="A595" s="33"/>
      <c r="B595" s="32"/>
      <c r="C595" s="32"/>
      <c r="D595" s="3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6"/>
      <c r="P595" s="36"/>
    </row>
    <row r="596" spans="1:16">
      <c r="A596" s="33"/>
      <c r="B596" s="32"/>
      <c r="C596" s="32"/>
      <c r="D596" s="3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6"/>
      <c r="P596" s="36"/>
    </row>
    <row r="597" spans="1:16">
      <c r="A597" s="33"/>
      <c r="B597" s="32"/>
      <c r="C597" s="32"/>
      <c r="D597" s="3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6"/>
      <c r="P597" s="36"/>
    </row>
    <row r="598" spans="1:16">
      <c r="A598" s="33"/>
      <c r="B598" s="32"/>
      <c r="C598" s="32"/>
      <c r="D598" s="3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6"/>
      <c r="P598" s="36"/>
    </row>
    <row r="599" spans="1:16">
      <c r="A599" s="33"/>
      <c r="B599" s="32"/>
      <c r="C599" s="32"/>
      <c r="D599" s="3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6"/>
      <c r="P599" s="36"/>
    </row>
    <row r="600" spans="1:16">
      <c r="A600" s="33"/>
      <c r="B600" s="32"/>
      <c r="C600" s="32"/>
      <c r="D600" s="3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6"/>
      <c r="P600" s="36"/>
    </row>
    <row r="601" spans="1:16">
      <c r="A601" s="33"/>
      <c r="B601" s="32"/>
      <c r="C601" s="32"/>
      <c r="D601" s="3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6"/>
      <c r="P601" s="36"/>
    </row>
    <row r="602" spans="1:16">
      <c r="A602" s="33"/>
      <c r="B602" s="32"/>
      <c r="C602" s="32"/>
      <c r="D602" s="3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6"/>
      <c r="P602" s="36"/>
    </row>
    <row r="603" spans="1:16">
      <c r="A603" s="33"/>
      <c r="B603" s="32"/>
      <c r="C603" s="32"/>
      <c r="D603" s="3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6"/>
      <c r="P603" s="36"/>
    </row>
    <row r="604" spans="1:16">
      <c r="A604" s="33"/>
      <c r="B604" s="32"/>
      <c r="C604" s="32"/>
      <c r="D604" s="3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6"/>
      <c r="P604" s="36"/>
    </row>
    <row r="605" spans="1:16">
      <c r="A605" s="33"/>
      <c r="B605" s="32"/>
      <c r="C605" s="32"/>
      <c r="D605" s="3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6"/>
      <c r="P605" s="36"/>
    </row>
    <row r="606" spans="1:16">
      <c r="A606" s="33"/>
      <c r="B606" s="32"/>
      <c r="C606" s="32"/>
      <c r="D606" s="3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6"/>
      <c r="P606" s="36"/>
    </row>
    <row r="607" spans="1:16">
      <c r="A607" s="33"/>
      <c r="B607" s="32"/>
      <c r="C607" s="32"/>
      <c r="D607" s="3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6"/>
    </row>
    <row r="608" spans="1:16">
      <c r="A608" s="33"/>
      <c r="B608" s="32"/>
      <c r="C608" s="32"/>
      <c r="D608" s="3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6"/>
    </row>
    <row r="609" spans="1:15">
      <c r="A609" s="33"/>
      <c r="B609" s="32"/>
      <c r="C609" s="32"/>
      <c r="D609" s="3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6"/>
    </row>
    <row r="610" spans="1:15">
      <c r="A610" s="33"/>
      <c r="B610" s="32"/>
      <c r="C610" s="32"/>
      <c r="D610" s="3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6"/>
    </row>
    <row r="611" spans="1:15">
      <c r="A611" s="33"/>
      <c r="B611" s="32"/>
      <c r="C611" s="32"/>
      <c r="D611" s="3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6"/>
    </row>
    <row r="612" spans="1:15">
      <c r="A612" s="33"/>
      <c r="B612" s="32"/>
      <c r="C612" s="32"/>
      <c r="D612" s="3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6"/>
    </row>
    <row r="613" spans="1:15">
      <c r="A613" s="33"/>
      <c r="B613" s="32"/>
      <c r="C613" s="32"/>
      <c r="D613" s="3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6"/>
    </row>
    <row r="614" spans="1:15">
      <c r="A614" s="33"/>
      <c r="B614" s="32"/>
      <c r="C614" s="32"/>
      <c r="D614" s="3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6"/>
    </row>
    <row r="615" spans="1:15">
      <c r="A615" s="33"/>
      <c r="B615" s="32"/>
      <c r="C615" s="32"/>
      <c r="D615" s="3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6"/>
    </row>
    <row r="616" spans="1:15">
      <c r="A616" s="33"/>
      <c r="B616" s="32"/>
      <c r="C616" s="32"/>
      <c r="D616" s="3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6"/>
    </row>
    <row r="617" spans="1:15">
      <c r="A617" s="33"/>
      <c r="B617" s="32"/>
      <c r="C617" s="32"/>
      <c r="D617" s="3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6"/>
    </row>
    <row r="618" spans="1:15">
      <c r="A618" s="33"/>
      <c r="B618" s="32"/>
      <c r="C618" s="32"/>
      <c r="D618" s="3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6"/>
    </row>
    <row r="619" spans="1:15">
      <c r="A619" s="33"/>
      <c r="B619" s="32"/>
      <c r="C619" s="32"/>
      <c r="D619" s="3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6"/>
    </row>
    <row r="620" spans="1:15">
      <c r="A620" s="33"/>
      <c r="B620" s="32"/>
      <c r="C620" s="32"/>
      <c r="D620" s="3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6"/>
    </row>
    <row r="621" spans="1:15">
      <c r="A621" s="33"/>
      <c r="B621" s="32"/>
      <c r="C621" s="32"/>
      <c r="D621" s="3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6"/>
    </row>
    <row r="622" spans="1:15">
      <c r="A622" s="33"/>
      <c r="B622" s="32"/>
      <c r="C622" s="32"/>
      <c r="D622" s="3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6"/>
    </row>
    <row r="623" spans="1:15">
      <c r="A623" s="33"/>
      <c r="B623" s="32"/>
      <c r="C623" s="32"/>
      <c r="D623" s="3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6"/>
    </row>
    <row r="624" spans="1:15">
      <c r="A624" s="33"/>
      <c r="B624" s="32"/>
      <c r="C624" s="32"/>
      <c r="D624" s="3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6"/>
    </row>
    <row r="625" spans="1:15">
      <c r="A625" s="33"/>
      <c r="B625" s="32"/>
      <c r="C625" s="32"/>
      <c r="D625" s="3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6"/>
    </row>
    <row r="626" spans="1:15">
      <c r="A626" s="33"/>
      <c r="B626" s="32"/>
      <c r="C626" s="32"/>
      <c r="D626" s="3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6"/>
    </row>
    <row r="627" spans="1:15">
      <c r="A627" s="33"/>
      <c r="B627" s="32"/>
      <c r="C627" s="32"/>
      <c r="D627" s="3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6"/>
    </row>
    <row r="628" spans="1:15">
      <c r="A628" s="33"/>
      <c r="B628" s="32"/>
      <c r="C628" s="32"/>
      <c r="D628" s="3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6"/>
    </row>
    <row r="629" spans="1:15">
      <c r="A629" s="33"/>
      <c r="B629" s="32"/>
      <c r="C629" s="32"/>
      <c r="D629" s="3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6"/>
    </row>
    <row r="630" spans="1:15">
      <c r="A630" s="33"/>
      <c r="B630" s="32"/>
      <c r="C630" s="32"/>
      <c r="D630" s="3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6"/>
    </row>
    <row r="631" spans="1:15">
      <c r="A631" s="33"/>
      <c r="B631" s="32"/>
      <c r="C631" s="32"/>
      <c r="D631" s="3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6"/>
    </row>
    <row r="632" spans="1:15">
      <c r="A632" s="33"/>
      <c r="B632" s="32"/>
      <c r="C632" s="32"/>
      <c r="D632" s="3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6"/>
    </row>
    <row r="633" spans="1:15">
      <c r="A633" s="33"/>
      <c r="B633" s="32"/>
      <c r="C633" s="32"/>
      <c r="D633" s="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6"/>
    </row>
    <row r="634" spans="1:15">
      <c r="A634" s="33"/>
      <c r="B634" s="32"/>
      <c r="C634" s="32"/>
      <c r="D634" s="3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6"/>
    </row>
    <row r="635" spans="1:15">
      <c r="A635" s="33"/>
      <c r="B635" s="32"/>
      <c r="C635" s="32"/>
      <c r="D635" s="3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6"/>
    </row>
    <row r="636" spans="1:15">
      <c r="A636" s="33"/>
      <c r="B636" s="32"/>
      <c r="C636" s="32"/>
      <c r="D636" s="3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6"/>
    </row>
    <row r="637" spans="1:15">
      <c r="A637" s="33"/>
      <c r="B637" s="32"/>
      <c r="C637" s="32"/>
      <c r="D637" s="3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6"/>
    </row>
    <row r="638" spans="1:15">
      <c r="A638" s="33"/>
      <c r="B638" s="32"/>
      <c r="C638" s="32"/>
      <c r="D638" s="3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6"/>
    </row>
    <row r="639" spans="1:15">
      <c r="A639" s="33"/>
      <c r="B639" s="32"/>
      <c r="C639" s="32"/>
      <c r="D639" s="3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6"/>
    </row>
    <row r="640" spans="1:15">
      <c r="A640" s="33"/>
      <c r="B640" s="32"/>
      <c r="C640" s="32"/>
      <c r="D640" s="3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6"/>
    </row>
    <row r="641" spans="1:15">
      <c r="A641" s="33"/>
      <c r="B641" s="32"/>
      <c r="C641" s="32"/>
      <c r="D641" s="3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6"/>
    </row>
    <row r="642" spans="1:15">
      <c r="A642" s="33"/>
      <c r="B642" s="32"/>
      <c r="C642" s="32"/>
      <c r="D642" s="3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6"/>
    </row>
    <row r="643" spans="1:15">
      <c r="A643" s="33"/>
      <c r="B643" s="32"/>
      <c r="C643" s="32"/>
      <c r="D643" s="3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6"/>
    </row>
    <row r="644" spans="1:15">
      <c r="A644" s="33"/>
      <c r="B644" s="32"/>
      <c r="C644" s="32"/>
      <c r="D644" s="3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6"/>
    </row>
    <row r="645" spans="1:15">
      <c r="A645" s="33"/>
      <c r="B645" s="32"/>
      <c r="C645" s="32"/>
      <c r="D645" s="3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6"/>
    </row>
    <row r="646" spans="1:15">
      <c r="A646" s="33"/>
      <c r="B646" s="32"/>
      <c r="C646" s="32"/>
      <c r="D646" s="3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6"/>
    </row>
    <row r="647" spans="1:15">
      <c r="A647" s="33"/>
      <c r="B647" s="32"/>
      <c r="C647" s="32"/>
      <c r="D647" s="3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6"/>
    </row>
    <row r="648" spans="1:15">
      <c r="A648" s="33"/>
      <c r="B648" s="32"/>
      <c r="C648" s="32"/>
      <c r="D648" s="3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6"/>
    </row>
    <row r="649" spans="1:15">
      <c r="A649" s="33"/>
      <c r="B649" s="32"/>
      <c r="C649" s="32"/>
      <c r="D649" s="3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6"/>
    </row>
    <row r="650" spans="1:15">
      <c r="A650" s="33"/>
      <c r="B650" s="32"/>
      <c r="C650" s="32"/>
      <c r="D650" s="3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6"/>
    </row>
    <row r="651" spans="1:15">
      <c r="A651" s="33"/>
      <c r="B651" s="32"/>
      <c r="C651" s="32"/>
      <c r="D651" s="3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6"/>
    </row>
    <row r="652" spans="1:15">
      <c r="A652" s="33"/>
      <c r="B652" s="32"/>
      <c r="C652" s="32"/>
      <c r="D652" s="3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6"/>
    </row>
    <row r="653" spans="1:15">
      <c r="A653" s="33"/>
      <c r="B653" s="32"/>
      <c r="C653" s="32"/>
      <c r="D653" s="3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6"/>
    </row>
    <row r="654" spans="1:15">
      <c r="A654" s="33"/>
      <c r="B654" s="32"/>
      <c r="C654" s="32"/>
      <c r="D654" s="3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6"/>
    </row>
    <row r="655" spans="1:15">
      <c r="A655" s="33"/>
      <c r="B655" s="32"/>
      <c r="C655" s="32"/>
      <c r="D655" s="3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6"/>
    </row>
    <row r="656" spans="1:15">
      <c r="A656" s="33"/>
      <c r="B656" s="32"/>
      <c r="C656" s="32"/>
      <c r="D656" s="3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6"/>
    </row>
    <row r="657" spans="1:15">
      <c r="A657" s="33"/>
      <c r="B657" s="32"/>
      <c r="C657" s="32"/>
      <c r="D657" s="3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6"/>
    </row>
    <row r="658" spans="1:15">
      <c r="A658" s="33"/>
      <c r="B658" s="32"/>
      <c r="C658" s="32"/>
      <c r="D658" s="3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6"/>
    </row>
    <row r="659" spans="1:15">
      <c r="A659" s="33"/>
      <c r="B659" s="32"/>
      <c r="C659" s="32"/>
      <c r="D659" s="3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6"/>
    </row>
    <row r="660" spans="1:15">
      <c r="A660" s="33"/>
      <c r="B660" s="32"/>
      <c r="C660" s="32"/>
      <c r="D660" s="3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6"/>
    </row>
    <row r="661" spans="1:15">
      <c r="A661" s="33"/>
      <c r="B661" s="32"/>
      <c r="C661" s="32"/>
      <c r="D661" s="3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6"/>
    </row>
    <row r="662" spans="1:15">
      <c r="A662" s="33"/>
      <c r="B662" s="32"/>
      <c r="C662" s="32"/>
      <c r="D662" s="3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6"/>
    </row>
    <row r="663" spans="1:15">
      <c r="A663" s="33"/>
      <c r="B663" s="32"/>
      <c r="C663" s="32"/>
      <c r="D663" s="3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6"/>
    </row>
    <row r="664" spans="1:15">
      <c r="A664" s="33"/>
      <c r="B664" s="32"/>
      <c r="C664" s="32"/>
      <c r="D664" s="3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6"/>
    </row>
    <row r="665" spans="1:15">
      <c r="A665" s="33"/>
      <c r="B665" s="32"/>
      <c r="C665" s="32"/>
      <c r="D665" s="3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6"/>
    </row>
    <row r="666" spans="1:15">
      <c r="A666" s="33"/>
      <c r="B666" s="32"/>
      <c r="C666" s="32"/>
      <c r="D666" s="3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6"/>
    </row>
    <row r="667" spans="1:15">
      <c r="A667" s="33"/>
      <c r="B667" s="32"/>
      <c r="C667" s="32"/>
      <c r="D667" s="3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36"/>
    </row>
    <row r="668" spans="1:15">
      <c r="A668" s="33"/>
      <c r="B668" s="32"/>
      <c r="C668" s="32"/>
      <c r="D668" s="3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36"/>
    </row>
    <row r="669" spans="1:15">
      <c r="A669" s="33"/>
      <c r="B669" s="32"/>
      <c r="C669" s="32"/>
      <c r="D669" s="3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36"/>
    </row>
    <row r="670" spans="1:15">
      <c r="A670" s="33"/>
      <c r="B670" s="32"/>
      <c r="C670" s="32"/>
      <c r="D670" s="3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36"/>
    </row>
    <row r="671" spans="1:15">
      <c r="A671" s="33"/>
      <c r="B671" s="32"/>
      <c r="C671" s="32"/>
      <c r="D671" s="3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36"/>
    </row>
    <row r="672" spans="1:15">
      <c r="A672" s="33"/>
      <c r="B672" s="32"/>
      <c r="C672" s="32"/>
      <c r="D672" s="3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36"/>
    </row>
    <row r="673" spans="1:15">
      <c r="A673" s="33"/>
      <c r="B673" s="32"/>
      <c r="C673" s="32"/>
      <c r="D673" s="3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36"/>
    </row>
    <row r="674" spans="1:15">
      <c r="A674" s="33"/>
      <c r="B674" s="32"/>
      <c r="C674" s="32"/>
      <c r="D674" s="3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36"/>
    </row>
    <row r="675" spans="1:15">
      <c r="A675" s="33"/>
      <c r="B675" s="32"/>
      <c r="C675" s="32"/>
      <c r="D675" s="3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36"/>
    </row>
    <row r="676" spans="1:15">
      <c r="A676" s="33"/>
      <c r="B676" s="32"/>
      <c r="C676" s="32"/>
      <c r="D676" s="3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36"/>
    </row>
    <row r="677" spans="1:15">
      <c r="A677" s="33"/>
      <c r="B677" s="32"/>
      <c r="C677" s="32"/>
      <c r="D677" s="3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36"/>
    </row>
    <row r="678" spans="1:15">
      <c r="A678" s="33"/>
      <c r="B678" s="32"/>
      <c r="C678" s="32"/>
      <c r="D678" s="3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36"/>
    </row>
    <row r="679" spans="1:15">
      <c r="A679" s="33"/>
      <c r="B679" s="32"/>
      <c r="C679" s="32"/>
      <c r="D679" s="3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36"/>
    </row>
    <row r="680" spans="1:15">
      <c r="A680" s="33"/>
      <c r="B680" s="32"/>
      <c r="C680" s="32"/>
      <c r="D680" s="3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36"/>
    </row>
    <row r="681" spans="1:15">
      <c r="A681" s="33"/>
      <c r="B681" s="32"/>
      <c r="C681" s="32"/>
      <c r="D681" s="3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36"/>
    </row>
    <row r="682" spans="1:15">
      <c r="A682" s="33"/>
      <c r="B682" s="32"/>
      <c r="C682" s="32"/>
      <c r="D682" s="3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36"/>
    </row>
    <row r="683" spans="1:15">
      <c r="A683" s="33"/>
      <c r="B683" s="32"/>
      <c r="C683" s="32"/>
      <c r="D683" s="3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36"/>
    </row>
    <row r="684" spans="1:15">
      <c r="A684" s="33"/>
      <c r="B684" s="32"/>
      <c r="C684" s="32"/>
      <c r="D684" s="3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36"/>
    </row>
    <row r="685" spans="1:15">
      <c r="A685" s="33"/>
    </row>
    <row r="686" spans="1:15">
      <c r="A686" s="33"/>
    </row>
    <row r="687" spans="1:15">
      <c r="A687" s="33"/>
    </row>
    <row r="688" spans="1:15">
      <c r="A688" s="33"/>
    </row>
  </sheetData>
  <mergeCells count="97">
    <mergeCell ref="N2:O2"/>
    <mergeCell ref="E3:L3"/>
    <mergeCell ref="N3:N4"/>
    <mergeCell ref="M3:M4"/>
    <mergeCell ref="C55:C58"/>
    <mergeCell ref="N34:N35"/>
    <mergeCell ref="B55:B58"/>
    <mergeCell ref="A60:A63"/>
    <mergeCell ref="A34:A35"/>
    <mergeCell ref="B34:B35"/>
    <mergeCell ref="B60:B63"/>
    <mergeCell ref="C60:C63"/>
    <mergeCell ref="A1:O1"/>
    <mergeCell ref="A3:A4"/>
    <mergeCell ref="B3:B4"/>
    <mergeCell ref="C3:C4"/>
    <mergeCell ref="D3:D4"/>
    <mergeCell ref="A66:O66"/>
    <mergeCell ref="A55:A58"/>
    <mergeCell ref="C34:C35"/>
    <mergeCell ref="D34:D35"/>
    <mergeCell ref="E34:L34"/>
    <mergeCell ref="C105:C106"/>
    <mergeCell ref="D105:D106"/>
    <mergeCell ref="E68:L68"/>
    <mergeCell ref="N68:N69"/>
    <mergeCell ref="A68:A69"/>
    <mergeCell ref="B68:B69"/>
    <mergeCell ref="C68:C69"/>
    <mergeCell ref="D68:D69"/>
    <mergeCell ref="A183:A184"/>
    <mergeCell ref="B183:B184"/>
    <mergeCell ref="C183:C184"/>
    <mergeCell ref="N105:N106"/>
    <mergeCell ref="B105:B106"/>
    <mergeCell ref="A131:A136"/>
    <mergeCell ref="B131:B136"/>
    <mergeCell ref="C131:C136"/>
    <mergeCell ref="E105:L105"/>
    <mergeCell ref="A105:A106"/>
    <mergeCell ref="A138:A143"/>
    <mergeCell ref="B138:B143"/>
    <mergeCell ref="C138:C143"/>
    <mergeCell ref="A216:A221"/>
    <mergeCell ref="B216:B221"/>
    <mergeCell ref="C216:C221"/>
    <mergeCell ref="A145:O145"/>
    <mergeCell ref="A147:A148"/>
    <mergeCell ref="B147:B148"/>
    <mergeCell ref="C147:C148"/>
    <mergeCell ref="A223:O223"/>
    <mergeCell ref="N183:N184"/>
    <mergeCell ref="N147:N148"/>
    <mergeCell ref="E147:L147"/>
    <mergeCell ref="A209:A214"/>
    <mergeCell ref="B209:B214"/>
    <mergeCell ref="C209:C214"/>
    <mergeCell ref="D183:D184"/>
    <mergeCell ref="D147:D148"/>
    <mergeCell ref="E183:L183"/>
    <mergeCell ref="E225:L225"/>
    <mergeCell ref="N225:N226"/>
    <mergeCell ref="E262:L262"/>
    <mergeCell ref="N262:N263"/>
    <mergeCell ref="C262:C263"/>
    <mergeCell ref="D262:D263"/>
    <mergeCell ref="C225:C226"/>
    <mergeCell ref="D225:D226"/>
    <mergeCell ref="C288:C293"/>
    <mergeCell ref="A295:A300"/>
    <mergeCell ref="B295:B300"/>
    <mergeCell ref="C295:C300"/>
    <mergeCell ref="A225:A226"/>
    <mergeCell ref="B225:B226"/>
    <mergeCell ref="A288:A293"/>
    <mergeCell ref="B288:B293"/>
    <mergeCell ref="A262:A263"/>
    <mergeCell ref="B262:B263"/>
    <mergeCell ref="D333:D334"/>
    <mergeCell ref="A302:O302"/>
    <mergeCell ref="A304:A305"/>
    <mergeCell ref="B304:B305"/>
    <mergeCell ref="C304:C305"/>
    <mergeCell ref="D304:D305"/>
    <mergeCell ref="E304:L304"/>
    <mergeCell ref="N304:N305"/>
    <mergeCell ref="N333:N334"/>
    <mergeCell ref="A362:A365"/>
    <mergeCell ref="B362:B365"/>
    <mergeCell ref="C362:C365"/>
    <mergeCell ref="E333:L333"/>
    <mergeCell ref="A357:A360"/>
    <mergeCell ref="B357:B360"/>
    <mergeCell ref="C357:C360"/>
    <mergeCell ref="A333:A334"/>
    <mergeCell ref="B333:B334"/>
    <mergeCell ref="C333:C334"/>
  </mergeCells>
  <phoneticPr fontId="43" type="noConversion"/>
  <printOptions horizontalCentered="1"/>
  <pageMargins left="0.55118110236220497" right="0.55118110236220497" top="0.59055118110236204" bottom="0.59055118110236204" header="0.31496062992126" footer="0.39370078740157499"/>
  <pageSetup paperSize="9" scale="85" firstPageNumber="69" orientation="landscape" useFirstPageNumber="1" r:id="rId1"/>
  <headerFooter alignWithMargins="0">
    <oddHeader>&amp;R&amp;"Times New Roman,Regular"&amp;UĐơn giá tổng hợp sản phẩm đo đạc chỉnh lý bản đồ địa chính - Khu vực nông thôn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R688"/>
  <sheetViews>
    <sheetView zoomScale="80" zoomScaleNormal="80" workbookViewId="0">
      <selection activeCell="N3" sqref="N3:N4"/>
    </sheetView>
  </sheetViews>
  <sheetFormatPr defaultRowHeight="16.5"/>
  <cols>
    <col min="1" max="1" width="5.6640625" style="34" customWidth="1"/>
    <col min="2" max="2" width="20.5546875" style="15" customWidth="1"/>
    <col min="3" max="3" width="4.88671875" style="15" customWidth="1"/>
    <col min="4" max="4" width="5.88671875" style="34" customWidth="1"/>
    <col min="5" max="5" width="9.88671875" customWidth="1"/>
    <col min="6" max="6" width="8.77734375" customWidth="1"/>
    <col min="7" max="7" width="9.77734375" hidden="1" customWidth="1"/>
    <col min="8" max="9" width="9" customWidth="1"/>
    <col min="10" max="10" width="8.44140625" customWidth="1"/>
    <col min="11" max="11" width="8.5546875" customWidth="1"/>
    <col min="12" max="12" width="10.77734375" customWidth="1"/>
    <col min="13" max="13" width="11.21875" customWidth="1"/>
    <col min="14" max="14" width="12.44140625" customWidth="1"/>
    <col min="15" max="15" width="9.21875" style="35" customWidth="1"/>
    <col min="16" max="17" width="9.33203125" style="35" customWidth="1"/>
    <col min="18" max="18" width="9.21875" style="29" customWidth="1"/>
  </cols>
  <sheetData>
    <row r="1" spans="1:18" s="4" customFormat="1" ht="27" customHeight="1">
      <c r="A1" s="976" t="s">
        <v>425</v>
      </c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477" t="s">
        <v>417</v>
      </c>
      <c r="Q1" s="478">
        <v>0</v>
      </c>
      <c r="R1" s="63"/>
    </row>
    <row r="2" spans="1:18" s="4" customFormat="1" ht="16.5" customHeight="1">
      <c r="A2" s="67"/>
      <c r="B2" s="68"/>
      <c r="C2" s="69"/>
      <c r="D2" s="70"/>
      <c r="E2" s="71"/>
      <c r="F2" s="71"/>
      <c r="G2" s="71"/>
      <c r="H2" s="71"/>
      <c r="I2" s="71"/>
      <c r="J2" s="71"/>
      <c r="K2" s="71"/>
      <c r="L2" s="71"/>
      <c r="M2" s="72"/>
      <c r="N2" s="977" t="s">
        <v>428</v>
      </c>
      <c r="O2" s="977"/>
      <c r="P2" s="52"/>
      <c r="Q2" s="52"/>
      <c r="R2" s="63"/>
    </row>
    <row r="3" spans="1:18" s="4" customFormat="1" ht="17.25" customHeight="1">
      <c r="A3" s="970" t="s">
        <v>376</v>
      </c>
      <c r="B3" s="972" t="s">
        <v>377</v>
      </c>
      <c r="C3" s="974" t="s">
        <v>378</v>
      </c>
      <c r="D3" s="970" t="s">
        <v>91</v>
      </c>
      <c r="E3" s="964" t="s">
        <v>368</v>
      </c>
      <c r="F3" s="965"/>
      <c r="G3" s="965"/>
      <c r="H3" s="965"/>
      <c r="I3" s="965"/>
      <c r="J3" s="965"/>
      <c r="K3" s="965"/>
      <c r="L3" s="966"/>
      <c r="M3" s="974" t="s">
        <v>426</v>
      </c>
      <c r="N3" s="974" t="s">
        <v>379</v>
      </c>
      <c r="O3" s="323" t="s">
        <v>18</v>
      </c>
      <c r="P3" s="104" t="s">
        <v>19</v>
      </c>
      <c r="Q3" s="57" t="s">
        <v>19</v>
      </c>
      <c r="R3" s="58" t="s">
        <v>16</v>
      </c>
    </row>
    <row r="4" spans="1:18" s="4" customFormat="1" ht="20.25" customHeight="1">
      <c r="A4" s="971"/>
      <c r="B4" s="973"/>
      <c r="C4" s="975"/>
      <c r="D4" s="971"/>
      <c r="E4" s="327" t="s">
        <v>369</v>
      </c>
      <c r="F4" s="326" t="s">
        <v>370</v>
      </c>
      <c r="G4" s="328">
        <v>0</v>
      </c>
      <c r="H4" s="326" t="s">
        <v>257</v>
      </c>
      <c r="I4" s="326" t="s">
        <v>280</v>
      </c>
      <c r="J4" s="326" t="s">
        <v>261</v>
      </c>
      <c r="K4" s="326" t="s">
        <v>371</v>
      </c>
      <c r="L4" s="326" t="s">
        <v>372</v>
      </c>
      <c r="M4" s="975"/>
      <c r="N4" s="975"/>
      <c r="O4" s="325" t="s">
        <v>20</v>
      </c>
      <c r="P4" s="105" t="s">
        <v>21</v>
      </c>
      <c r="Q4" s="59" t="s">
        <v>22</v>
      </c>
      <c r="R4" s="60" t="s">
        <v>17</v>
      </c>
    </row>
    <row r="5" spans="1:18" s="4" customFormat="1" ht="17.25" hidden="1" customHeight="1">
      <c r="A5" s="329" t="s">
        <v>52</v>
      </c>
      <c r="B5" s="330" t="s">
        <v>53</v>
      </c>
      <c r="C5" s="330" t="s">
        <v>54</v>
      </c>
      <c r="D5" s="331" t="s">
        <v>55</v>
      </c>
      <c r="E5" s="332" t="s">
        <v>56</v>
      </c>
      <c r="F5" s="332" t="s">
        <v>57</v>
      </c>
      <c r="G5" s="332"/>
      <c r="H5" s="332" t="s">
        <v>58</v>
      </c>
      <c r="I5" s="332" t="s">
        <v>59</v>
      </c>
      <c r="J5" s="332" t="s">
        <v>60</v>
      </c>
      <c r="K5" s="332" t="s">
        <v>61</v>
      </c>
      <c r="L5" s="333" t="s">
        <v>373</v>
      </c>
      <c r="M5" s="333" t="s">
        <v>374</v>
      </c>
      <c r="N5" s="334" t="s">
        <v>375</v>
      </c>
      <c r="O5" s="332" t="s">
        <v>62</v>
      </c>
      <c r="P5" s="48"/>
      <c r="Q5" s="48"/>
      <c r="R5" s="49"/>
    </row>
    <row r="6" spans="1:18" s="4" customFormat="1" ht="23.25" hidden="1" customHeight="1">
      <c r="A6" s="335" t="s">
        <v>3</v>
      </c>
      <c r="B6" s="336" t="s">
        <v>380</v>
      </c>
      <c r="C6" s="337"/>
      <c r="D6" s="344"/>
      <c r="E6" s="345"/>
      <c r="F6" s="345"/>
      <c r="G6" s="345"/>
      <c r="H6" s="345"/>
      <c r="I6" s="345"/>
      <c r="J6" s="345"/>
      <c r="K6" s="345"/>
      <c r="L6" s="346"/>
      <c r="M6" s="346"/>
      <c r="N6" s="345"/>
      <c r="O6" s="347"/>
      <c r="P6" s="407"/>
      <c r="Q6" s="408"/>
      <c r="R6" s="409"/>
    </row>
    <row r="7" spans="1:18" s="4" customFormat="1" ht="21" hidden="1" customHeight="1">
      <c r="A7" s="315" t="s">
        <v>9</v>
      </c>
      <c r="B7" s="314" t="s">
        <v>73</v>
      </c>
      <c r="C7" s="318" t="s">
        <v>1</v>
      </c>
      <c r="D7" s="351">
        <v>1</v>
      </c>
      <c r="E7" s="352" t="e">
        <f>'NC-CLBD'!G5</f>
        <v>#VALUE!</v>
      </c>
      <c r="F7" s="353"/>
      <c r="G7" s="353">
        <f>$Q$1*10*P7</f>
        <v>0</v>
      </c>
      <c r="H7" s="353">
        <f>'DCu-CLBD'!H23</f>
        <v>17246.653846153848</v>
      </c>
      <c r="I7" s="353">
        <f>'VL-CLBD'!F16</f>
        <v>75060</v>
      </c>
      <c r="J7" s="353"/>
      <c r="K7" s="353"/>
      <c r="L7" s="348" t="e">
        <f>SUM(E7:K7)</f>
        <v>#VALUE!</v>
      </c>
      <c r="M7" s="348" t="e">
        <f>L7*'He so chung'!$D$16/100</f>
        <v>#VALUE!</v>
      </c>
      <c r="N7" s="349" t="e">
        <f>M7+L7</f>
        <v>#VALUE!</v>
      </c>
      <c r="O7" s="354">
        <f>'He so chung'!$D$18*R7</f>
        <v>39427.884615384617</v>
      </c>
      <c r="P7" s="354">
        <f>'He so chung'!$D$19*R7</f>
        <v>31542.307692307691</v>
      </c>
      <c r="Q7" s="411">
        <f>'He so chung'!$D$20*R7</f>
        <v>7885.5769230769247</v>
      </c>
      <c r="R7" s="412">
        <f>'NC-CLBD'!F5</f>
        <v>5.9</v>
      </c>
    </row>
    <row r="8" spans="1:18" s="4" customFormat="1" ht="21" hidden="1" customHeight="1">
      <c r="A8" s="314"/>
      <c r="B8" s="187"/>
      <c r="C8" s="318"/>
      <c r="D8" s="351">
        <v>2</v>
      </c>
      <c r="E8" s="352" t="e">
        <f>'NC-CLBD'!G7</f>
        <v>#VALUE!</v>
      </c>
      <c r="F8" s="353"/>
      <c r="G8" s="353">
        <f>$Q$1*10*P8</f>
        <v>0</v>
      </c>
      <c r="H8" s="353">
        <f>'DCu-CLBD'!H24</f>
        <v>21558.317307692309</v>
      </c>
      <c r="I8" s="353">
        <f>'VL-CLBD'!F16</f>
        <v>75060</v>
      </c>
      <c r="J8" s="353"/>
      <c r="K8" s="353"/>
      <c r="L8" s="348" t="e">
        <f>SUM(E8:K8)</f>
        <v>#VALUE!</v>
      </c>
      <c r="M8" s="348" t="e">
        <f>L8*'He so chung'!$D$16/100</f>
        <v>#VALUE!</v>
      </c>
      <c r="N8" s="349" t="e">
        <f>M8+L8</f>
        <v>#VALUE!</v>
      </c>
      <c r="O8" s="354">
        <f>'He so chung'!$D$18*R8</f>
        <v>51189.423076923078</v>
      </c>
      <c r="P8" s="354">
        <f>'He so chung'!$D$19*R8</f>
        <v>40951.538461538461</v>
      </c>
      <c r="Q8" s="411">
        <f>'He so chung'!$D$20*R8</f>
        <v>10237.884615384617</v>
      </c>
      <c r="R8" s="412">
        <f>'NC-CLBD'!F7</f>
        <v>7.66</v>
      </c>
    </row>
    <row r="9" spans="1:18" s="4" customFormat="1" ht="21" hidden="1" customHeight="1">
      <c r="A9" s="315"/>
      <c r="B9" s="314"/>
      <c r="C9" s="318"/>
      <c r="D9" s="351">
        <v>3</v>
      </c>
      <c r="E9" s="352" t="e">
        <f>'NC-CLBD'!G9</f>
        <v>#VALUE!</v>
      </c>
      <c r="F9" s="353"/>
      <c r="G9" s="353">
        <f>$Q$1*10*P9</f>
        <v>0</v>
      </c>
      <c r="H9" s="353">
        <f>'DCu-CLBD'!H25</f>
        <v>28744.423076923078</v>
      </c>
      <c r="I9" s="353">
        <f>'VL-CLBD'!F16</f>
        <v>75060</v>
      </c>
      <c r="J9" s="353"/>
      <c r="K9" s="353"/>
      <c r="L9" s="348" t="e">
        <f>SUM(E9:K9)</f>
        <v>#VALUE!</v>
      </c>
      <c r="M9" s="348" t="e">
        <f>L9*'He so chung'!$D$16/100</f>
        <v>#VALUE!</v>
      </c>
      <c r="N9" s="349" t="e">
        <f>M9+L9</f>
        <v>#VALUE!</v>
      </c>
      <c r="O9" s="354">
        <f>'He so chung'!$D$18*R9</f>
        <v>66559.61538461539</v>
      </c>
      <c r="P9" s="354">
        <f>'He so chung'!$D$19*R9</f>
        <v>53247.692307692305</v>
      </c>
      <c r="Q9" s="411">
        <f>'He so chung'!$D$20*R9</f>
        <v>13311.92307692308</v>
      </c>
      <c r="R9" s="412">
        <f>'NC-CLBD'!F9</f>
        <v>9.9600000000000009</v>
      </c>
    </row>
    <row r="10" spans="1:18" s="4" customFormat="1" ht="21" hidden="1" customHeight="1">
      <c r="A10" s="315"/>
      <c r="B10" s="314"/>
      <c r="C10" s="318"/>
      <c r="D10" s="351">
        <v>4</v>
      </c>
      <c r="E10" s="352" t="e">
        <f>'NC-CLBD'!G11</f>
        <v>#VALUE!</v>
      </c>
      <c r="F10" s="353"/>
      <c r="G10" s="353">
        <f>$Q$1*10*P10</f>
        <v>0</v>
      </c>
      <c r="H10" s="353">
        <f>'DCu-CLBD'!H26</f>
        <v>34493.307692307695</v>
      </c>
      <c r="I10" s="353">
        <f>'VL-CLBD'!F16</f>
        <v>75060</v>
      </c>
      <c r="J10" s="353"/>
      <c r="K10" s="353"/>
      <c r="L10" s="348" t="e">
        <f>SUM(E10:K10)</f>
        <v>#VALUE!</v>
      </c>
      <c r="M10" s="348" t="e">
        <f>L10*'He so chung'!$D$16/100</f>
        <v>#VALUE!</v>
      </c>
      <c r="N10" s="349" t="e">
        <f>M10+L10</f>
        <v>#VALUE!</v>
      </c>
      <c r="O10" s="354">
        <f>'He so chung'!$D$18*R10</f>
        <v>86474.038461538454</v>
      </c>
      <c r="P10" s="354">
        <f>'He so chung'!$D$19*R10</f>
        <v>69179.230769230766</v>
      </c>
      <c r="Q10" s="411">
        <f>'He so chung'!$D$20*R10</f>
        <v>17294.807692307691</v>
      </c>
      <c r="R10" s="412">
        <f>'NC-CLBD'!F11</f>
        <v>12.94</v>
      </c>
    </row>
    <row r="11" spans="1:18" s="4" customFormat="1" ht="18" hidden="1" customHeight="1">
      <c r="A11" s="315"/>
      <c r="B11" s="314"/>
      <c r="C11" s="338"/>
      <c r="D11" s="351"/>
      <c r="E11" s="352"/>
      <c r="F11" s="353"/>
      <c r="G11" s="353"/>
      <c r="H11" s="353"/>
      <c r="I11" s="353"/>
      <c r="J11" s="353"/>
      <c r="K11" s="353"/>
      <c r="L11" s="348"/>
      <c r="M11" s="348"/>
      <c r="N11" s="349"/>
      <c r="O11" s="354"/>
      <c r="P11" s="354"/>
      <c r="Q11" s="411"/>
      <c r="R11" s="412"/>
    </row>
    <row r="12" spans="1:18" s="4" customFormat="1" ht="21" hidden="1" customHeight="1">
      <c r="A12" s="315" t="s">
        <v>10</v>
      </c>
      <c r="B12" s="314" t="s">
        <v>381</v>
      </c>
      <c r="C12" s="318" t="s">
        <v>278</v>
      </c>
      <c r="D12" s="351">
        <v>1</v>
      </c>
      <c r="E12" s="352" t="e">
        <f>'NC-CLBD'!G17/100</f>
        <v>#VALUE!</v>
      </c>
      <c r="F12" s="353"/>
      <c r="G12" s="353">
        <f>$Q$1*10*P12</f>
        <v>0</v>
      </c>
      <c r="H12" s="353">
        <f>'DCu-CLBD'!H67</f>
        <v>167.19897115384614</v>
      </c>
      <c r="I12" s="353">
        <f>'VL-CLBD'!F45</f>
        <v>84.871800000000007</v>
      </c>
      <c r="J12" s="353">
        <f>'TBI-CLBD'!I9</f>
        <v>710</v>
      </c>
      <c r="K12" s="353" t="e">
        <f>#REF!</f>
        <v>#REF!</v>
      </c>
      <c r="L12" s="348" t="e">
        <f>SUM(E12:K12)</f>
        <v>#VALUE!</v>
      </c>
      <c r="M12" s="348" t="e">
        <f>L12*'He so chung'!$D$16/100</f>
        <v>#VALUE!</v>
      </c>
      <c r="N12" s="349" t="e">
        <f>M12+L12</f>
        <v>#VALUE!</v>
      </c>
      <c r="O12" s="354">
        <f>'He so chung'!$D$18*R12</f>
        <v>644.87980769230774</v>
      </c>
      <c r="P12" s="354">
        <f>'He so chung'!$D$19*R12</f>
        <v>515.90384615384608</v>
      </c>
      <c r="Q12" s="411">
        <f>'He so chung'!$D$20*R12</f>
        <v>128.97596153846155</v>
      </c>
      <c r="R12" s="412">
        <f>'NC-CLBD'!F17/100</f>
        <v>9.6500000000000002E-2</v>
      </c>
    </row>
    <row r="13" spans="1:18" s="4" customFormat="1" ht="21" hidden="1" customHeight="1">
      <c r="A13" s="314"/>
      <c r="B13" s="187"/>
      <c r="C13" s="318"/>
      <c r="D13" s="351">
        <v>2</v>
      </c>
      <c r="E13" s="352" t="e">
        <f>'NC-CLBD'!G19/100</f>
        <v>#VALUE!</v>
      </c>
      <c r="F13" s="353"/>
      <c r="G13" s="353">
        <f>$Q$1*10*P13</f>
        <v>0</v>
      </c>
      <c r="H13" s="353">
        <f>'DCu-CLBD'!H68</f>
        <v>208.99871394230769</v>
      </c>
      <c r="I13" s="353">
        <f>'VL-CLBD'!F45</f>
        <v>84.871800000000007</v>
      </c>
      <c r="J13" s="353">
        <f>'TBI-CLBD'!K9</f>
        <v>887.16</v>
      </c>
      <c r="K13" s="353" t="e">
        <f>#REF!</f>
        <v>#REF!</v>
      </c>
      <c r="L13" s="348" t="e">
        <f>SUM(E13:K13)</f>
        <v>#VALUE!</v>
      </c>
      <c r="M13" s="348" t="e">
        <f>L13*'He so chung'!$D$16/100</f>
        <v>#VALUE!</v>
      </c>
      <c r="N13" s="349" t="e">
        <f>M13+L13</f>
        <v>#VALUE!</v>
      </c>
      <c r="O13" s="354">
        <f>'He so chung'!$D$18*R13</f>
        <v>808.60576923076917</v>
      </c>
      <c r="P13" s="354">
        <f>'He so chung'!$D$19*R13</f>
        <v>646.88461538461536</v>
      </c>
      <c r="Q13" s="411">
        <f>'He so chung'!$D$20*R13</f>
        <v>161.72115384615387</v>
      </c>
      <c r="R13" s="412">
        <f>'NC-CLBD'!F19/100</f>
        <v>0.121</v>
      </c>
    </row>
    <row r="14" spans="1:18" s="4" customFormat="1" ht="21" hidden="1" customHeight="1">
      <c r="A14" s="315"/>
      <c r="B14" s="314"/>
      <c r="C14" s="318"/>
      <c r="D14" s="351">
        <v>3</v>
      </c>
      <c r="E14" s="352" t="e">
        <f>'NC-CLBD'!G21/100</f>
        <v>#VALUE!</v>
      </c>
      <c r="F14" s="353"/>
      <c r="G14" s="353">
        <f>$Q$1*10*P14</f>
        <v>0</v>
      </c>
      <c r="H14" s="353">
        <f>'DCu-CLBD'!H69</f>
        <v>278.6649519230769</v>
      </c>
      <c r="I14" s="353">
        <f>'VL-CLBD'!F45</f>
        <v>84.871800000000007</v>
      </c>
      <c r="J14" s="353">
        <f>'TBI-CLBD'!M9</f>
        <v>1180.28</v>
      </c>
      <c r="K14" s="353" t="e">
        <f>#REF!</f>
        <v>#REF!</v>
      </c>
      <c r="L14" s="348" t="e">
        <f>SUM(E14:K14)</f>
        <v>#VALUE!</v>
      </c>
      <c r="M14" s="348" t="e">
        <f>L14*'He so chung'!$D$16/100</f>
        <v>#VALUE!</v>
      </c>
      <c r="N14" s="349" t="e">
        <f>M14+L14</f>
        <v>#VALUE!</v>
      </c>
      <c r="O14" s="354">
        <f>'He so chung'!$D$18*R14</f>
        <v>1075.9134615384617</v>
      </c>
      <c r="P14" s="354">
        <f>'He so chung'!$D$19*R14</f>
        <v>860.73076923076917</v>
      </c>
      <c r="Q14" s="411">
        <f>'He so chung'!$D$20*R14</f>
        <v>215.18269230769232</v>
      </c>
      <c r="R14" s="412">
        <f>'NC-CLBD'!F21/100</f>
        <v>0.161</v>
      </c>
    </row>
    <row r="15" spans="1:18" s="4" customFormat="1" ht="21" hidden="1" customHeight="1">
      <c r="A15" s="315"/>
      <c r="B15" s="314"/>
      <c r="C15" s="318"/>
      <c r="D15" s="351">
        <v>4</v>
      </c>
      <c r="E15" s="352" t="e">
        <f>'NC-CLBD'!G23/100</f>
        <v>#VALUE!</v>
      </c>
      <c r="F15" s="353"/>
      <c r="G15" s="353">
        <f>$Q$1*10*P15</f>
        <v>0</v>
      </c>
      <c r="H15" s="353">
        <f>'DCu-CLBD'!H70</f>
        <v>334.39794230769229</v>
      </c>
      <c r="I15" s="353">
        <f>'VL-CLBD'!F45</f>
        <v>84.871800000000007</v>
      </c>
      <c r="J15" s="353">
        <f>'TBI-CLBD'!O9</f>
        <v>1418.72</v>
      </c>
      <c r="K15" s="353" t="e">
        <f>#REF!</f>
        <v>#REF!</v>
      </c>
      <c r="L15" s="348" t="e">
        <f>SUM(E15:K15)</f>
        <v>#VALUE!</v>
      </c>
      <c r="M15" s="348" t="e">
        <f>L15*'He so chung'!$D$16/100</f>
        <v>#VALUE!</v>
      </c>
      <c r="N15" s="349" t="e">
        <f>M15+L15</f>
        <v>#VALUE!</v>
      </c>
      <c r="O15" s="354">
        <f>'He so chung'!$D$18*R15</f>
        <v>1289.7596153846155</v>
      </c>
      <c r="P15" s="354">
        <f>'He so chung'!$D$19*R15</f>
        <v>1031.8076923076922</v>
      </c>
      <c r="Q15" s="411">
        <f>'He so chung'!$D$20*R15</f>
        <v>257.95192307692309</v>
      </c>
      <c r="R15" s="412">
        <f>'NC-CLBD'!F23/100</f>
        <v>0.193</v>
      </c>
    </row>
    <row r="16" spans="1:18" s="4" customFormat="1" ht="17.25" hidden="1" customHeight="1">
      <c r="A16" s="315"/>
      <c r="B16" s="314"/>
      <c r="C16" s="338"/>
      <c r="D16" s="351"/>
      <c r="E16" s="352"/>
      <c r="F16" s="353"/>
      <c r="G16" s="353"/>
      <c r="H16" s="353"/>
      <c r="I16" s="353"/>
      <c r="J16" s="353"/>
      <c r="K16" s="353"/>
      <c r="L16" s="348"/>
      <c r="M16" s="348"/>
      <c r="N16" s="349"/>
      <c r="O16" s="354"/>
      <c r="P16" s="354"/>
      <c r="Q16" s="411"/>
      <c r="R16" s="412"/>
    </row>
    <row r="17" spans="1:18" s="4" customFormat="1" ht="21" hidden="1" customHeight="1">
      <c r="A17" s="315" t="s">
        <v>11</v>
      </c>
      <c r="B17" s="314" t="s">
        <v>77</v>
      </c>
      <c r="C17" s="318" t="s">
        <v>278</v>
      </c>
      <c r="D17" s="351">
        <v>1</v>
      </c>
      <c r="E17" s="352" t="e">
        <f>'NC-CLBD'!G28/100</f>
        <v>#VALUE!</v>
      </c>
      <c r="F17" s="353">
        <f>'NC-CLBD'!G30/100</f>
        <v>21890.1</v>
      </c>
      <c r="G17" s="353">
        <f>$Q$1*10*P17</f>
        <v>0</v>
      </c>
      <c r="H17" s="353">
        <f>'DCu-CLBD'!H112</f>
        <v>1970.4463221153846</v>
      </c>
      <c r="I17" s="353">
        <f>'VL-CLBD'!F39</f>
        <v>1697.4360000000001</v>
      </c>
      <c r="J17" s="353">
        <f>'TBI-CLBD'!I59</f>
        <v>9546</v>
      </c>
      <c r="K17" s="353" t="e">
        <f>#REF!</f>
        <v>#REF!</v>
      </c>
      <c r="L17" s="348" t="e">
        <f>SUM(E17:K17)</f>
        <v>#VALUE!</v>
      </c>
      <c r="M17" s="348" t="e">
        <f>L17*'He so chung'!$D$16/100</f>
        <v>#VALUE!</v>
      </c>
      <c r="N17" s="349" t="e">
        <f>M17+L17</f>
        <v>#VALUE!</v>
      </c>
      <c r="O17" s="354">
        <f>'He so chung'!$D$18*R17</f>
        <v>7985.8173076923076</v>
      </c>
      <c r="P17" s="354">
        <f>'He so chung'!$D$19*R17</f>
        <v>6388.6538461538457</v>
      </c>
      <c r="Q17" s="411">
        <f>'He so chung'!$D$20*R17</f>
        <v>1597.1634615384617</v>
      </c>
      <c r="R17" s="412">
        <f>'NC-CLBD'!F28/100</f>
        <v>1.1950000000000001</v>
      </c>
    </row>
    <row r="18" spans="1:18" s="4" customFormat="1" ht="21" hidden="1" customHeight="1">
      <c r="A18" s="315"/>
      <c r="B18" s="314"/>
      <c r="C18" s="318"/>
      <c r="D18" s="351">
        <v>2</v>
      </c>
      <c r="E18" s="352" t="e">
        <f>'NC-CLBD'!G32/100</f>
        <v>#VALUE!</v>
      </c>
      <c r="F18" s="353">
        <f>'NC-CLBD'!G34/100</f>
        <v>26278.6</v>
      </c>
      <c r="G18" s="353">
        <f>$Q$1*10*P18</f>
        <v>0</v>
      </c>
      <c r="H18" s="353">
        <f>'DCu-CLBD'!H113</f>
        <v>2463.057902644231</v>
      </c>
      <c r="I18" s="353">
        <f>'VL-CLBD'!F39</f>
        <v>1697.4360000000001</v>
      </c>
      <c r="J18" s="353">
        <f>'TBI-CLBD'!K59</f>
        <v>11928.52</v>
      </c>
      <c r="K18" s="353" t="e">
        <f>#REF!</f>
        <v>#REF!</v>
      </c>
      <c r="L18" s="348" t="e">
        <f>SUM(E18:K18)</f>
        <v>#VALUE!</v>
      </c>
      <c r="M18" s="348" t="e">
        <f>L18*'He so chung'!$D$16/100</f>
        <v>#VALUE!</v>
      </c>
      <c r="N18" s="349" t="e">
        <f>M18+L18</f>
        <v>#VALUE!</v>
      </c>
      <c r="O18" s="354">
        <f>'He so chung'!$D$18*R18</f>
        <v>9582.9807692307695</v>
      </c>
      <c r="P18" s="354">
        <f>'He so chung'!$D$19*R18</f>
        <v>7666.3846153846152</v>
      </c>
      <c r="Q18" s="411">
        <f>'He so chung'!$D$20*R18</f>
        <v>1916.5961538461543</v>
      </c>
      <c r="R18" s="412">
        <f>'NC-CLBD'!F32/100</f>
        <v>1.4340000000000002</v>
      </c>
    </row>
    <row r="19" spans="1:18" s="4" customFormat="1" ht="21" hidden="1" customHeight="1">
      <c r="A19" s="315"/>
      <c r="B19" s="314"/>
      <c r="C19" s="318"/>
      <c r="D19" s="351">
        <v>3</v>
      </c>
      <c r="E19" s="352" t="e">
        <f>'NC-CLBD'!G36/100</f>
        <v>#VALUE!</v>
      </c>
      <c r="F19" s="353">
        <f>'NC-CLBD'!G38/100</f>
        <v>31531.7</v>
      </c>
      <c r="G19" s="353">
        <f>$Q$1*10*P19</f>
        <v>0</v>
      </c>
      <c r="H19" s="353">
        <f>'DCu-CLBD'!H114</f>
        <v>3284.0772035256414</v>
      </c>
      <c r="I19" s="353">
        <f>'VL-CLBD'!F39</f>
        <v>1697.4360000000001</v>
      </c>
      <c r="J19" s="353">
        <f>'TBI-CLBD'!M59</f>
        <v>15909.32</v>
      </c>
      <c r="K19" s="353" t="e">
        <f>#REF!</f>
        <v>#REF!</v>
      </c>
      <c r="L19" s="348" t="e">
        <f>SUM(E19:K19)</f>
        <v>#VALUE!</v>
      </c>
      <c r="M19" s="348" t="e">
        <f>L19*'He so chung'!$D$16/100</f>
        <v>#VALUE!</v>
      </c>
      <c r="N19" s="349" t="e">
        <f>M19+L19</f>
        <v>#VALUE!</v>
      </c>
      <c r="O19" s="354">
        <f>'He so chung'!$D$18*R19</f>
        <v>11500.913461538463</v>
      </c>
      <c r="P19" s="354">
        <f>'He so chung'!$D$19*R19</f>
        <v>9200.7307692307695</v>
      </c>
      <c r="Q19" s="411">
        <f>'He so chung'!$D$20*R19</f>
        <v>2300.1826923076928</v>
      </c>
      <c r="R19" s="412">
        <f>'NC-CLBD'!F36/100</f>
        <v>1.7210000000000003</v>
      </c>
    </row>
    <row r="20" spans="1:18" s="4" customFormat="1" ht="21" hidden="1" customHeight="1">
      <c r="A20" s="315"/>
      <c r="B20" s="314"/>
      <c r="C20" s="318"/>
      <c r="D20" s="351">
        <v>4</v>
      </c>
      <c r="E20" s="352" t="e">
        <f>'NC-CLBD'!G40/100</f>
        <v>#VALUE!</v>
      </c>
      <c r="F20" s="353">
        <f>'NC-CLBD'!G42/100</f>
        <v>37832.800000000003</v>
      </c>
      <c r="G20" s="353">
        <f>$Q$1*10*P20</f>
        <v>0</v>
      </c>
      <c r="H20" s="353">
        <f>'DCu-CLBD'!H115</f>
        <v>3940.8926442307693</v>
      </c>
      <c r="I20" s="353">
        <f>'VL-CLBD'!F39</f>
        <v>1697.4360000000001</v>
      </c>
      <c r="J20" s="353">
        <f>'TBI-CLBD'!O59</f>
        <v>19091.32</v>
      </c>
      <c r="K20" s="353" t="e">
        <f>#REF!</f>
        <v>#REF!</v>
      </c>
      <c r="L20" s="348" t="e">
        <f>SUM(E20:K20)</f>
        <v>#VALUE!</v>
      </c>
      <c r="M20" s="348" t="e">
        <f>L20*'He so chung'!$D$16/100</f>
        <v>#VALUE!</v>
      </c>
      <c r="N20" s="349" t="e">
        <f>M20+L20</f>
        <v>#VALUE!</v>
      </c>
      <c r="O20" s="354">
        <f>'He so chung'!$D$18*R20</f>
        <v>13799.759615384615</v>
      </c>
      <c r="P20" s="354">
        <f>'He so chung'!$D$19*R20</f>
        <v>11039.807692307691</v>
      </c>
      <c r="Q20" s="411">
        <f>'He so chung'!$D$20*R20</f>
        <v>2759.9519230769233</v>
      </c>
      <c r="R20" s="412">
        <f>'NC-CLBD'!F40/100</f>
        <v>2.0649999999999999</v>
      </c>
    </row>
    <row r="21" spans="1:18" s="4" customFormat="1" ht="18" hidden="1" customHeight="1">
      <c r="A21" s="315"/>
      <c r="B21" s="314"/>
      <c r="C21" s="314"/>
      <c r="D21" s="351"/>
      <c r="E21" s="352"/>
      <c r="F21" s="353"/>
      <c r="G21" s="353"/>
      <c r="H21" s="353"/>
      <c r="I21" s="353"/>
      <c r="J21" s="353"/>
      <c r="K21" s="353"/>
      <c r="L21" s="348"/>
      <c r="M21" s="348"/>
      <c r="N21" s="349"/>
      <c r="O21" s="354"/>
      <c r="P21" s="354"/>
      <c r="Q21" s="411"/>
      <c r="R21" s="412"/>
    </row>
    <row r="22" spans="1:18" s="4" customFormat="1" ht="21" hidden="1" customHeight="1">
      <c r="A22" s="339" t="s">
        <v>4</v>
      </c>
      <c r="B22" s="340" t="s">
        <v>382</v>
      </c>
      <c r="C22" s="341"/>
      <c r="D22" s="355"/>
      <c r="E22" s="356"/>
      <c r="F22" s="357"/>
      <c r="G22" s="357"/>
      <c r="H22" s="357"/>
      <c r="I22" s="357"/>
      <c r="J22" s="357"/>
      <c r="K22" s="357"/>
      <c r="L22" s="358"/>
      <c r="M22" s="357"/>
      <c r="N22" s="359"/>
      <c r="O22" s="360"/>
      <c r="P22" s="354"/>
      <c r="Q22" s="411"/>
      <c r="R22" s="412"/>
    </row>
    <row r="23" spans="1:18" s="4" customFormat="1" ht="20.25" hidden="1" customHeight="1">
      <c r="A23" s="315" t="s">
        <v>9</v>
      </c>
      <c r="B23" s="314" t="s">
        <v>383</v>
      </c>
      <c r="C23" s="318"/>
      <c r="D23" s="351"/>
      <c r="E23" s="352"/>
      <c r="F23" s="353"/>
      <c r="G23" s="353"/>
      <c r="H23" s="353"/>
      <c r="I23" s="353"/>
      <c r="J23" s="353"/>
      <c r="K23" s="353"/>
      <c r="L23" s="348"/>
      <c r="M23" s="353"/>
      <c r="N23" s="349"/>
      <c r="O23" s="354"/>
      <c r="P23" s="354"/>
      <c r="Q23" s="411"/>
      <c r="R23" s="412"/>
    </row>
    <row r="24" spans="1:18" s="4" customFormat="1" ht="15.75" hidden="1" customHeight="1">
      <c r="A24" s="338"/>
      <c r="B24" s="338"/>
      <c r="C24" s="338"/>
      <c r="D24" s="351"/>
      <c r="E24" s="352"/>
      <c r="F24" s="353"/>
      <c r="G24" s="353"/>
      <c r="H24" s="353"/>
      <c r="I24" s="353"/>
      <c r="J24" s="353"/>
      <c r="K24" s="353"/>
      <c r="L24" s="348"/>
      <c r="M24" s="353"/>
      <c r="N24" s="349"/>
      <c r="O24" s="354"/>
      <c r="P24" s="354"/>
      <c r="Q24" s="411"/>
      <c r="R24" s="412"/>
    </row>
    <row r="25" spans="1:18" s="4" customFormat="1" ht="18" hidden="1" customHeight="1">
      <c r="A25" s="315" t="s">
        <v>10</v>
      </c>
      <c r="B25" s="314" t="s">
        <v>80</v>
      </c>
      <c r="C25" s="318" t="s">
        <v>278</v>
      </c>
      <c r="D25" s="351">
        <v>1</v>
      </c>
      <c r="E25" s="352" t="e">
        <f>'NC-CLBD'!#REF!/100</f>
        <v>#REF!</v>
      </c>
      <c r="F25" s="353"/>
      <c r="G25" s="353" t="e">
        <f>$Q$1*10*P25</f>
        <v>#REF!</v>
      </c>
      <c r="H25" s="353" t="e">
        <f>'DCu-CLBD'!#REF!</f>
        <v>#REF!</v>
      </c>
      <c r="I25" s="353" t="e">
        <f>'VL-CLBD'!#REF!</f>
        <v>#REF!</v>
      </c>
      <c r="J25" s="353" t="e">
        <f>'TBI-CLBD'!#REF!</f>
        <v>#REF!</v>
      </c>
      <c r="K25" s="353" t="e">
        <f>#REF!</f>
        <v>#REF!</v>
      </c>
      <c r="L25" s="348" t="e">
        <f>SUM(E25:K25)</f>
        <v>#REF!</v>
      </c>
      <c r="M25" s="353" t="e">
        <f>L25*'He so chung'!$D$17/100</f>
        <v>#REF!</v>
      </c>
      <c r="N25" s="349" t="e">
        <f>M25+L25</f>
        <v>#REF!</v>
      </c>
      <c r="O25" s="354" t="e">
        <f>'He so chung'!$D$21*R25</f>
        <v>#REF!</v>
      </c>
      <c r="P25" s="354" t="e">
        <f>'He so chung'!$D$22*R25</f>
        <v>#REF!</v>
      </c>
      <c r="Q25" s="411" t="e">
        <f>'He so chung'!$D$23*R25</f>
        <v>#REF!</v>
      </c>
      <c r="R25" s="412" t="e">
        <f>'NC-CLBD'!#REF!/100</f>
        <v>#REF!</v>
      </c>
    </row>
    <row r="26" spans="1:18" s="4" customFormat="1" ht="18" hidden="1" customHeight="1">
      <c r="A26" s="315"/>
      <c r="B26" s="314"/>
      <c r="C26" s="318"/>
      <c r="D26" s="351">
        <v>2</v>
      </c>
      <c r="E26" s="352" t="e">
        <f>'NC-CLBD'!#REF!/100</f>
        <v>#REF!</v>
      </c>
      <c r="F26" s="353"/>
      <c r="G26" s="353" t="e">
        <f>$Q$1*10*P26</f>
        <v>#REF!</v>
      </c>
      <c r="H26" s="353" t="e">
        <f>'DCu-CLBD'!#REF!</f>
        <v>#REF!</v>
      </c>
      <c r="I26" s="353" t="e">
        <f>'VL-CLBD'!#REF!</f>
        <v>#REF!</v>
      </c>
      <c r="J26" s="353" t="e">
        <f>'TBI-CLBD'!#REF!</f>
        <v>#REF!</v>
      </c>
      <c r="K26" s="353" t="e">
        <f>#REF!</f>
        <v>#REF!</v>
      </c>
      <c r="L26" s="348" t="e">
        <f>SUM(E26:K26)</f>
        <v>#REF!</v>
      </c>
      <c r="M26" s="353" t="e">
        <f>L26*'He so chung'!$D$17/100</f>
        <v>#REF!</v>
      </c>
      <c r="N26" s="349" t="e">
        <f>M26+L26</f>
        <v>#REF!</v>
      </c>
      <c r="O26" s="354" t="e">
        <f>'He so chung'!$D$21*R26</f>
        <v>#REF!</v>
      </c>
      <c r="P26" s="354" t="e">
        <f>'He so chung'!$D$22*R26</f>
        <v>#REF!</v>
      </c>
      <c r="Q26" s="411" t="e">
        <f>'He so chung'!$D$23*R26</f>
        <v>#REF!</v>
      </c>
      <c r="R26" s="412" t="e">
        <f>'NC-CLBD'!#REF!/100</f>
        <v>#REF!</v>
      </c>
    </row>
    <row r="27" spans="1:18" s="4" customFormat="1" ht="18" hidden="1" customHeight="1">
      <c r="A27" s="315"/>
      <c r="B27" s="314"/>
      <c r="C27" s="318"/>
      <c r="D27" s="351">
        <v>3</v>
      </c>
      <c r="E27" s="352" t="e">
        <f>'NC-CLBD'!#REF!/100</f>
        <v>#REF!</v>
      </c>
      <c r="F27" s="353"/>
      <c r="G27" s="353" t="e">
        <f>$Q$1*10*P27</f>
        <v>#REF!</v>
      </c>
      <c r="H27" s="353" t="e">
        <f>'DCu-CLBD'!#REF!</f>
        <v>#REF!</v>
      </c>
      <c r="I27" s="353" t="e">
        <f>'VL-CLBD'!#REF!</f>
        <v>#REF!</v>
      </c>
      <c r="J27" s="353" t="e">
        <f>'TBI-CLBD'!#REF!</f>
        <v>#REF!</v>
      </c>
      <c r="K27" s="353" t="e">
        <f>#REF!</f>
        <v>#REF!</v>
      </c>
      <c r="L27" s="348" t="e">
        <f>SUM(E27:K27)</f>
        <v>#REF!</v>
      </c>
      <c r="M27" s="353" t="e">
        <f>L27*'He so chung'!$D$17/100</f>
        <v>#REF!</v>
      </c>
      <c r="N27" s="349" t="e">
        <f>M27+L27</f>
        <v>#REF!</v>
      </c>
      <c r="O27" s="354" t="e">
        <f>'He so chung'!$D$21*R27</f>
        <v>#REF!</v>
      </c>
      <c r="P27" s="354" t="e">
        <f>'He so chung'!$D$22*R27</f>
        <v>#REF!</v>
      </c>
      <c r="Q27" s="411" t="e">
        <f>'He so chung'!$D$23*R27</f>
        <v>#REF!</v>
      </c>
      <c r="R27" s="412" t="e">
        <f>'NC-CLBD'!#REF!/100</f>
        <v>#REF!</v>
      </c>
    </row>
    <row r="28" spans="1:18" s="4" customFormat="1" ht="19.5" hidden="1" customHeight="1">
      <c r="A28" s="315"/>
      <c r="B28" s="314"/>
      <c r="C28" s="318"/>
      <c r="D28" s="351">
        <v>4</v>
      </c>
      <c r="E28" s="352" t="e">
        <f>'NC-CLBD'!#REF!/100</f>
        <v>#REF!</v>
      </c>
      <c r="F28" s="353"/>
      <c r="G28" s="353" t="e">
        <f>$Q$1*10*P28</f>
        <v>#REF!</v>
      </c>
      <c r="H28" s="353" t="e">
        <f>'DCu-CLBD'!#REF!</f>
        <v>#REF!</v>
      </c>
      <c r="I28" s="353" t="e">
        <f>'VL-CLBD'!#REF!</f>
        <v>#REF!</v>
      </c>
      <c r="J28" s="353" t="e">
        <f>'TBI-CLBD'!#REF!</f>
        <v>#REF!</v>
      </c>
      <c r="K28" s="353" t="e">
        <f>#REF!</f>
        <v>#REF!</v>
      </c>
      <c r="L28" s="348" t="e">
        <f>SUM(E28:K28)</f>
        <v>#REF!</v>
      </c>
      <c r="M28" s="353" t="e">
        <f>L28*'He so chung'!$D$17/100</f>
        <v>#REF!</v>
      </c>
      <c r="N28" s="349" t="e">
        <f>M28+L28</f>
        <v>#REF!</v>
      </c>
      <c r="O28" s="354" t="e">
        <f>'He so chung'!$D$21*R28</f>
        <v>#REF!</v>
      </c>
      <c r="P28" s="354" t="e">
        <f>'He so chung'!$D$22*R28</f>
        <v>#REF!</v>
      </c>
      <c r="Q28" s="411" t="e">
        <f>'He so chung'!$D$23*R28</f>
        <v>#REF!</v>
      </c>
      <c r="R28" s="412" t="e">
        <f>'NC-CLBD'!#REF!/100</f>
        <v>#REF!</v>
      </c>
    </row>
    <row r="29" spans="1:18" s="4" customFormat="1" ht="16.5" hidden="1" customHeight="1">
      <c r="A29" s="317"/>
      <c r="B29" s="317"/>
      <c r="C29" s="317"/>
      <c r="D29" s="361"/>
      <c r="E29" s="362"/>
      <c r="F29" s="363"/>
      <c r="G29" s="353"/>
      <c r="H29" s="363"/>
      <c r="I29" s="363"/>
      <c r="J29" s="363"/>
      <c r="K29" s="363"/>
      <c r="L29" s="364"/>
      <c r="M29" s="353"/>
      <c r="N29" s="365"/>
      <c r="O29" s="354"/>
      <c r="P29" s="354"/>
      <c r="Q29" s="411"/>
      <c r="R29" s="412"/>
    </row>
    <row r="30" spans="1:18" s="4" customFormat="1" ht="19.5" hidden="1" customHeight="1">
      <c r="A30" s="315" t="s">
        <v>11</v>
      </c>
      <c r="B30" s="402" t="s">
        <v>392</v>
      </c>
      <c r="C30" s="318" t="s">
        <v>278</v>
      </c>
      <c r="D30" s="351" t="s">
        <v>15</v>
      </c>
      <c r="E30" s="353" t="e">
        <f>'NC-CLBD'!#REF!/100</f>
        <v>#REF!</v>
      </c>
      <c r="F30" s="353"/>
      <c r="G30" s="353" t="e">
        <f>$Q$1*10*P30</f>
        <v>#REF!</v>
      </c>
      <c r="H30" s="353"/>
      <c r="I30" s="353"/>
      <c r="J30" s="353"/>
      <c r="K30" s="353"/>
      <c r="L30" s="348" t="e">
        <f>SUM(E30:K30)</f>
        <v>#REF!</v>
      </c>
      <c r="M30" s="353" t="e">
        <f>L30*'He so chung'!$D$17/100</f>
        <v>#REF!</v>
      </c>
      <c r="N30" s="349" t="e">
        <f>M30+L30</f>
        <v>#REF!</v>
      </c>
      <c r="O30" s="354" t="e">
        <f>'He so chung'!$D$21*R30</f>
        <v>#REF!</v>
      </c>
      <c r="P30" s="354" t="e">
        <f>'He so chung'!$D$22*R30</f>
        <v>#REF!</v>
      </c>
      <c r="Q30" s="411" t="e">
        <f>'He so chung'!$D$23*R30</f>
        <v>#REF!</v>
      </c>
      <c r="R30" s="412" t="e">
        <f>'NC-CLBD'!#REF!/100</f>
        <v>#REF!</v>
      </c>
    </row>
    <row r="31" spans="1:18" s="4" customFormat="1" ht="19.5" hidden="1" customHeight="1">
      <c r="A31" s="403"/>
      <c r="B31" s="436" t="s">
        <v>393</v>
      </c>
      <c r="C31" s="404"/>
      <c r="D31" s="377"/>
      <c r="E31" s="379"/>
      <c r="F31" s="379"/>
      <c r="G31" s="379"/>
      <c r="H31" s="379"/>
      <c r="I31" s="379"/>
      <c r="J31" s="379"/>
      <c r="K31" s="379"/>
      <c r="L31" s="380"/>
      <c r="M31" s="379"/>
      <c r="N31" s="381"/>
      <c r="O31" s="382"/>
      <c r="P31" s="354"/>
      <c r="Q31" s="411"/>
      <c r="R31" s="412"/>
    </row>
    <row r="32" spans="1:18" s="4" customFormat="1" ht="18" hidden="1" customHeight="1">
      <c r="A32" s="79"/>
      <c r="B32" s="79"/>
      <c r="C32" s="79"/>
      <c r="D32" s="413"/>
      <c r="E32" s="414"/>
      <c r="F32" s="414"/>
      <c r="G32" s="414"/>
      <c r="H32" s="414"/>
      <c r="I32" s="414"/>
      <c r="J32" s="414"/>
      <c r="K32" s="414"/>
      <c r="L32" s="415"/>
      <c r="M32" s="414"/>
      <c r="N32" s="416"/>
      <c r="O32" s="417"/>
      <c r="P32" s="354"/>
      <c r="Q32" s="411"/>
      <c r="R32" s="412"/>
    </row>
    <row r="33" spans="1:18" s="4" customFormat="1" ht="16.5" hidden="1" customHeight="1">
      <c r="A33" s="117"/>
      <c r="B33" s="117"/>
      <c r="C33" s="117"/>
      <c r="D33" s="372"/>
      <c r="E33" s="373"/>
      <c r="F33" s="373"/>
      <c r="G33" s="373"/>
      <c r="H33" s="373"/>
      <c r="I33" s="373"/>
      <c r="J33" s="373"/>
      <c r="K33" s="373"/>
      <c r="L33" s="374"/>
      <c r="M33" s="373"/>
      <c r="N33" s="375"/>
      <c r="O33" s="376"/>
      <c r="P33" s="354"/>
      <c r="Q33" s="411"/>
      <c r="R33" s="412"/>
    </row>
    <row r="34" spans="1:18" s="4" customFormat="1" ht="20.25" hidden="1" customHeight="1">
      <c r="A34" s="970" t="s">
        <v>376</v>
      </c>
      <c r="B34" s="972" t="s">
        <v>377</v>
      </c>
      <c r="C34" s="974" t="s">
        <v>378</v>
      </c>
      <c r="D34" s="970" t="s">
        <v>91</v>
      </c>
      <c r="E34" s="964" t="s">
        <v>368</v>
      </c>
      <c r="F34" s="965"/>
      <c r="G34" s="965"/>
      <c r="H34" s="965"/>
      <c r="I34" s="965"/>
      <c r="J34" s="965"/>
      <c r="K34" s="965"/>
      <c r="L34" s="966"/>
      <c r="M34" s="324" t="s">
        <v>63</v>
      </c>
      <c r="N34" s="974" t="s">
        <v>379</v>
      </c>
      <c r="O34" s="323" t="s">
        <v>18</v>
      </c>
      <c r="P34" s="104" t="s">
        <v>19</v>
      </c>
      <c r="Q34" s="57" t="s">
        <v>19</v>
      </c>
      <c r="R34" s="58" t="s">
        <v>16</v>
      </c>
    </row>
    <row r="35" spans="1:18" s="4" customFormat="1" ht="20.25" hidden="1" customHeight="1">
      <c r="A35" s="971"/>
      <c r="B35" s="973"/>
      <c r="C35" s="975"/>
      <c r="D35" s="971"/>
      <c r="E35" s="327" t="s">
        <v>369</v>
      </c>
      <c r="F35" s="326" t="s">
        <v>370</v>
      </c>
      <c r="G35" s="328">
        <v>0</v>
      </c>
      <c r="H35" s="326" t="s">
        <v>257</v>
      </c>
      <c r="I35" s="326" t="s">
        <v>280</v>
      </c>
      <c r="J35" s="326" t="s">
        <v>261</v>
      </c>
      <c r="K35" s="326" t="s">
        <v>371</v>
      </c>
      <c r="L35" s="326" t="s">
        <v>372</v>
      </c>
      <c r="M35" s="326" t="s">
        <v>48</v>
      </c>
      <c r="N35" s="975"/>
      <c r="O35" s="325" t="s">
        <v>20</v>
      </c>
      <c r="P35" s="105" t="s">
        <v>21</v>
      </c>
      <c r="Q35" s="59" t="s">
        <v>22</v>
      </c>
      <c r="R35" s="60" t="s">
        <v>17</v>
      </c>
    </row>
    <row r="36" spans="1:18" s="4" customFormat="1" ht="17.25" hidden="1" customHeight="1">
      <c r="A36" s="329" t="s">
        <v>52</v>
      </c>
      <c r="B36" s="330" t="s">
        <v>53</v>
      </c>
      <c r="C36" s="330" t="s">
        <v>54</v>
      </c>
      <c r="D36" s="331" t="s">
        <v>55</v>
      </c>
      <c r="E36" s="332" t="s">
        <v>56</v>
      </c>
      <c r="F36" s="332" t="s">
        <v>57</v>
      </c>
      <c r="G36" s="332"/>
      <c r="H36" s="332" t="s">
        <v>58</v>
      </c>
      <c r="I36" s="332" t="s">
        <v>59</v>
      </c>
      <c r="J36" s="332" t="s">
        <v>60</v>
      </c>
      <c r="K36" s="332" t="s">
        <v>61</v>
      </c>
      <c r="L36" s="333" t="s">
        <v>373</v>
      </c>
      <c r="M36" s="333" t="s">
        <v>374</v>
      </c>
      <c r="N36" s="334" t="s">
        <v>375</v>
      </c>
      <c r="O36" s="332" t="s">
        <v>62</v>
      </c>
      <c r="P36" s="48"/>
      <c r="Q36" s="48"/>
      <c r="R36" s="49"/>
    </row>
    <row r="37" spans="1:18" s="4" customFormat="1" ht="22.5" hidden="1" customHeight="1">
      <c r="A37" s="315" t="s">
        <v>12</v>
      </c>
      <c r="B37" s="314" t="s">
        <v>81</v>
      </c>
      <c r="C37" s="318" t="s">
        <v>278</v>
      </c>
      <c r="D37" s="351" t="s">
        <v>9</v>
      </c>
      <c r="E37" s="352" t="e">
        <f>'NC-CLBD'!G54/100</f>
        <v>#VALUE!</v>
      </c>
      <c r="F37" s="353"/>
      <c r="G37" s="353">
        <f>$Q$1*10*P37</f>
        <v>0</v>
      </c>
      <c r="H37" s="353">
        <f>'DCu-CLBD'!H156</f>
        <v>253.24180086153845</v>
      </c>
      <c r="I37" s="353">
        <f>'VL-CLBD'!F71</f>
        <v>5611.8959999999997</v>
      </c>
      <c r="J37" s="353">
        <f>'TBI-CLBD'!I110</f>
        <v>246.58799999999999</v>
      </c>
      <c r="K37" s="353" t="e">
        <f>#REF!</f>
        <v>#REF!</v>
      </c>
      <c r="L37" s="348" t="e">
        <f>SUM(E37:K37)</f>
        <v>#VALUE!</v>
      </c>
      <c r="M37" s="353" t="e">
        <f>L37*'He so chung'!$D$17/100</f>
        <v>#VALUE!</v>
      </c>
      <c r="N37" s="349" t="e">
        <f>M37+L37</f>
        <v>#VALUE!</v>
      </c>
      <c r="O37" s="354">
        <f>'He so chung'!$D$21*R37</f>
        <v>629.56307692307689</v>
      </c>
      <c r="P37" s="354">
        <f>'He so chung'!$D$22*R37</f>
        <v>547.44615384615383</v>
      </c>
      <c r="Q37" s="411">
        <f>'He so chung'!$D$23*R37</f>
        <v>82.116923076923072</v>
      </c>
      <c r="R37" s="412">
        <f>'NC-CLBD'!F54/100</f>
        <v>0.1024</v>
      </c>
    </row>
    <row r="38" spans="1:18" s="4" customFormat="1" ht="22.5" hidden="1" customHeight="1">
      <c r="A38" s="315"/>
      <c r="B38" s="314"/>
      <c r="C38" s="318"/>
      <c r="D38" s="351" t="s">
        <v>10</v>
      </c>
      <c r="E38" s="352" t="e">
        <f>'NC-CLBD'!G56/100</f>
        <v>#VALUE!</v>
      </c>
      <c r="F38" s="353"/>
      <c r="G38" s="353">
        <f>$Q$1*10*P38</f>
        <v>0</v>
      </c>
      <c r="H38" s="353">
        <f>'DCu-CLBD'!H157</f>
        <v>316.55225107692308</v>
      </c>
      <c r="I38" s="353">
        <f>'VL-CLBD'!F71</f>
        <v>5611.8959999999997</v>
      </c>
      <c r="J38" s="353">
        <f>'TBI-CLBD'!K110</f>
        <v>277.67959999999994</v>
      </c>
      <c r="K38" s="353" t="e">
        <f>#REF!</f>
        <v>#REF!</v>
      </c>
      <c r="L38" s="348" t="e">
        <f>SUM(E38:K38)</f>
        <v>#VALUE!</v>
      </c>
      <c r="M38" s="353" t="e">
        <f>L38*'He so chung'!$D$17/100</f>
        <v>#VALUE!</v>
      </c>
      <c r="N38" s="349" t="e">
        <f>M38+L38</f>
        <v>#VALUE!</v>
      </c>
      <c r="O38" s="354">
        <f>'He so chung'!$D$21*R38</f>
        <v>754.98384615384612</v>
      </c>
      <c r="P38" s="354">
        <f>'He so chung'!$D$22*R38</f>
        <v>656.5076923076922</v>
      </c>
      <c r="Q38" s="411">
        <f>'He so chung'!$D$23*R38</f>
        <v>98.476153846153835</v>
      </c>
      <c r="R38" s="412">
        <f>'NC-CLBD'!F56/100</f>
        <v>0.12279999999999999</v>
      </c>
    </row>
    <row r="39" spans="1:18" s="4" customFormat="1" ht="22.5" hidden="1" customHeight="1">
      <c r="A39" s="315"/>
      <c r="B39" s="314"/>
      <c r="C39" s="318"/>
      <c r="D39" s="351" t="s">
        <v>11</v>
      </c>
      <c r="E39" s="352" t="e">
        <f>'NC-CLBD'!G58/100</f>
        <v>#VALUE!</v>
      </c>
      <c r="F39" s="353"/>
      <c r="G39" s="353">
        <f>$Q$1*10*P39</f>
        <v>0</v>
      </c>
      <c r="H39" s="353">
        <f>'DCu-CLBD'!H158</f>
        <v>422.06966810256409</v>
      </c>
      <c r="I39" s="353">
        <f>'VL-CLBD'!F71</f>
        <v>5611.8959999999997</v>
      </c>
      <c r="J39" s="353">
        <f>'TBI-CLBD'!M110</f>
        <v>329.99279999999999</v>
      </c>
      <c r="K39" s="353" t="e">
        <f>#REF!</f>
        <v>#REF!</v>
      </c>
      <c r="L39" s="348" t="e">
        <f>SUM(E39:K39)</f>
        <v>#VALUE!</v>
      </c>
      <c r="M39" s="353" t="e">
        <f>L39*'He so chung'!$D$17/100</f>
        <v>#VALUE!</v>
      </c>
      <c r="N39" s="349" t="e">
        <f>M39+L39</f>
        <v>#VALUE!</v>
      </c>
      <c r="O39" s="354">
        <f>'He so chung'!$D$21*R39</f>
        <v>880.40461538461534</v>
      </c>
      <c r="P39" s="354">
        <f>'He so chung'!$D$22*R39</f>
        <v>765.56923076923067</v>
      </c>
      <c r="Q39" s="411">
        <f>'He so chung'!$D$23*R39</f>
        <v>114.83538461538461</v>
      </c>
      <c r="R39" s="412">
        <f>'NC-CLBD'!F58/100</f>
        <v>0.14319999999999999</v>
      </c>
    </row>
    <row r="40" spans="1:18" s="4" customFormat="1" ht="22.5" hidden="1" customHeight="1">
      <c r="A40" s="315"/>
      <c r="B40" s="314"/>
      <c r="C40" s="318"/>
      <c r="D40" s="351" t="s">
        <v>12</v>
      </c>
      <c r="E40" s="352" t="e">
        <f>'NC-CLBD'!G60/100</f>
        <v>#VALUE!</v>
      </c>
      <c r="F40" s="353"/>
      <c r="G40" s="353">
        <f>$Q$1*10*P40</f>
        <v>0</v>
      </c>
      <c r="H40" s="353">
        <f>'DCu-CLBD'!H159</f>
        <v>506.4836017230769</v>
      </c>
      <c r="I40" s="353">
        <f>'VL-CLBD'!F71</f>
        <v>5611.8959999999997</v>
      </c>
      <c r="J40" s="353">
        <f>'TBI-CLBD'!O110</f>
        <v>371.25599999999997</v>
      </c>
      <c r="K40" s="353" t="e">
        <f>#REF!</f>
        <v>#REF!</v>
      </c>
      <c r="L40" s="348" t="e">
        <f>SUM(E40:K40)</f>
        <v>#VALUE!</v>
      </c>
      <c r="M40" s="353" t="e">
        <f>L40*'He so chung'!$D$17/100</f>
        <v>#VALUE!</v>
      </c>
      <c r="N40" s="349" t="e">
        <f>M40+L40</f>
        <v>#VALUE!</v>
      </c>
      <c r="O40" s="354">
        <f>'He so chung'!$D$21*R40</f>
        <v>1008.2846153846152</v>
      </c>
      <c r="P40" s="354">
        <f>'He so chung'!$D$22*R40</f>
        <v>876.7692307692306</v>
      </c>
      <c r="Q40" s="411">
        <f>'He so chung'!$D$23*R40</f>
        <v>131.51538461538459</v>
      </c>
      <c r="R40" s="412">
        <f>'NC-CLBD'!F60/100</f>
        <v>0.16399999999999998</v>
      </c>
    </row>
    <row r="41" spans="1:18" s="4" customFormat="1" ht="18.75" hidden="1" customHeight="1">
      <c r="A41" s="315"/>
      <c r="B41" s="314"/>
      <c r="C41" s="318"/>
      <c r="D41" s="351"/>
      <c r="E41" s="352"/>
      <c r="F41" s="353"/>
      <c r="G41" s="353"/>
      <c r="H41" s="353"/>
      <c r="I41" s="353"/>
      <c r="J41" s="353"/>
      <c r="K41" s="353"/>
      <c r="L41" s="348"/>
      <c r="M41" s="353"/>
      <c r="N41" s="349"/>
      <c r="O41" s="354"/>
      <c r="P41" s="354"/>
      <c r="Q41" s="411"/>
      <c r="R41" s="412"/>
    </row>
    <row r="42" spans="1:18" s="4" customFormat="1" ht="20.25" hidden="1" customHeight="1">
      <c r="A42" s="315" t="s">
        <v>13</v>
      </c>
      <c r="B42" s="314" t="s">
        <v>384</v>
      </c>
      <c r="C42" s="318" t="s">
        <v>278</v>
      </c>
      <c r="D42" s="351" t="s">
        <v>15</v>
      </c>
      <c r="E42" s="352" t="e">
        <f>'NC-CLBD'!G64/100</f>
        <v>#VALUE!</v>
      </c>
      <c r="F42" s="353"/>
      <c r="G42" s="353">
        <f>$Q$1*10*P42</f>
        <v>0</v>
      </c>
      <c r="H42" s="353"/>
      <c r="I42" s="353"/>
      <c r="J42" s="353"/>
      <c r="K42" s="353"/>
      <c r="L42" s="348" t="e">
        <f>SUM(E42:K42)</f>
        <v>#VALUE!</v>
      </c>
      <c r="M42" s="353" t="e">
        <f>L42*'He so chung'!$D$17/100</f>
        <v>#VALUE!</v>
      </c>
      <c r="N42" s="349" t="e">
        <f>M42+L42</f>
        <v>#VALUE!</v>
      </c>
      <c r="O42" s="354">
        <f>'He so chung'!$D$21*R42</f>
        <v>184.44230769230768</v>
      </c>
      <c r="P42" s="354">
        <f>'He so chung'!$D$22*R42</f>
        <v>160.38461538461536</v>
      </c>
      <c r="Q42" s="411">
        <f>'He so chung'!$D$23*R42</f>
        <v>24.057692307692307</v>
      </c>
      <c r="R42" s="412">
        <f>'NC-CLBD'!F64/100</f>
        <v>0.03</v>
      </c>
    </row>
    <row r="43" spans="1:18" s="4" customFormat="1" ht="20.25" hidden="1" customHeight="1">
      <c r="A43" s="315"/>
      <c r="B43" s="314" t="s">
        <v>385</v>
      </c>
      <c r="C43" s="318"/>
      <c r="D43" s="351"/>
      <c r="E43" s="352"/>
      <c r="F43" s="353"/>
      <c r="G43" s="353"/>
      <c r="H43" s="353"/>
      <c r="I43" s="353"/>
      <c r="J43" s="353"/>
      <c r="K43" s="353"/>
      <c r="L43" s="348"/>
      <c r="M43" s="353"/>
      <c r="N43" s="349"/>
      <c r="O43" s="354"/>
      <c r="P43" s="354"/>
      <c r="Q43" s="411"/>
      <c r="R43" s="412"/>
    </row>
    <row r="44" spans="1:18" s="4" customFormat="1" ht="20.25" hidden="1" customHeight="1">
      <c r="A44" s="315"/>
      <c r="B44" s="314"/>
      <c r="C44" s="318"/>
      <c r="D44" s="351"/>
      <c r="E44" s="352"/>
      <c r="F44" s="353"/>
      <c r="G44" s="353"/>
      <c r="H44" s="353"/>
      <c r="I44" s="353"/>
      <c r="J44" s="353"/>
      <c r="K44" s="353"/>
      <c r="L44" s="348"/>
      <c r="M44" s="353"/>
      <c r="N44" s="349"/>
      <c r="O44" s="354"/>
      <c r="P44" s="354"/>
      <c r="Q44" s="411"/>
      <c r="R44" s="412"/>
    </row>
    <row r="45" spans="1:18" s="4" customFormat="1" ht="20.25" hidden="1" customHeight="1">
      <c r="A45" s="315" t="s">
        <v>14</v>
      </c>
      <c r="B45" s="314" t="s">
        <v>363</v>
      </c>
      <c r="C45" s="318" t="s">
        <v>278</v>
      </c>
      <c r="D45" s="351" t="s">
        <v>15</v>
      </c>
      <c r="E45" s="352" t="e">
        <f>'NC-CLBD'!G67/100</f>
        <v>#VALUE!</v>
      </c>
      <c r="F45" s="353"/>
      <c r="G45" s="353">
        <f>$Q$1*10*P45</f>
        <v>0</v>
      </c>
      <c r="H45" s="353">
        <f>'DCu-CLBD'!H186</f>
        <v>184.59746666666666</v>
      </c>
      <c r="I45" s="353">
        <f>'VL-CLBD'!F92</f>
        <v>1232.28</v>
      </c>
      <c r="J45" s="353">
        <f>'TBI-CLBD'!I155</f>
        <v>105.78</v>
      </c>
      <c r="K45" s="353" t="e">
        <f>#REF!</f>
        <v>#REF!</v>
      </c>
      <c r="L45" s="348" t="e">
        <f>SUM(E45:K45)</f>
        <v>#VALUE!</v>
      </c>
      <c r="M45" s="353" t="e">
        <f>L45*'He so chung'!$D$17/100</f>
        <v>#VALUE!</v>
      </c>
      <c r="N45" s="349" t="e">
        <f>M45+L45</f>
        <v>#VALUE!</v>
      </c>
      <c r="O45" s="354">
        <f>'He so chung'!$D$21*R45</f>
        <v>159.85000000000002</v>
      </c>
      <c r="P45" s="354">
        <f>'He so chung'!$D$22*R45</f>
        <v>139</v>
      </c>
      <c r="Q45" s="411">
        <f>'He so chung'!$D$23*R45</f>
        <v>20.85</v>
      </c>
      <c r="R45" s="412">
        <f>'NC-CLBD'!F67/100</f>
        <v>2.6000000000000002E-2</v>
      </c>
    </row>
    <row r="46" spans="1:18" s="4" customFormat="1" ht="20.25" hidden="1" customHeight="1">
      <c r="A46" s="316"/>
      <c r="B46" s="317"/>
      <c r="C46" s="121"/>
      <c r="D46" s="361"/>
      <c r="E46" s="362"/>
      <c r="F46" s="363"/>
      <c r="G46" s="353"/>
      <c r="H46" s="363"/>
      <c r="I46" s="363"/>
      <c r="J46" s="363"/>
      <c r="K46" s="363"/>
      <c r="L46" s="348"/>
      <c r="M46" s="353"/>
      <c r="N46" s="349"/>
      <c r="O46" s="354"/>
      <c r="P46" s="354"/>
      <c r="Q46" s="411"/>
      <c r="R46" s="425"/>
    </row>
    <row r="47" spans="1:18" s="4" customFormat="1" ht="20.25" hidden="1" customHeight="1">
      <c r="A47" s="315" t="s">
        <v>85</v>
      </c>
      <c r="B47" s="314" t="s">
        <v>364</v>
      </c>
      <c r="C47" s="318" t="s">
        <v>1</v>
      </c>
      <c r="D47" s="351" t="s">
        <v>15</v>
      </c>
      <c r="E47" s="362" t="e">
        <f>'NC-CLBD'!G69</f>
        <v>#VALUE!</v>
      </c>
      <c r="F47" s="363"/>
      <c r="G47" s="353">
        <f>$Q$1*10*P47</f>
        <v>0</v>
      </c>
      <c r="H47" s="363">
        <f>'DCu-CLBD'!H209*70%</f>
        <v>3455.0592596153847</v>
      </c>
      <c r="I47" s="363">
        <f>'VL-CLBD'!F112*70%</f>
        <v>130561.2</v>
      </c>
      <c r="J47" s="363">
        <f>'TBI-CLBD'!I168*70%</f>
        <v>2199.3999999999996</v>
      </c>
      <c r="K47" s="363" t="e">
        <f>#REF!*70%</f>
        <v>#REF!</v>
      </c>
      <c r="L47" s="348" t="e">
        <f>SUM(E47:K47)</f>
        <v>#VALUE!</v>
      </c>
      <c r="M47" s="353" t="e">
        <f>L47*'He so chung'!$D$17/100</f>
        <v>#VALUE!</v>
      </c>
      <c r="N47" s="349" t="e">
        <f>M47+L47</f>
        <v>#VALUE!</v>
      </c>
      <c r="O47" s="354">
        <f>'He so chung'!$D$21*R47</f>
        <v>3135.5192307692305</v>
      </c>
      <c r="P47" s="354">
        <f>'He so chung'!$D$22*R47</f>
        <v>2726.5384615384614</v>
      </c>
      <c r="Q47" s="411">
        <f>'He so chung'!$D$23*R47</f>
        <v>408.98076923076923</v>
      </c>
      <c r="R47" s="425">
        <f>'NC-CLBD'!F69</f>
        <v>0.51</v>
      </c>
    </row>
    <row r="48" spans="1:18" s="4" customFormat="1" ht="20.25" hidden="1" customHeight="1">
      <c r="A48" s="102"/>
      <c r="B48" s="103"/>
      <c r="C48" s="121"/>
      <c r="D48" s="361"/>
      <c r="E48" s="362"/>
      <c r="F48" s="363"/>
      <c r="G48" s="353"/>
      <c r="H48" s="363"/>
      <c r="I48" s="363"/>
      <c r="J48" s="363"/>
      <c r="K48" s="363"/>
      <c r="L48" s="348"/>
      <c r="M48" s="353"/>
      <c r="N48" s="349"/>
      <c r="O48" s="354"/>
      <c r="P48" s="354"/>
      <c r="Q48" s="411"/>
      <c r="R48" s="425"/>
    </row>
    <row r="49" spans="1:18" s="4" customFormat="1" ht="20.25" hidden="1" customHeight="1">
      <c r="A49" s="315" t="s">
        <v>87</v>
      </c>
      <c r="B49" s="314" t="s">
        <v>365</v>
      </c>
      <c r="C49" s="318" t="s">
        <v>1</v>
      </c>
      <c r="D49" s="351" t="s">
        <v>15</v>
      </c>
      <c r="E49" s="362" t="e">
        <f>'NC-CLBD'!G71</f>
        <v>#VALUE!</v>
      </c>
      <c r="F49" s="363"/>
      <c r="G49" s="353">
        <f>$Q$1*10*P49</f>
        <v>0</v>
      </c>
      <c r="H49" s="363">
        <f>'DCu-CLBD'!H209*15%</f>
        <v>740.36984134615386</v>
      </c>
      <c r="I49" s="363">
        <f>'VL-CLBD'!F112*15%</f>
        <v>27977.399999999998</v>
      </c>
      <c r="J49" s="363">
        <f>'TBI-CLBD'!I168*15%</f>
        <v>471.29999999999995</v>
      </c>
      <c r="K49" s="363" t="e">
        <f>#REF!*15%</f>
        <v>#REF!</v>
      </c>
      <c r="L49" s="348" t="e">
        <f>SUM(E49:K49)</f>
        <v>#VALUE!</v>
      </c>
      <c r="M49" s="353" t="e">
        <f>L49*'He so chung'!$D$17/100</f>
        <v>#VALUE!</v>
      </c>
      <c r="N49" s="349" t="e">
        <f>M49+L49</f>
        <v>#VALUE!</v>
      </c>
      <c r="O49" s="354">
        <f>'He so chung'!$D$21*R49</f>
        <v>2459.2307692307695</v>
      </c>
      <c r="P49" s="354">
        <f>'He so chung'!$D$22*R49</f>
        <v>2138.4615384615386</v>
      </c>
      <c r="Q49" s="411">
        <f>'He so chung'!$D$23*R49</f>
        <v>320.76923076923077</v>
      </c>
      <c r="R49" s="425">
        <f>'NC-CLBD'!F71</f>
        <v>0.4</v>
      </c>
    </row>
    <row r="50" spans="1:18" s="4" customFormat="1" ht="20.25" hidden="1" customHeight="1">
      <c r="A50" s="316"/>
      <c r="B50" s="317"/>
      <c r="C50" s="121"/>
      <c r="D50" s="361"/>
      <c r="E50" s="362"/>
      <c r="F50" s="363"/>
      <c r="G50" s="353"/>
      <c r="H50" s="363"/>
      <c r="I50" s="363"/>
      <c r="J50" s="363"/>
      <c r="K50" s="363"/>
      <c r="L50" s="348"/>
      <c r="M50" s="353"/>
      <c r="N50" s="349"/>
      <c r="O50" s="354"/>
      <c r="P50" s="354"/>
      <c r="Q50" s="411"/>
      <c r="R50" s="425"/>
    </row>
    <row r="51" spans="1:18" s="4" customFormat="1" ht="20.25" hidden="1" customHeight="1">
      <c r="A51" s="316" t="s">
        <v>88</v>
      </c>
      <c r="B51" s="317" t="s">
        <v>366</v>
      </c>
      <c r="C51" s="405" t="s">
        <v>1</v>
      </c>
      <c r="D51" s="361" t="s">
        <v>15</v>
      </c>
      <c r="E51" s="362" t="e">
        <f>'NC-CLBD'!G73</f>
        <v>#VALUE!</v>
      </c>
      <c r="F51" s="363"/>
      <c r="G51" s="353">
        <f>$Q$1*10*P51</f>
        <v>0</v>
      </c>
      <c r="H51" s="363">
        <f>'DCu-CLBD'!H209*15%</f>
        <v>740.36984134615386</v>
      </c>
      <c r="I51" s="363">
        <f>'VL-CLBD'!F112*15%</f>
        <v>27977.399999999998</v>
      </c>
      <c r="J51" s="363">
        <f>'TBI-CLBD'!I168*15%</f>
        <v>471.29999999999995</v>
      </c>
      <c r="K51" s="363" t="e">
        <f>#REF!*15%</f>
        <v>#REF!</v>
      </c>
      <c r="L51" s="364" t="e">
        <f>SUM(E51:K51)</f>
        <v>#VALUE!</v>
      </c>
      <c r="M51" s="353" t="e">
        <f>L51*'He so chung'!$D$17/100</f>
        <v>#VALUE!</v>
      </c>
      <c r="N51" s="365" t="e">
        <f>M51+L51</f>
        <v>#VALUE!</v>
      </c>
      <c r="O51" s="354">
        <f>'He so chung'!$D$21*R51</f>
        <v>1229.6153846153848</v>
      </c>
      <c r="P51" s="354">
        <f>'He so chung'!$D$22*R51</f>
        <v>1069.2307692307693</v>
      </c>
      <c r="Q51" s="411">
        <f>'He so chung'!$D$23*R51</f>
        <v>160.38461538461539</v>
      </c>
      <c r="R51" s="425">
        <f>'NC-CLBD'!F73</f>
        <v>0.2</v>
      </c>
    </row>
    <row r="52" spans="1:18" s="4" customFormat="1" ht="19.5" hidden="1" customHeight="1">
      <c r="A52" s="403"/>
      <c r="B52" s="401"/>
      <c r="C52" s="404"/>
      <c r="D52" s="377"/>
      <c r="E52" s="379"/>
      <c r="F52" s="379"/>
      <c r="G52" s="379"/>
      <c r="H52" s="379"/>
      <c r="I52" s="379"/>
      <c r="J52" s="379"/>
      <c r="K52" s="379"/>
      <c r="L52" s="380"/>
      <c r="M52" s="379"/>
      <c r="N52" s="381"/>
      <c r="O52" s="382"/>
      <c r="P52" s="382"/>
      <c r="Q52" s="423"/>
      <c r="R52" s="424"/>
    </row>
    <row r="53" spans="1:18" s="4" customFormat="1" ht="9" hidden="1" customHeight="1">
      <c r="A53" s="383"/>
      <c r="B53" s="338"/>
      <c r="C53" s="338"/>
      <c r="D53" s="383"/>
      <c r="E53" s="187"/>
      <c r="F53" s="187"/>
      <c r="G53" s="84"/>
      <c r="H53" s="187"/>
      <c r="I53" s="187"/>
      <c r="J53" s="187"/>
      <c r="K53" s="187"/>
      <c r="L53" s="187"/>
      <c r="M53" s="187"/>
      <c r="N53" s="187"/>
      <c r="O53" s="322"/>
      <c r="P53" s="322"/>
      <c r="Q53" s="426"/>
      <c r="R53" s="427"/>
    </row>
    <row r="54" spans="1:18" s="4" customFormat="1" ht="18" customHeight="1">
      <c r="A54" s="385"/>
      <c r="B54" s="501" t="s">
        <v>419</v>
      </c>
      <c r="C54" s="385"/>
      <c r="D54" s="384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6"/>
      <c r="P54" s="428"/>
      <c r="Q54" s="429"/>
      <c r="R54" s="430"/>
    </row>
    <row r="55" spans="1:18" s="4" customFormat="1" ht="18" customHeight="1">
      <c r="A55" s="955" t="s">
        <v>3</v>
      </c>
      <c r="B55" s="958" t="s">
        <v>390</v>
      </c>
      <c r="C55" s="961" t="s">
        <v>1</v>
      </c>
      <c r="D55" s="387">
        <v>1</v>
      </c>
      <c r="E55" s="388" t="e">
        <f t="shared" ref="E55:R58" si="0">E7+E$47+E$49+E$51</f>
        <v>#VALUE!</v>
      </c>
      <c r="F55" s="388">
        <f t="shared" si="0"/>
        <v>0</v>
      </c>
      <c r="G55" s="388">
        <f t="shared" si="0"/>
        <v>0</v>
      </c>
      <c r="H55" s="388">
        <f t="shared" si="0"/>
        <v>22182.452788461538</v>
      </c>
      <c r="I55" s="388">
        <f t="shared" si="0"/>
        <v>261576</v>
      </c>
      <c r="J55" s="388">
        <f t="shared" si="0"/>
        <v>3142</v>
      </c>
      <c r="K55" s="388" t="e">
        <f t="shared" si="0"/>
        <v>#REF!</v>
      </c>
      <c r="L55" s="388" t="e">
        <f t="shared" si="0"/>
        <v>#VALUE!</v>
      </c>
      <c r="M55" s="388" t="e">
        <f t="shared" si="0"/>
        <v>#VALUE!</v>
      </c>
      <c r="N55" s="388" t="e">
        <f t="shared" si="0"/>
        <v>#VALUE!</v>
      </c>
      <c r="O55" s="388">
        <f t="shared" si="0"/>
        <v>46252.249999999993</v>
      </c>
      <c r="P55" s="388">
        <f t="shared" si="0"/>
        <v>37476.538461538461</v>
      </c>
      <c r="Q55" s="388">
        <f t="shared" si="0"/>
        <v>8775.711538461539</v>
      </c>
      <c r="R55" s="388">
        <f t="shared" si="0"/>
        <v>7.0100000000000007</v>
      </c>
    </row>
    <row r="56" spans="1:18" s="4" customFormat="1" ht="18" customHeight="1">
      <c r="A56" s="956"/>
      <c r="B56" s="959"/>
      <c r="C56" s="962"/>
      <c r="D56" s="389">
        <v>2</v>
      </c>
      <c r="E56" s="388" t="e">
        <f t="shared" si="0"/>
        <v>#VALUE!</v>
      </c>
      <c r="F56" s="388">
        <f t="shared" si="0"/>
        <v>0</v>
      </c>
      <c r="G56" s="388">
        <f t="shared" si="0"/>
        <v>0</v>
      </c>
      <c r="H56" s="388">
        <f t="shared" si="0"/>
        <v>26494.116249999999</v>
      </c>
      <c r="I56" s="388">
        <f t="shared" si="0"/>
        <v>261576</v>
      </c>
      <c r="J56" s="388">
        <f t="shared" si="0"/>
        <v>3142</v>
      </c>
      <c r="K56" s="388" t="e">
        <f t="shared" si="0"/>
        <v>#REF!</v>
      </c>
      <c r="L56" s="388" t="e">
        <f t="shared" si="0"/>
        <v>#VALUE!</v>
      </c>
      <c r="M56" s="388" t="e">
        <f t="shared" si="0"/>
        <v>#VALUE!</v>
      </c>
      <c r="N56" s="388" t="e">
        <f t="shared" si="0"/>
        <v>#VALUE!</v>
      </c>
      <c r="O56" s="388">
        <f t="shared" si="0"/>
        <v>58013.788461538461</v>
      </c>
      <c r="P56" s="388">
        <f t="shared" si="0"/>
        <v>46885.769230769227</v>
      </c>
      <c r="Q56" s="388">
        <f t="shared" si="0"/>
        <v>11128.019230769232</v>
      </c>
      <c r="R56" s="388">
        <f t="shared" si="0"/>
        <v>8.77</v>
      </c>
    </row>
    <row r="57" spans="1:18" s="4" customFormat="1" ht="18" customHeight="1">
      <c r="A57" s="956"/>
      <c r="B57" s="959"/>
      <c r="C57" s="962"/>
      <c r="D57" s="389">
        <v>3</v>
      </c>
      <c r="E57" s="388" t="e">
        <f t="shared" si="0"/>
        <v>#VALUE!</v>
      </c>
      <c r="F57" s="388">
        <f t="shared" si="0"/>
        <v>0</v>
      </c>
      <c r="G57" s="388">
        <f t="shared" si="0"/>
        <v>0</v>
      </c>
      <c r="H57" s="388">
        <f t="shared" si="0"/>
        <v>33680.222019230772</v>
      </c>
      <c r="I57" s="388">
        <f t="shared" si="0"/>
        <v>261576</v>
      </c>
      <c r="J57" s="388">
        <f t="shared" si="0"/>
        <v>3142</v>
      </c>
      <c r="K57" s="388" t="e">
        <f t="shared" si="0"/>
        <v>#REF!</v>
      </c>
      <c r="L57" s="388" t="e">
        <f t="shared" si="0"/>
        <v>#VALUE!</v>
      </c>
      <c r="M57" s="388" t="e">
        <f t="shared" si="0"/>
        <v>#VALUE!</v>
      </c>
      <c r="N57" s="388" t="e">
        <f t="shared" si="0"/>
        <v>#VALUE!</v>
      </c>
      <c r="O57" s="388">
        <f t="shared" si="0"/>
        <v>73383.98076923078</v>
      </c>
      <c r="P57" s="388">
        <f t="shared" si="0"/>
        <v>59181.923076923071</v>
      </c>
      <c r="Q57" s="388">
        <f t="shared" si="0"/>
        <v>14202.057692307695</v>
      </c>
      <c r="R57" s="388">
        <f t="shared" si="0"/>
        <v>11.07</v>
      </c>
    </row>
    <row r="58" spans="1:18" s="4" customFormat="1" ht="18" customHeight="1">
      <c r="A58" s="967"/>
      <c r="B58" s="968"/>
      <c r="C58" s="969"/>
      <c r="D58" s="391">
        <v>4</v>
      </c>
      <c r="E58" s="388" t="e">
        <f t="shared" si="0"/>
        <v>#VALUE!</v>
      </c>
      <c r="F58" s="388">
        <f t="shared" si="0"/>
        <v>0</v>
      </c>
      <c r="G58" s="388">
        <f t="shared" si="0"/>
        <v>0</v>
      </c>
      <c r="H58" s="388">
        <f t="shared" si="0"/>
        <v>39429.106634615389</v>
      </c>
      <c r="I58" s="388">
        <f t="shared" si="0"/>
        <v>261576</v>
      </c>
      <c r="J58" s="388">
        <f t="shared" si="0"/>
        <v>3142</v>
      </c>
      <c r="K58" s="388" t="e">
        <f t="shared" si="0"/>
        <v>#REF!</v>
      </c>
      <c r="L58" s="388" t="e">
        <f t="shared" si="0"/>
        <v>#VALUE!</v>
      </c>
      <c r="M58" s="388" t="e">
        <f t="shared" si="0"/>
        <v>#VALUE!</v>
      </c>
      <c r="N58" s="388" t="e">
        <f t="shared" si="0"/>
        <v>#VALUE!</v>
      </c>
      <c r="O58" s="388">
        <f t="shared" si="0"/>
        <v>93298.403846153844</v>
      </c>
      <c r="P58" s="388">
        <f t="shared" si="0"/>
        <v>75113.461538461532</v>
      </c>
      <c r="Q58" s="388">
        <f t="shared" si="0"/>
        <v>18184.942307692309</v>
      </c>
      <c r="R58" s="388">
        <f t="shared" si="0"/>
        <v>14.049999999999999</v>
      </c>
    </row>
    <row r="59" spans="1:18" s="4" customFormat="1" ht="14.25" customHeight="1">
      <c r="A59" s="115"/>
      <c r="B59" s="116"/>
      <c r="C59" s="406"/>
      <c r="D59" s="389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431"/>
      <c r="Q59" s="432"/>
      <c r="R59" s="433"/>
    </row>
    <row r="60" spans="1:18" s="4" customFormat="1" ht="18" customHeight="1">
      <c r="A60" s="955" t="s">
        <v>4</v>
      </c>
      <c r="B60" s="958" t="s">
        <v>391</v>
      </c>
      <c r="C60" s="961" t="s">
        <v>278</v>
      </c>
      <c r="D60" s="387">
        <v>1</v>
      </c>
      <c r="E60" s="388" t="e">
        <f t="shared" ref="E60:R63" si="1">E12+E17+E25+E$30+E37+E$42+E$45</f>
        <v>#VALUE!</v>
      </c>
      <c r="F60" s="388">
        <f t="shared" si="1"/>
        <v>21890.1</v>
      </c>
      <c r="G60" s="388" t="e">
        <f t="shared" si="1"/>
        <v>#REF!</v>
      </c>
      <c r="H60" s="388" t="e">
        <f t="shared" si="1"/>
        <v>#REF!</v>
      </c>
      <c r="I60" s="388" t="e">
        <f t="shared" si="1"/>
        <v>#REF!</v>
      </c>
      <c r="J60" s="388" t="e">
        <f t="shared" si="1"/>
        <v>#REF!</v>
      </c>
      <c r="K60" s="388" t="e">
        <f t="shared" si="1"/>
        <v>#REF!</v>
      </c>
      <c r="L60" s="388" t="e">
        <f t="shared" si="1"/>
        <v>#VALUE!</v>
      </c>
      <c r="M60" s="388" t="e">
        <f t="shared" si="1"/>
        <v>#VALUE!</v>
      </c>
      <c r="N60" s="388" t="e">
        <f t="shared" si="1"/>
        <v>#VALUE!</v>
      </c>
      <c r="O60" s="388" t="e">
        <f t="shared" si="1"/>
        <v>#REF!</v>
      </c>
      <c r="P60" s="388" t="e">
        <f t="shared" si="1"/>
        <v>#REF!</v>
      </c>
      <c r="Q60" s="388" t="e">
        <f t="shared" si="1"/>
        <v>#REF!</v>
      </c>
      <c r="R60" s="388" t="e">
        <f t="shared" si="1"/>
        <v>#REF!</v>
      </c>
    </row>
    <row r="61" spans="1:18" s="4" customFormat="1" ht="18" customHeight="1">
      <c r="A61" s="956"/>
      <c r="B61" s="959"/>
      <c r="C61" s="962"/>
      <c r="D61" s="389">
        <v>2</v>
      </c>
      <c r="E61" s="388" t="e">
        <f t="shared" si="1"/>
        <v>#VALUE!</v>
      </c>
      <c r="F61" s="388">
        <f t="shared" si="1"/>
        <v>26278.6</v>
      </c>
      <c r="G61" s="388" t="e">
        <f t="shared" si="1"/>
        <v>#REF!</v>
      </c>
      <c r="H61" s="388" t="e">
        <f t="shared" si="1"/>
        <v>#REF!</v>
      </c>
      <c r="I61" s="388" t="e">
        <f t="shared" si="1"/>
        <v>#REF!</v>
      </c>
      <c r="J61" s="388" t="e">
        <f t="shared" si="1"/>
        <v>#REF!</v>
      </c>
      <c r="K61" s="388" t="e">
        <f t="shared" si="1"/>
        <v>#REF!</v>
      </c>
      <c r="L61" s="388" t="e">
        <f t="shared" si="1"/>
        <v>#VALUE!</v>
      </c>
      <c r="M61" s="388" t="e">
        <f t="shared" si="1"/>
        <v>#VALUE!</v>
      </c>
      <c r="N61" s="388" t="e">
        <f t="shared" si="1"/>
        <v>#VALUE!</v>
      </c>
      <c r="O61" s="388" t="e">
        <f t="shared" si="1"/>
        <v>#REF!</v>
      </c>
      <c r="P61" s="388" t="e">
        <f t="shared" si="1"/>
        <v>#REF!</v>
      </c>
      <c r="Q61" s="388" t="e">
        <f t="shared" si="1"/>
        <v>#REF!</v>
      </c>
      <c r="R61" s="388" t="e">
        <f t="shared" si="1"/>
        <v>#REF!</v>
      </c>
    </row>
    <row r="62" spans="1:18" s="4" customFormat="1" ht="18" customHeight="1">
      <c r="A62" s="956"/>
      <c r="B62" s="959"/>
      <c r="C62" s="962"/>
      <c r="D62" s="389">
        <v>3</v>
      </c>
      <c r="E62" s="388" t="e">
        <f t="shared" si="1"/>
        <v>#VALUE!</v>
      </c>
      <c r="F62" s="388">
        <f t="shared" si="1"/>
        <v>31531.7</v>
      </c>
      <c r="G62" s="388" t="e">
        <f t="shared" si="1"/>
        <v>#REF!</v>
      </c>
      <c r="H62" s="388" t="e">
        <f t="shared" si="1"/>
        <v>#REF!</v>
      </c>
      <c r="I62" s="388" t="e">
        <f t="shared" si="1"/>
        <v>#REF!</v>
      </c>
      <c r="J62" s="388" t="e">
        <f t="shared" si="1"/>
        <v>#REF!</v>
      </c>
      <c r="K62" s="388" t="e">
        <f t="shared" si="1"/>
        <v>#REF!</v>
      </c>
      <c r="L62" s="388" t="e">
        <f t="shared" si="1"/>
        <v>#VALUE!</v>
      </c>
      <c r="M62" s="388" t="e">
        <f t="shared" si="1"/>
        <v>#VALUE!</v>
      </c>
      <c r="N62" s="388" t="e">
        <f t="shared" si="1"/>
        <v>#VALUE!</v>
      </c>
      <c r="O62" s="388" t="e">
        <f t="shared" si="1"/>
        <v>#REF!</v>
      </c>
      <c r="P62" s="388" t="e">
        <f t="shared" si="1"/>
        <v>#REF!</v>
      </c>
      <c r="Q62" s="388" t="e">
        <f t="shared" si="1"/>
        <v>#REF!</v>
      </c>
      <c r="R62" s="388" t="e">
        <f t="shared" si="1"/>
        <v>#REF!</v>
      </c>
    </row>
    <row r="63" spans="1:18" s="4" customFormat="1" ht="18" customHeight="1">
      <c r="A63" s="957"/>
      <c r="B63" s="960"/>
      <c r="C63" s="963"/>
      <c r="D63" s="393">
        <v>4</v>
      </c>
      <c r="E63" s="435" t="e">
        <f t="shared" si="1"/>
        <v>#VALUE!</v>
      </c>
      <c r="F63" s="435">
        <f t="shared" si="1"/>
        <v>37832.800000000003</v>
      </c>
      <c r="G63" s="435" t="e">
        <f t="shared" si="1"/>
        <v>#REF!</v>
      </c>
      <c r="H63" s="435" t="e">
        <f t="shared" si="1"/>
        <v>#REF!</v>
      </c>
      <c r="I63" s="435" t="e">
        <f t="shared" si="1"/>
        <v>#REF!</v>
      </c>
      <c r="J63" s="435" t="e">
        <f t="shared" si="1"/>
        <v>#REF!</v>
      </c>
      <c r="K63" s="435" t="e">
        <f t="shared" si="1"/>
        <v>#REF!</v>
      </c>
      <c r="L63" s="435" t="e">
        <f t="shared" si="1"/>
        <v>#VALUE!</v>
      </c>
      <c r="M63" s="435" t="e">
        <f t="shared" si="1"/>
        <v>#VALUE!</v>
      </c>
      <c r="N63" s="435" t="e">
        <f t="shared" si="1"/>
        <v>#VALUE!</v>
      </c>
      <c r="O63" s="435" t="e">
        <f t="shared" si="1"/>
        <v>#REF!</v>
      </c>
      <c r="P63" s="435" t="e">
        <f t="shared" si="1"/>
        <v>#REF!</v>
      </c>
      <c r="Q63" s="435" t="e">
        <f t="shared" si="1"/>
        <v>#REF!</v>
      </c>
      <c r="R63" s="435" t="e">
        <f t="shared" si="1"/>
        <v>#REF!</v>
      </c>
    </row>
    <row r="64" spans="1:18" s="4" customFormat="1" ht="6" customHeight="1">
      <c r="A64" s="87"/>
      <c r="B64" s="79"/>
      <c r="C64" s="79"/>
      <c r="D64" s="87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2"/>
      <c r="P64" s="82"/>
      <c r="Q64" s="52"/>
      <c r="R64" s="63"/>
    </row>
    <row r="65" spans="1:18" s="4" customFormat="1" ht="14.25" hidden="1">
      <c r="A65" s="87"/>
      <c r="B65" s="79"/>
      <c r="C65" s="79"/>
      <c r="D65" s="87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2"/>
      <c r="P65" s="82"/>
      <c r="Q65" s="52"/>
      <c r="R65" s="63"/>
    </row>
    <row r="66" spans="1:18" s="4" customFormat="1" ht="27" hidden="1" customHeight="1">
      <c r="A66" s="976" t="s">
        <v>398</v>
      </c>
      <c r="B66" s="976"/>
      <c r="C66" s="976"/>
      <c r="D66" s="976"/>
      <c r="E66" s="976"/>
      <c r="F66" s="976"/>
      <c r="G66" s="976"/>
      <c r="H66" s="976"/>
      <c r="I66" s="976"/>
      <c r="J66" s="976"/>
      <c r="K66" s="976"/>
      <c r="L66" s="976"/>
      <c r="M66" s="976"/>
      <c r="N66" s="976"/>
      <c r="O66" s="976"/>
      <c r="P66" s="106"/>
      <c r="Q66" s="52"/>
      <c r="R66" s="63"/>
    </row>
    <row r="67" spans="1:18" s="4" customFormat="1" ht="15.75" hidden="1" customHeight="1">
      <c r="A67" s="107"/>
      <c r="B67" s="80"/>
      <c r="C67" s="81"/>
      <c r="D67" s="86"/>
      <c r="E67" s="108"/>
      <c r="F67" s="108"/>
      <c r="G67" s="108"/>
      <c r="H67" s="108"/>
      <c r="I67" s="108"/>
      <c r="J67" s="108"/>
      <c r="K67" s="108"/>
      <c r="L67" s="108"/>
      <c r="M67" s="109"/>
      <c r="N67" s="108"/>
      <c r="O67" s="82"/>
      <c r="P67" s="82"/>
      <c r="Q67" s="52"/>
      <c r="R67" s="63"/>
    </row>
    <row r="68" spans="1:18" s="4" customFormat="1" ht="20.25" hidden="1" customHeight="1">
      <c r="A68" s="970" t="s">
        <v>376</v>
      </c>
      <c r="B68" s="972" t="s">
        <v>377</v>
      </c>
      <c r="C68" s="974" t="s">
        <v>378</v>
      </c>
      <c r="D68" s="970" t="s">
        <v>91</v>
      </c>
      <c r="E68" s="964" t="s">
        <v>368</v>
      </c>
      <c r="F68" s="965"/>
      <c r="G68" s="965"/>
      <c r="H68" s="965"/>
      <c r="I68" s="965"/>
      <c r="J68" s="965"/>
      <c r="K68" s="965"/>
      <c r="L68" s="966"/>
      <c r="M68" s="324" t="s">
        <v>63</v>
      </c>
      <c r="N68" s="974" t="s">
        <v>379</v>
      </c>
      <c r="O68" s="323" t="s">
        <v>18</v>
      </c>
      <c r="P68" s="104" t="s">
        <v>19</v>
      </c>
      <c r="Q68" s="57" t="s">
        <v>19</v>
      </c>
      <c r="R68" s="58" t="s">
        <v>16</v>
      </c>
    </row>
    <row r="69" spans="1:18" s="4" customFormat="1" ht="20.25" hidden="1" customHeight="1">
      <c r="A69" s="971"/>
      <c r="B69" s="973"/>
      <c r="C69" s="975"/>
      <c r="D69" s="971"/>
      <c r="E69" s="327" t="s">
        <v>369</v>
      </c>
      <c r="F69" s="326" t="s">
        <v>370</v>
      </c>
      <c r="G69" s="328">
        <v>0</v>
      </c>
      <c r="H69" s="326" t="s">
        <v>257</v>
      </c>
      <c r="I69" s="326" t="s">
        <v>280</v>
      </c>
      <c r="J69" s="326" t="s">
        <v>261</v>
      </c>
      <c r="K69" s="326" t="s">
        <v>371</v>
      </c>
      <c r="L69" s="326" t="s">
        <v>372</v>
      </c>
      <c r="M69" s="326" t="s">
        <v>48</v>
      </c>
      <c r="N69" s="975"/>
      <c r="O69" s="325" t="s">
        <v>20</v>
      </c>
      <c r="P69" s="105" t="s">
        <v>21</v>
      </c>
      <c r="Q69" s="59" t="s">
        <v>22</v>
      </c>
      <c r="R69" s="60" t="s">
        <v>17</v>
      </c>
    </row>
    <row r="70" spans="1:18" s="4" customFormat="1" ht="17.25" hidden="1" customHeight="1">
      <c r="A70" s="329" t="s">
        <v>52</v>
      </c>
      <c r="B70" s="330" t="s">
        <v>53</v>
      </c>
      <c r="C70" s="330" t="s">
        <v>54</v>
      </c>
      <c r="D70" s="331" t="s">
        <v>55</v>
      </c>
      <c r="E70" s="332" t="s">
        <v>56</v>
      </c>
      <c r="F70" s="332" t="s">
        <v>57</v>
      </c>
      <c r="G70" s="332"/>
      <c r="H70" s="332" t="s">
        <v>58</v>
      </c>
      <c r="I70" s="332" t="s">
        <v>59</v>
      </c>
      <c r="J70" s="332" t="s">
        <v>60</v>
      </c>
      <c r="K70" s="332" t="s">
        <v>61</v>
      </c>
      <c r="L70" s="333" t="s">
        <v>373</v>
      </c>
      <c r="M70" s="333" t="s">
        <v>374</v>
      </c>
      <c r="N70" s="334" t="s">
        <v>375</v>
      </c>
      <c r="O70" s="332" t="s">
        <v>62</v>
      </c>
      <c r="P70" s="48"/>
      <c r="Q70" s="48"/>
      <c r="R70" s="49"/>
    </row>
    <row r="71" spans="1:18" s="4" customFormat="1" ht="21.75" hidden="1" customHeight="1">
      <c r="A71" s="335" t="s">
        <v>3</v>
      </c>
      <c r="B71" s="336" t="s">
        <v>380</v>
      </c>
      <c r="C71" s="337"/>
      <c r="D71" s="344"/>
      <c r="E71" s="345"/>
      <c r="F71" s="345"/>
      <c r="G71" s="345"/>
      <c r="H71" s="345"/>
      <c r="I71" s="345"/>
      <c r="J71" s="345"/>
      <c r="K71" s="345"/>
      <c r="L71" s="346"/>
      <c r="M71" s="346"/>
      <c r="N71" s="345"/>
      <c r="O71" s="347"/>
      <c r="P71" s="407"/>
      <c r="Q71" s="408"/>
      <c r="R71" s="409"/>
    </row>
    <row r="72" spans="1:18" s="4" customFormat="1" ht="15.75" hidden="1" customHeight="1">
      <c r="A72" s="315" t="s">
        <v>9</v>
      </c>
      <c r="B72" s="314" t="s">
        <v>73</v>
      </c>
      <c r="C72" s="318" t="s">
        <v>1</v>
      </c>
      <c r="D72" s="351">
        <v>1</v>
      </c>
      <c r="E72" s="353" t="e">
        <f>'NC-CLBD'!I5/6.25</f>
        <v>#VALUE!</v>
      </c>
      <c r="F72" s="353"/>
      <c r="G72" s="353">
        <f t="shared" ref="G72:G77" si="2">$Q$1*10*P72</f>
        <v>0</v>
      </c>
      <c r="H72" s="353">
        <f>'DCu-CLBD'!J23</f>
        <v>4139.1969230769228</v>
      </c>
      <c r="I72" s="353">
        <f>'VL-CLBD'!H16</f>
        <v>12009.6</v>
      </c>
      <c r="J72" s="353"/>
      <c r="K72" s="353"/>
      <c r="L72" s="353" t="e">
        <f t="shared" ref="L72:L77" si="3">SUM(E72:K72)</f>
        <v>#VALUE!</v>
      </c>
      <c r="M72" s="348" t="e">
        <f>L72*'He so chung'!$D$16/100</f>
        <v>#VALUE!</v>
      </c>
      <c r="N72" s="349" t="e">
        <f t="shared" ref="N72:N77" si="4">M72+L72</f>
        <v>#VALUE!</v>
      </c>
      <c r="O72" s="354">
        <f>'He so chung'!$D$18*R72</f>
        <v>9452</v>
      </c>
      <c r="P72" s="354">
        <f>'He so chung'!$D$19*R72</f>
        <v>7561.5999999999985</v>
      </c>
      <c r="Q72" s="411">
        <f>'He so chung'!$D$20*R72</f>
        <v>1890.4</v>
      </c>
      <c r="R72" s="443">
        <f>'NC-CLBD'!H5/6.25</f>
        <v>1.4143999999999999</v>
      </c>
    </row>
    <row r="73" spans="1:18" s="10" customFormat="1" ht="15.75" hidden="1" customHeight="1">
      <c r="A73" s="351"/>
      <c r="B73" s="437"/>
      <c r="C73" s="438"/>
      <c r="D73" s="351">
        <v>2</v>
      </c>
      <c r="E73" s="353" t="e">
        <f>'NC-CLBD'!I7/6.25</f>
        <v>#VALUE!</v>
      </c>
      <c r="F73" s="353"/>
      <c r="G73" s="353">
        <f t="shared" si="2"/>
        <v>0</v>
      </c>
      <c r="H73" s="353">
        <f>'DCu-CLBD'!J24</f>
        <v>5173.9961538461539</v>
      </c>
      <c r="I73" s="353">
        <f>'VL-CLBD'!H16</f>
        <v>12009.6</v>
      </c>
      <c r="J73" s="353"/>
      <c r="K73" s="353"/>
      <c r="L73" s="353" t="e">
        <f t="shared" si="3"/>
        <v>#VALUE!</v>
      </c>
      <c r="M73" s="348" t="e">
        <f>L73*'He so chung'!$D$16/100</f>
        <v>#VALUE!</v>
      </c>
      <c r="N73" s="349" t="e">
        <f t="shared" si="4"/>
        <v>#VALUE!</v>
      </c>
      <c r="O73" s="354">
        <f>'He so chung'!$D$18*R73</f>
        <v>12274.76923076923</v>
      </c>
      <c r="P73" s="354">
        <f>'He so chung'!$D$19*R73</f>
        <v>9819.8153846153837</v>
      </c>
      <c r="Q73" s="411">
        <f>'He so chung'!$D$20*R73</f>
        <v>2454.9538461538464</v>
      </c>
      <c r="R73" s="443">
        <f>'NC-CLBD'!H7/6.25</f>
        <v>1.8368</v>
      </c>
    </row>
    <row r="74" spans="1:18" s="10" customFormat="1" ht="15.75" hidden="1" customHeight="1">
      <c r="A74" s="351"/>
      <c r="B74" s="437"/>
      <c r="C74" s="438"/>
      <c r="D74" s="351">
        <v>3</v>
      </c>
      <c r="E74" s="353" t="e">
        <f>'NC-CLBD'!I9/6.25</f>
        <v>#VALUE!</v>
      </c>
      <c r="F74" s="353"/>
      <c r="G74" s="353">
        <f t="shared" si="2"/>
        <v>0</v>
      </c>
      <c r="H74" s="353">
        <f>'DCu-CLBD'!J25</f>
        <v>6898.6615384615379</v>
      </c>
      <c r="I74" s="353">
        <f>'VL-CLBD'!H16</f>
        <v>12009.6</v>
      </c>
      <c r="J74" s="353"/>
      <c r="K74" s="353"/>
      <c r="L74" s="353" t="e">
        <f t="shared" si="3"/>
        <v>#VALUE!</v>
      </c>
      <c r="M74" s="348" t="e">
        <f>L74*'He so chung'!$D$16/100</f>
        <v>#VALUE!</v>
      </c>
      <c r="N74" s="349" t="e">
        <f t="shared" si="4"/>
        <v>#VALUE!</v>
      </c>
      <c r="O74" s="354">
        <f>'He so chung'!$D$18*R74</f>
        <v>15974.307692307693</v>
      </c>
      <c r="P74" s="354">
        <f>'He so chung'!$D$19*R74</f>
        <v>12779.446153846153</v>
      </c>
      <c r="Q74" s="411">
        <f>'He so chung'!$D$20*R74</f>
        <v>3194.8615384615387</v>
      </c>
      <c r="R74" s="443">
        <f>'NC-CLBD'!H9/6.25</f>
        <v>2.3904000000000001</v>
      </c>
    </row>
    <row r="75" spans="1:18" s="10" customFormat="1" ht="15.75" hidden="1" customHeight="1">
      <c r="A75" s="351"/>
      <c r="B75" s="437"/>
      <c r="C75" s="438"/>
      <c r="D75" s="351">
        <v>4</v>
      </c>
      <c r="E75" s="353" t="e">
        <f>'NC-CLBD'!I11/6.25</f>
        <v>#VALUE!</v>
      </c>
      <c r="F75" s="353"/>
      <c r="G75" s="353">
        <f t="shared" si="2"/>
        <v>0</v>
      </c>
      <c r="H75" s="353">
        <f>'DCu-CLBD'!J26</f>
        <v>9313.1930769230767</v>
      </c>
      <c r="I75" s="353">
        <f>'VL-CLBD'!H16</f>
        <v>12009.6</v>
      </c>
      <c r="J75" s="353"/>
      <c r="K75" s="353"/>
      <c r="L75" s="353" t="e">
        <f t="shared" si="3"/>
        <v>#VALUE!</v>
      </c>
      <c r="M75" s="348" t="e">
        <f>L75*'He so chung'!$D$16/100</f>
        <v>#VALUE!</v>
      </c>
      <c r="N75" s="349" t="e">
        <f t="shared" si="4"/>
        <v>#VALUE!</v>
      </c>
      <c r="O75" s="354">
        <f>'He so chung'!$D$18*R75</f>
        <v>20764.461538461539</v>
      </c>
      <c r="P75" s="354">
        <f>'He so chung'!$D$19*R75</f>
        <v>16611.56923076923</v>
      </c>
      <c r="Q75" s="411">
        <f>'He so chung'!$D$20*R75</f>
        <v>4152.8923076923083</v>
      </c>
      <c r="R75" s="443">
        <f>'NC-CLBD'!H11/6.25</f>
        <v>3.1072000000000002</v>
      </c>
    </row>
    <row r="76" spans="1:18" s="10" customFormat="1" ht="15.75" hidden="1" customHeight="1">
      <c r="A76" s="351"/>
      <c r="B76" s="437"/>
      <c r="C76" s="438"/>
      <c r="D76" s="351" t="s">
        <v>13</v>
      </c>
      <c r="E76" s="353" t="e">
        <f>'NC-CLBD'!I13/6.25</f>
        <v>#VALUE!</v>
      </c>
      <c r="F76" s="353"/>
      <c r="G76" s="353">
        <f t="shared" si="2"/>
        <v>0</v>
      </c>
      <c r="H76" s="353">
        <f>'DCu-CLBD'!J27</f>
        <v>12072.657692307692</v>
      </c>
      <c r="I76" s="353">
        <f>'VL-CLBD'!H16</f>
        <v>12009.6</v>
      </c>
      <c r="J76" s="353"/>
      <c r="K76" s="353"/>
      <c r="L76" s="353" t="e">
        <f t="shared" si="3"/>
        <v>#VALUE!</v>
      </c>
      <c r="M76" s="348" t="e">
        <f>L76*'He so chung'!$D$16/100</f>
        <v>#VALUE!</v>
      </c>
      <c r="N76" s="349" t="e">
        <f t="shared" si="4"/>
        <v>#VALUE!</v>
      </c>
      <c r="O76" s="354">
        <f>'He so chung'!$D$18*R76</f>
        <v>26987.38461538461</v>
      </c>
      <c r="P76" s="354">
        <f>'He so chung'!$D$19*R76</f>
        <v>21589.907692307686</v>
      </c>
      <c r="Q76" s="411">
        <f>'He so chung'!$D$20*R76</f>
        <v>5397.4769230769225</v>
      </c>
      <c r="R76" s="443">
        <f>'NC-CLBD'!H13/6.25</f>
        <v>4.0383999999999993</v>
      </c>
    </row>
    <row r="77" spans="1:18" s="10" customFormat="1" ht="15.75" hidden="1" customHeight="1">
      <c r="A77" s="351"/>
      <c r="B77" s="437"/>
      <c r="C77" s="438"/>
      <c r="D77" s="351" t="s">
        <v>14</v>
      </c>
      <c r="E77" s="353">
        <f>'NC-CLBD'!I15/6.25</f>
        <v>0</v>
      </c>
      <c r="F77" s="353"/>
      <c r="G77" s="353">
        <f t="shared" si="2"/>
        <v>0</v>
      </c>
      <c r="H77" s="353">
        <f>'DCu-CLBD'!J28</f>
        <v>0</v>
      </c>
      <c r="I77" s="353">
        <f>'VL-CLBD'!H16</f>
        <v>12009.6</v>
      </c>
      <c r="J77" s="353"/>
      <c r="K77" s="353"/>
      <c r="L77" s="353">
        <f t="shared" si="3"/>
        <v>12009.6</v>
      </c>
      <c r="M77" s="348">
        <f>L77*'He so chung'!$D$16/100</f>
        <v>3002.4</v>
      </c>
      <c r="N77" s="349">
        <f t="shared" si="4"/>
        <v>15012</v>
      </c>
      <c r="O77" s="354">
        <f>'He so chung'!$D$18*R77</f>
        <v>0</v>
      </c>
      <c r="P77" s="354">
        <f>'He so chung'!$D$19*R77</f>
        <v>0</v>
      </c>
      <c r="Q77" s="411">
        <f>'He so chung'!$D$20*R77</f>
        <v>0</v>
      </c>
      <c r="R77" s="443">
        <f>'NC-CLBD'!H15/6.25</f>
        <v>0</v>
      </c>
    </row>
    <row r="78" spans="1:18" s="10" customFormat="1" ht="13.5" hidden="1" customHeight="1">
      <c r="A78" s="351"/>
      <c r="B78" s="437"/>
      <c r="C78" s="438"/>
      <c r="D78" s="351"/>
      <c r="E78" s="353"/>
      <c r="F78" s="353"/>
      <c r="G78" s="353"/>
      <c r="H78" s="353"/>
      <c r="I78" s="353"/>
      <c r="J78" s="353"/>
      <c r="K78" s="353"/>
      <c r="L78" s="353"/>
      <c r="M78" s="348"/>
      <c r="N78" s="349"/>
      <c r="O78" s="354"/>
      <c r="P78" s="354"/>
      <c r="Q78" s="411"/>
      <c r="R78" s="443"/>
    </row>
    <row r="79" spans="1:18" s="10" customFormat="1" ht="15.75" hidden="1" customHeight="1">
      <c r="A79" s="315" t="s">
        <v>10</v>
      </c>
      <c r="B79" s="314" t="s">
        <v>381</v>
      </c>
      <c r="C79" s="318" t="s">
        <v>278</v>
      </c>
      <c r="D79" s="351">
        <v>1</v>
      </c>
      <c r="E79" s="353" t="e">
        <f>'NC-CLBD'!I17/100</f>
        <v>#VALUE!</v>
      </c>
      <c r="F79" s="353"/>
      <c r="G79" s="353">
        <f t="shared" ref="G79:G84" si="5">$Q$1*10*P79</f>
        <v>0</v>
      </c>
      <c r="H79" s="353">
        <f>'DCu-CLBD'!J67</f>
        <v>114.28881490384616</v>
      </c>
      <c r="I79" s="353">
        <f>'VL-CLBD'!H45</f>
        <v>61.738199999999999</v>
      </c>
      <c r="J79" s="353">
        <f>'TBI-CLBD'!I16</f>
        <v>531.91999999999996</v>
      </c>
      <c r="K79" s="353" t="e">
        <f>#REF!</f>
        <v>#REF!</v>
      </c>
      <c r="L79" s="353" t="e">
        <f t="shared" ref="L79:L84" si="6">SUM(E79:K79)</f>
        <v>#VALUE!</v>
      </c>
      <c r="M79" s="348" t="e">
        <f>L79*'He so chung'!$D$16/100</f>
        <v>#VALUE!</v>
      </c>
      <c r="N79" s="349" t="e">
        <f t="shared" ref="N79:N84" si="7">M79+L79</f>
        <v>#VALUE!</v>
      </c>
      <c r="O79" s="354">
        <f>'He so chung'!$D$18*R79</f>
        <v>441.05769230769232</v>
      </c>
      <c r="P79" s="354">
        <f>'He so chung'!$D$19*R79</f>
        <v>352.84615384615381</v>
      </c>
      <c r="Q79" s="411">
        <f>'He so chung'!$D$20*R79</f>
        <v>88.211538461538467</v>
      </c>
      <c r="R79" s="443">
        <f>'NC-CLBD'!H17/100</f>
        <v>6.6000000000000003E-2</v>
      </c>
    </row>
    <row r="80" spans="1:18" s="10" customFormat="1" ht="15.75" hidden="1" customHeight="1">
      <c r="A80" s="315"/>
      <c r="B80" s="314"/>
      <c r="C80" s="318"/>
      <c r="D80" s="351">
        <v>2</v>
      </c>
      <c r="E80" s="353" t="e">
        <f>'NC-CLBD'!I19/100</f>
        <v>#VALUE!</v>
      </c>
      <c r="F80" s="353"/>
      <c r="G80" s="353">
        <f t="shared" si="5"/>
        <v>0</v>
      </c>
      <c r="H80" s="353">
        <f>'DCu-CLBD'!J68</f>
        <v>142.86101862980769</v>
      </c>
      <c r="I80" s="353">
        <f>'VL-CLBD'!H45</f>
        <v>61.738199999999999</v>
      </c>
      <c r="J80" s="353">
        <f>'TBI-CLBD'!K16</f>
        <v>666.12</v>
      </c>
      <c r="K80" s="353" t="e">
        <f>#REF!</f>
        <v>#REF!</v>
      </c>
      <c r="L80" s="353" t="e">
        <f t="shared" si="6"/>
        <v>#VALUE!</v>
      </c>
      <c r="M80" s="348" t="e">
        <f>L80*'He so chung'!$D$16/100</f>
        <v>#VALUE!</v>
      </c>
      <c r="N80" s="349" t="e">
        <f t="shared" si="7"/>
        <v>#VALUE!</v>
      </c>
      <c r="O80" s="354">
        <f>'He so chung'!$D$18*R80</f>
        <v>551.32211538461536</v>
      </c>
      <c r="P80" s="354">
        <f>'He so chung'!$D$19*R80</f>
        <v>441.05769230769232</v>
      </c>
      <c r="Q80" s="411">
        <f>'He so chung'!$D$20*R80</f>
        <v>110.26442307692309</v>
      </c>
      <c r="R80" s="443">
        <f>'NC-CLBD'!H19/100</f>
        <v>8.2500000000000004E-2</v>
      </c>
    </row>
    <row r="81" spans="1:18" s="10" customFormat="1" ht="15.75" hidden="1" customHeight="1">
      <c r="A81" s="315"/>
      <c r="B81" s="314"/>
      <c r="C81" s="318"/>
      <c r="D81" s="351">
        <v>3</v>
      </c>
      <c r="E81" s="353" t="e">
        <f>'NC-CLBD'!I21/100</f>
        <v>#VALUE!</v>
      </c>
      <c r="F81" s="353"/>
      <c r="G81" s="353">
        <f t="shared" si="5"/>
        <v>0</v>
      </c>
      <c r="H81" s="353">
        <f>'DCu-CLBD'!J69</f>
        <v>190.48135817307693</v>
      </c>
      <c r="I81" s="353">
        <f>'VL-CLBD'!H45</f>
        <v>61.738199999999999</v>
      </c>
      <c r="J81" s="353">
        <f>'TBI-CLBD'!M16</f>
        <v>888.36</v>
      </c>
      <c r="K81" s="353" t="e">
        <f>#REF!</f>
        <v>#REF!</v>
      </c>
      <c r="L81" s="353" t="e">
        <f t="shared" si="6"/>
        <v>#VALUE!</v>
      </c>
      <c r="M81" s="348" t="e">
        <f>L81*'He so chung'!$D$16/100</f>
        <v>#VALUE!</v>
      </c>
      <c r="N81" s="349" t="e">
        <f t="shared" si="7"/>
        <v>#VALUE!</v>
      </c>
      <c r="O81" s="354">
        <f>'He so chung'!$D$18*R81</f>
        <v>735.09615384615381</v>
      </c>
      <c r="P81" s="354">
        <f>'He so chung'!$D$19*R81</f>
        <v>588.07692307692298</v>
      </c>
      <c r="Q81" s="411">
        <f>'He so chung'!$D$20*R81</f>
        <v>147.01923076923077</v>
      </c>
      <c r="R81" s="443">
        <f>'NC-CLBD'!H21/100</f>
        <v>0.11</v>
      </c>
    </row>
    <row r="82" spans="1:18" s="10" customFormat="1" ht="15.75" hidden="1" customHeight="1">
      <c r="A82" s="315"/>
      <c r="B82" s="314"/>
      <c r="C82" s="318"/>
      <c r="D82" s="351">
        <v>4</v>
      </c>
      <c r="E82" s="353" t="e">
        <f>'NC-CLBD'!I23/100</f>
        <v>#VALUE!</v>
      </c>
      <c r="F82" s="353"/>
      <c r="G82" s="353">
        <f t="shared" si="5"/>
        <v>0</v>
      </c>
      <c r="H82" s="353">
        <f>'DCu-CLBD'!J70</f>
        <v>257.14983353365386</v>
      </c>
      <c r="I82" s="353">
        <f>'VL-CLBD'!H45</f>
        <v>61.738199999999999</v>
      </c>
      <c r="J82" s="353">
        <f>'TBI-CLBD'!O16</f>
        <v>1198.04</v>
      </c>
      <c r="K82" s="353" t="e">
        <f>#REF!</f>
        <v>#REF!</v>
      </c>
      <c r="L82" s="353" t="e">
        <f t="shared" si="6"/>
        <v>#VALUE!</v>
      </c>
      <c r="M82" s="348" t="e">
        <f>L82*'He so chung'!$D$16/100</f>
        <v>#VALUE!</v>
      </c>
      <c r="N82" s="349" t="e">
        <f t="shared" si="7"/>
        <v>#VALUE!</v>
      </c>
      <c r="O82" s="354">
        <f>'He so chung'!$D$18*R82</f>
        <v>992.37980769230785</v>
      </c>
      <c r="P82" s="354">
        <f>'He so chung'!$D$19*R82</f>
        <v>793.90384615384619</v>
      </c>
      <c r="Q82" s="411">
        <f>'He so chung'!$D$20*R82</f>
        <v>198.47596153846158</v>
      </c>
      <c r="R82" s="443">
        <f>'NC-CLBD'!H23/100</f>
        <v>0.14850000000000002</v>
      </c>
    </row>
    <row r="83" spans="1:18" s="10" customFormat="1" ht="15.75" hidden="1" customHeight="1">
      <c r="A83" s="315"/>
      <c r="B83" s="314"/>
      <c r="C83" s="318"/>
      <c r="D83" s="351" t="s">
        <v>13</v>
      </c>
      <c r="E83" s="353" t="e">
        <f>'NC-CLBD'!I25/100</f>
        <v>#VALUE!</v>
      </c>
      <c r="F83" s="353"/>
      <c r="G83" s="353">
        <f t="shared" si="5"/>
        <v>0</v>
      </c>
      <c r="H83" s="353">
        <f>'DCu-CLBD'!J71</f>
        <v>333.34237680288464</v>
      </c>
      <c r="I83" s="353">
        <f>'VL-CLBD'!H45</f>
        <v>61.738199999999999</v>
      </c>
      <c r="J83" s="353">
        <f>'TBI-CLBD'!Q16</f>
        <v>1507.72</v>
      </c>
      <c r="K83" s="353" t="e">
        <f>#REF!</f>
        <v>#REF!</v>
      </c>
      <c r="L83" s="353" t="e">
        <f t="shared" si="6"/>
        <v>#VALUE!</v>
      </c>
      <c r="M83" s="348" t="e">
        <f>L83*'He so chung'!$D$16/100</f>
        <v>#VALUE!</v>
      </c>
      <c r="N83" s="349" t="e">
        <f t="shared" si="7"/>
        <v>#VALUE!</v>
      </c>
      <c r="O83" s="354">
        <f>'He so chung'!$D$18*R83</f>
        <v>1249.6634615384617</v>
      </c>
      <c r="P83" s="354">
        <f>'He so chung'!$D$19*R83</f>
        <v>999.73076923076928</v>
      </c>
      <c r="Q83" s="411">
        <f>'He so chung'!$D$20*R83</f>
        <v>249.93269230769238</v>
      </c>
      <c r="R83" s="443">
        <f>'NC-CLBD'!H25/100</f>
        <v>0.18700000000000003</v>
      </c>
    </row>
    <row r="84" spans="1:18" s="10" customFormat="1" ht="15.75" hidden="1" customHeight="1">
      <c r="A84" s="315"/>
      <c r="B84" s="314"/>
      <c r="C84" s="318"/>
      <c r="D84" s="351" t="s">
        <v>14</v>
      </c>
      <c r="E84" s="353" t="e">
        <f>'NC-CLBD'!#REF!/100</f>
        <v>#REF!</v>
      </c>
      <c r="F84" s="353"/>
      <c r="G84" s="353" t="e">
        <f t="shared" si="5"/>
        <v>#REF!</v>
      </c>
      <c r="H84" s="353">
        <f>'DCu-CLBD'!J72</f>
        <v>0</v>
      </c>
      <c r="I84" s="353">
        <f>'VL-CLBD'!H45</f>
        <v>61.738199999999999</v>
      </c>
      <c r="J84" s="353" t="e">
        <f>'TBI-CLBD'!#REF!</f>
        <v>#REF!</v>
      </c>
      <c r="K84" s="353" t="e">
        <f>#REF!</f>
        <v>#REF!</v>
      </c>
      <c r="L84" s="353" t="e">
        <f t="shared" si="6"/>
        <v>#REF!</v>
      </c>
      <c r="M84" s="348" t="e">
        <f>L84*'He so chung'!$D$16/100</f>
        <v>#REF!</v>
      </c>
      <c r="N84" s="349" t="e">
        <f t="shared" si="7"/>
        <v>#REF!</v>
      </c>
      <c r="O84" s="354" t="e">
        <f>'He so chung'!$D$18*R84</f>
        <v>#REF!</v>
      </c>
      <c r="P84" s="354" t="e">
        <f>'He so chung'!$D$19*R84</f>
        <v>#REF!</v>
      </c>
      <c r="Q84" s="411" t="e">
        <f>'He so chung'!$D$20*R84</f>
        <v>#REF!</v>
      </c>
      <c r="R84" s="443" t="e">
        <f>'NC-CLBD'!#REF!/100</f>
        <v>#REF!</v>
      </c>
    </row>
    <row r="85" spans="1:18" s="10" customFormat="1" ht="15.75" hidden="1" customHeight="1">
      <c r="A85" s="314"/>
      <c r="B85" s="314"/>
      <c r="C85" s="314"/>
      <c r="D85" s="351"/>
      <c r="E85" s="353"/>
      <c r="F85" s="353"/>
      <c r="G85" s="353"/>
      <c r="H85" s="353"/>
      <c r="I85" s="353"/>
      <c r="J85" s="353"/>
      <c r="K85" s="353"/>
      <c r="L85" s="353"/>
      <c r="M85" s="348"/>
      <c r="N85" s="349"/>
      <c r="O85" s="354"/>
      <c r="P85" s="354"/>
      <c r="Q85" s="411"/>
      <c r="R85" s="443"/>
    </row>
    <row r="86" spans="1:18" s="10" customFormat="1" ht="15.75" hidden="1" customHeight="1">
      <c r="A86" s="315" t="s">
        <v>11</v>
      </c>
      <c r="B86" s="314" t="s">
        <v>77</v>
      </c>
      <c r="C86" s="318" t="s">
        <v>278</v>
      </c>
      <c r="D86" s="351">
        <v>1</v>
      </c>
      <c r="E86" s="353" t="e">
        <f>'NC-CLBD'!I28/100</f>
        <v>#VALUE!</v>
      </c>
      <c r="F86" s="353">
        <f>'NC-CLBD'!I30/100</f>
        <v>15274.6</v>
      </c>
      <c r="G86" s="353">
        <f t="shared" ref="G86:G91" si="8">$Q$1*10*P86</f>
        <v>0</v>
      </c>
      <c r="H86" s="353">
        <f>'DCu-CLBD'!J112</f>
        <v>1375.4719326923075</v>
      </c>
      <c r="I86" s="353">
        <f>'VL-CLBD'!H39</f>
        <v>1234.7639999999999</v>
      </c>
      <c r="J86" s="353">
        <f>'TBI-CLBD'!I66</f>
        <v>6663.04</v>
      </c>
      <c r="K86" s="353" t="e">
        <f>#REF!</f>
        <v>#REF!</v>
      </c>
      <c r="L86" s="353" t="e">
        <f t="shared" ref="L86:L91" si="9">SUM(E86:K86)</f>
        <v>#VALUE!</v>
      </c>
      <c r="M86" s="348" t="e">
        <f>L86*'He so chung'!$D$16/100</f>
        <v>#VALUE!</v>
      </c>
      <c r="N86" s="349" t="e">
        <f t="shared" ref="N86:N91" si="10">M86+L86</f>
        <v>#VALUE!</v>
      </c>
      <c r="O86" s="354">
        <f>'He so chung'!$D$18*R86</f>
        <v>5573.3653846153848</v>
      </c>
      <c r="P86" s="354">
        <f>'He so chung'!$D$19*R86</f>
        <v>4458.6923076923076</v>
      </c>
      <c r="Q86" s="411">
        <f>'He so chung'!$D$20*R86</f>
        <v>1114.6730769230771</v>
      </c>
      <c r="R86" s="443">
        <f>'NC-CLBD'!H28/100</f>
        <v>0.83400000000000007</v>
      </c>
    </row>
    <row r="87" spans="1:18" s="10" customFormat="1" ht="15.75" hidden="1" customHeight="1">
      <c r="A87" s="315"/>
      <c r="B87" s="314"/>
      <c r="C87" s="318"/>
      <c r="D87" s="351">
        <v>2</v>
      </c>
      <c r="E87" s="353" t="e">
        <f>'NC-CLBD'!I32/100</f>
        <v>#VALUE!</v>
      </c>
      <c r="F87" s="353">
        <f>'NC-CLBD'!I34/100</f>
        <v>18340</v>
      </c>
      <c r="G87" s="353">
        <f t="shared" si="8"/>
        <v>0</v>
      </c>
      <c r="H87" s="353">
        <f>'DCu-CLBD'!J113</f>
        <v>1719.3399158653842</v>
      </c>
      <c r="I87" s="353">
        <f>$I$86</f>
        <v>1234.7639999999999</v>
      </c>
      <c r="J87" s="353">
        <f>'TBI-CLBD'!K66</f>
        <v>8327.32</v>
      </c>
      <c r="K87" s="353" t="e">
        <f>#REF!</f>
        <v>#REF!</v>
      </c>
      <c r="L87" s="353" t="e">
        <f t="shared" si="9"/>
        <v>#VALUE!</v>
      </c>
      <c r="M87" s="348" t="e">
        <f>L87*'He so chung'!$D$16/100</f>
        <v>#VALUE!</v>
      </c>
      <c r="N87" s="349" t="e">
        <f t="shared" si="10"/>
        <v>#VALUE!</v>
      </c>
      <c r="O87" s="354">
        <f>'He so chung'!$D$18*R87</f>
        <v>6689.3749999999991</v>
      </c>
      <c r="P87" s="354">
        <f>'He so chung'!$D$19*R87</f>
        <v>5351.4999999999991</v>
      </c>
      <c r="Q87" s="411">
        <f>'He so chung'!$D$20*R87</f>
        <v>1337.875</v>
      </c>
      <c r="R87" s="443">
        <f>'NC-CLBD'!H32/100</f>
        <v>1.0009999999999999</v>
      </c>
    </row>
    <row r="88" spans="1:18" s="10" customFormat="1" ht="15.75" hidden="1" customHeight="1">
      <c r="A88" s="315"/>
      <c r="B88" s="314"/>
      <c r="C88" s="318"/>
      <c r="D88" s="351">
        <v>3</v>
      </c>
      <c r="E88" s="353" t="e">
        <f>'NC-CLBD'!I36/100</f>
        <v>#VALUE!</v>
      </c>
      <c r="F88" s="353">
        <f>'NC-CLBD'!I38/100</f>
        <v>22008</v>
      </c>
      <c r="G88" s="353">
        <f t="shared" si="8"/>
        <v>0</v>
      </c>
      <c r="H88" s="353">
        <f>'DCu-CLBD'!J114</f>
        <v>2292.4532211538458</v>
      </c>
      <c r="I88" s="353">
        <f>$I$86</f>
        <v>1234.7639999999999</v>
      </c>
      <c r="J88" s="353">
        <f>'TBI-CLBD'!M66</f>
        <v>11103.32</v>
      </c>
      <c r="K88" s="353" t="e">
        <f>#REF!</f>
        <v>#REF!</v>
      </c>
      <c r="L88" s="353" t="e">
        <f t="shared" si="9"/>
        <v>#VALUE!</v>
      </c>
      <c r="M88" s="348" t="e">
        <f>L88*'He so chung'!$D$16/100</f>
        <v>#VALUE!</v>
      </c>
      <c r="N88" s="349" t="e">
        <f t="shared" si="10"/>
        <v>#VALUE!</v>
      </c>
      <c r="O88" s="354">
        <f>'He so chung'!$D$18*R88</f>
        <v>8025.9134615384601</v>
      </c>
      <c r="P88" s="354">
        <f>'He so chung'!$D$19*R88</f>
        <v>6420.7307692307677</v>
      </c>
      <c r="Q88" s="411">
        <f>'He so chung'!$D$20*R88</f>
        <v>1605.1826923076922</v>
      </c>
      <c r="R88" s="443">
        <f>'NC-CLBD'!H36/100</f>
        <v>1.2009999999999998</v>
      </c>
    </row>
    <row r="89" spans="1:18" s="10" customFormat="1" ht="15.75" hidden="1" customHeight="1">
      <c r="A89" s="315"/>
      <c r="B89" s="314"/>
      <c r="C89" s="318"/>
      <c r="D89" s="351">
        <v>4</v>
      </c>
      <c r="E89" s="353" t="e">
        <f>'NC-CLBD'!I40/100</f>
        <v>#VALUE!</v>
      </c>
      <c r="F89" s="353">
        <f>'NC-CLBD'!I42/100</f>
        <v>26396.5</v>
      </c>
      <c r="G89" s="353">
        <f t="shared" si="8"/>
        <v>0</v>
      </c>
      <c r="H89" s="353">
        <f>'DCu-CLBD'!J115</f>
        <v>3094.811848557692</v>
      </c>
      <c r="I89" s="353">
        <f>$I$86</f>
        <v>1234.7639999999999</v>
      </c>
      <c r="J89" s="353">
        <f>'TBI-CLBD'!O66</f>
        <v>14991.04</v>
      </c>
      <c r="K89" s="353" t="e">
        <f>#REF!</f>
        <v>#REF!</v>
      </c>
      <c r="L89" s="353" t="e">
        <f t="shared" si="9"/>
        <v>#VALUE!</v>
      </c>
      <c r="M89" s="348" t="e">
        <f>L89*'He so chung'!$D$16/100</f>
        <v>#VALUE!</v>
      </c>
      <c r="N89" s="349" t="e">
        <f t="shared" si="10"/>
        <v>#VALUE!</v>
      </c>
      <c r="O89" s="354">
        <f>'He so chung'!$D$18*R89</f>
        <v>9629.7596153846134</v>
      </c>
      <c r="P89" s="354">
        <f>'He so chung'!$D$19*R89</f>
        <v>7703.8076923076906</v>
      </c>
      <c r="Q89" s="411">
        <f>'He so chung'!$D$20*R89</f>
        <v>1925.9519230769231</v>
      </c>
      <c r="R89" s="443">
        <f>'NC-CLBD'!H40/100</f>
        <v>1.4409999999999998</v>
      </c>
    </row>
    <row r="90" spans="1:18" s="10" customFormat="1" ht="15.75" hidden="1" customHeight="1">
      <c r="A90" s="315"/>
      <c r="B90" s="314"/>
      <c r="C90" s="318"/>
      <c r="D90" s="351" t="s">
        <v>13</v>
      </c>
      <c r="E90" s="353" t="e">
        <f>'NC-CLBD'!I44/100</f>
        <v>#VALUE!</v>
      </c>
      <c r="F90" s="353">
        <f>'NC-CLBD'!I46/100</f>
        <v>31688.9</v>
      </c>
      <c r="G90" s="353">
        <f t="shared" si="8"/>
        <v>0</v>
      </c>
      <c r="H90" s="353">
        <f>'DCu-CLBD'!J116</f>
        <v>4011.79313701923</v>
      </c>
      <c r="I90" s="353">
        <f>$I$86</f>
        <v>1234.7639999999999</v>
      </c>
      <c r="J90" s="353">
        <f>'TBI-CLBD'!Q66</f>
        <v>18878.080000000002</v>
      </c>
      <c r="K90" s="353" t="e">
        <f>#REF!</f>
        <v>#REF!</v>
      </c>
      <c r="L90" s="353" t="e">
        <f t="shared" si="9"/>
        <v>#VALUE!</v>
      </c>
      <c r="M90" s="348" t="e">
        <f>L90*'He so chung'!$D$16/100</f>
        <v>#VALUE!</v>
      </c>
      <c r="N90" s="349" t="e">
        <f t="shared" si="10"/>
        <v>#VALUE!</v>
      </c>
      <c r="O90" s="354">
        <f>'He so chung'!$D$18*R90</f>
        <v>11557.716346153848</v>
      </c>
      <c r="P90" s="354">
        <f>'He so chung'!$D$19*R90</f>
        <v>9246.173076923078</v>
      </c>
      <c r="Q90" s="411">
        <f>'He so chung'!$D$20*R90</f>
        <v>2311.54326923077</v>
      </c>
      <c r="R90" s="443">
        <f>'NC-CLBD'!H44/100</f>
        <v>1.7295000000000003</v>
      </c>
    </row>
    <row r="91" spans="1:18" s="10" customFormat="1" ht="15.75" hidden="1" customHeight="1">
      <c r="A91" s="315"/>
      <c r="B91" s="314"/>
      <c r="C91" s="318"/>
      <c r="D91" s="351" t="s">
        <v>14</v>
      </c>
      <c r="E91" s="353" t="e">
        <f>'NC-CLBD'!#REF!/100</f>
        <v>#REF!</v>
      </c>
      <c r="F91" s="353" t="e">
        <f>'NC-CLBD'!#REF!/100</f>
        <v>#REF!</v>
      </c>
      <c r="G91" s="353" t="e">
        <f t="shared" si="8"/>
        <v>#REF!</v>
      </c>
      <c r="H91" s="353">
        <f>'DCu-CLBD'!J117</f>
        <v>0</v>
      </c>
      <c r="I91" s="353">
        <f>$I$86</f>
        <v>1234.7639999999999</v>
      </c>
      <c r="J91" s="353" t="e">
        <f>'TBI-CLBD'!#REF!</f>
        <v>#REF!</v>
      </c>
      <c r="K91" s="353" t="e">
        <f>#REF!</f>
        <v>#REF!</v>
      </c>
      <c r="L91" s="353" t="e">
        <f t="shared" si="9"/>
        <v>#REF!</v>
      </c>
      <c r="M91" s="348" t="e">
        <f>L91*'He so chung'!$D$16/100</f>
        <v>#REF!</v>
      </c>
      <c r="N91" s="349" t="e">
        <f t="shared" si="10"/>
        <v>#REF!</v>
      </c>
      <c r="O91" s="354" t="e">
        <f>'He so chung'!$D$18*R91</f>
        <v>#REF!</v>
      </c>
      <c r="P91" s="354" t="e">
        <f>'He so chung'!$D$19*R91</f>
        <v>#REF!</v>
      </c>
      <c r="Q91" s="411" t="e">
        <f>'He so chung'!$D$20*R91</f>
        <v>#REF!</v>
      </c>
      <c r="R91" s="443" t="e">
        <f>'NC-CLBD'!#REF!/100</f>
        <v>#REF!</v>
      </c>
    </row>
    <row r="92" spans="1:18" s="10" customFormat="1" ht="14.25" hidden="1" customHeight="1">
      <c r="A92" s="317"/>
      <c r="B92" s="317"/>
      <c r="C92" s="317"/>
      <c r="D92" s="361"/>
      <c r="E92" s="363"/>
      <c r="F92" s="363"/>
      <c r="G92" s="363"/>
      <c r="H92" s="363"/>
      <c r="I92" s="363"/>
      <c r="J92" s="363"/>
      <c r="K92" s="363"/>
      <c r="L92" s="363"/>
      <c r="M92" s="363"/>
      <c r="N92" s="365"/>
      <c r="O92" s="363"/>
      <c r="P92" s="441"/>
      <c r="Q92" s="442"/>
      <c r="R92" s="443"/>
    </row>
    <row r="93" spans="1:18" s="10" customFormat="1" ht="18.75" hidden="1" customHeight="1">
      <c r="A93" s="439" t="s">
        <v>4</v>
      </c>
      <c r="B93" s="440" t="s">
        <v>382</v>
      </c>
      <c r="C93" s="314"/>
      <c r="D93" s="351"/>
      <c r="E93" s="353"/>
      <c r="F93" s="353"/>
      <c r="G93" s="353"/>
      <c r="H93" s="353"/>
      <c r="I93" s="353"/>
      <c r="J93" s="353"/>
      <c r="K93" s="353"/>
      <c r="L93" s="353"/>
      <c r="M93" s="353"/>
      <c r="N93" s="349"/>
      <c r="O93" s="353"/>
      <c r="P93" s="441"/>
      <c r="Q93" s="442"/>
      <c r="R93" s="443"/>
    </row>
    <row r="94" spans="1:18" s="4" customFormat="1" ht="18.75" hidden="1" customHeight="1">
      <c r="A94" s="315" t="s">
        <v>9</v>
      </c>
      <c r="B94" s="314" t="s">
        <v>383</v>
      </c>
      <c r="C94" s="318"/>
      <c r="D94" s="315"/>
      <c r="E94" s="348"/>
      <c r="F94" s="348"/>
      <c r="G94" s="353"/>
      <c r="H94" s="348"/>
      <c r="I94" s="348"/>
      <c r="J94" s="348"/>
      <c r="K94" s="348"/>
      <c r="L94" s="353"/>
      <c r="M94" s="353"/>
      <c r="N94" s="349"/>
      <c r="O94" s="353"/>
      <c r="P94" s="350"/>
      <c r="Q94" s="410"/>
      <c r="R94" s="410"/>
    </row>
    <row r="95" spans="1:18" s="4" customFormat="1" ht="15" hidden="1" customHeight="1">
      <c r="A95" s="315"/>
      <c r="B95" s="314"/>
      <c r="C95" s="318"/>
      <c r="D95" s="315"/>
      <c r="E95" s="348"/>
      <c r="F95" s="348"/>
      <c r="G95" s="353"/>
      <c r="H95" s="348"/>
      <c r="I95" s="348"/>
      <c r="J95" s="348"/>
      <c r="K95" s="348"/>
      <c r="L95" s="353"/>
      <c r="M95" s="353"/>
      <c r="N95" s="349"/>
      <c r="O95" s="353"/>
      <c r="P95" s="350"/>
      <c r="Q95" s="410"/>
      <c r="R95" s="410"/>
    </row>
    <row r="96" spans="1:18" s="4" customFormat="1" ht="17.25" hidden="1" customHeight="1">
      <c r="A96" s="315" t="s">
        <v>10</v>
      </c>
      <c r="B96" s="314" t="s">
        <v>80</v>
      </c>
      <c r="C96" s="318" t="s">
        <v>278</v>
      </c>
      <c r="D96" s="351">
        <v>1</v>
      </c>
      <c r="E96" s="348" t="e">
        <f>'NC-CLBD'!#REF!/100</f>
        <v>#REF!</v>
      </c>
      <c r="F96" s="348"/>
      <c r="G96" s="353" t="e">
        <f t="shared" ref="G96:G101" si="11">$Q$1*10*P96</f>
        <v>#REF!</v>
      </c>
      <c r="H96" s="348" t="e">
        <f>'DCu-CLBD'!#REF!</f>
        <v>#REF!</v>
      </c>
      <c r="I96" s="348" t="e">
        <f>'VL-CLBD'!#REF!</f>
        <v>#REF!</v>
      </c>
      <c r="J96" s="348" t="e">
        <f>'TBI-CLBD'!#REF!</f>
        <v>#REF!</v>
      </c>
      <c r="K96" s="348" t="e">
        <f>#REF!</f>
        <v>#REF!</v>
      </c>
      <c r="L96" s="353" t="e">
        <f t="shared" ref="L96:L101" si="12">SUM(E96:K96)</f>
        <v>#REF!</v>
      </c>
      <c r="M96" s="353" t="e">
        <f>L96*'He so chung'!$D$17/100</f>
        <v>#REF!</v>
      </c>
      <c r="N96" s="349" t="e">
        <f t="shared" ref="N96:N101" si="13">M96+L96</f>
        <v>#REF!</v>
      </c>
      <c r="O96" s="354" t="e">
        <f>'He so chung'!$D$21*R96</f>
        <v>#REF!</v>
      </c>
      <c r="P96" s="354" t="e">
        <f>'He so chung'!$D$22*R96</f>
        <v>#REF!</v>
      </c>
      <c r="Q96" s="411" t="e">
        <f>'He so chung'!$D$23*R96</f>
        <v>#REF!</v>
      </c>
      <c r="R96" s="412" t="e">
        <f>'NC-CLBD'!#REF!/100</f>
        <v>#REF!</v>
      </c>
    </row>
    <row r="97" spans="1:18" s="4" customFormat="1" ht="17.25" hidden="1" customHeight="1">
      <c r="A97" s="315"/>
      <c r="B97" s="314"/>
      <c r="C97" s="318"/>
      <c r="D97" s="351">
        <v>2</v>
      </c>
      <c r="E97" s="348" t="e">
        <f>'NC-CLBD'!#REF!/100</f>
        <v>#REF!</v>
      </c>
      <c r="F97" s="348"/>
      <c r="G97" s="353" t="e">
        <f t="shared" si="11"/>
        <v>#REF!</v>
      </c>
      <c r="H97" s="348" t="e">
        <f>'DCu-CLBD'!#REF!</f>
        <v>#REF!</v>
      </c>
      <c r="I97" s="348" t="e">
        <f>$I$96</f>
        <v>#REF!</v>
      </c>
      <c r="J97" s="348" t="e">
        <f>'TBI-CLBD'!#REF!</f>
        <v>#REF!</v>
      </c>
      <c r="K97" s="348" t="e">
        <f>#REF!</f>
        <v>#REF!</v>
      </c>
      <c r="L97" s="353" t="e">
        <f t="shared" si="12"/>
        <v>#REF!</v>
      </c>
      <c r="M97" s="353" t="e">
        <f>L97*'He so chung'!$D$17/100</f>
        <v>#REF!</v>
      </c>
      <c r="N97" s="349" t="e">
        <f t="shared" si="13"/>
        <v>#REF!</v>
      </c>
      <c r="O97" s="354" t="e">
        <f>'He so chung'!$D$21*R97</f>
        <v>#REF!</v>
      </c>
      <c r="P97" s="354" t="e">
        <f>'He so chung'!$D$22*R97</f>
        <v>#REF!</v>
      </c>
      <c r="Q97" s="411" t="e">
        <f>'He so chung'!$D$23*R97</f>
        <v>#REF!</v>
      </c>
      <c r="R97" s="412" t="e">
        <f>'NC-CLBD'!#REF!/100</f>
        <v>#REF!</v>
      </c>
    </row>
    <row r="98" spans="1:18" s="4" customFormat="1" ht="17.25" hidden="1" customHeight="1">
      <c r="A98" s="315"/>
      <c r="B98" s="314"/>
      <c r="C98" s="318"/>
      <c r="D98" s="351">
        <v>3</v>
      </c>
      <c r="E98" s="348" t="e">
        <f>'NC-CLBD'!#REF!/100</f>
        <v>#REF!</v>
      </c>
      <c r="F98" s="348"/>
      <c r="G98" s="353" t="e">
        <f t="shared" si="11"/>
        <v>#REF!</v>
      </c>
      <c r="H98" s="348" t="e">
        <f>'DCu-CLBD'!#REF!</f>
        <v>#REF!</v>
      </c>
      <c r="I98" s="348" t="e">
        <f>$I$96</f>
        <v>#REF!</v>
      </c>
      <c r="J98" s="348" t="e">
        <f>'TBI-CLBD'!#REF!</f>
        <v>#REF!</v>
      </c>
      <c r="K98" s="348" t="e">
        <f>#REF!</f>
        <v>#REF!</v>
      </c>
      <c r="L98" s="353" t="e">
        <f t="shared" si="12"/>
        <v>#REF!</v>
      </c>
      <c r="M98" s="353" t="e">
        <f>L98*'He so chung'!$D$17/100</f>
        <v>#REF!</v>
      </c>
      <c r="N98" s="349" t="e">
        <f t="shared" si="13"/>
        <v>#REF!</v>
      </c>
      <c r="O98" s="354" t="e">
        <f>'He so chung'!$D$21*R98</f>
        <v>#REF!</v>
      </c>
      <c r="P98" s="354" t="e">
        <f>'He so chung'!$D$22*R98</f>
        <v>#REF!</v>
      </c>
      <c r="Q98" s="411" t="e">
        <f>'He so chung'!$D$23*R98</f>
        <v>#REF!</v>
      </c>
      <c r="R98" s="412" t="e">
        <f>'NC-CLBD'!#REF!/100</f>
        <v>#REF!</v>
      </c>
    </row>
    <row r="99" spans="1:18" s="4" customFormat="1" ht="17.25" hidden="1" customHeight="1">
      <c r="A99" s="315"/>
      <c r="B99" s="314"/>
      <c r="C99" s="318"/>
      <c r="D99" s="351">
        <v>4</v>
      </c>
      <c r="E99" s="348" t="e">
        <f>'NC-CLBD'!#REF!/100</f>
        <v>#REF!</v>
      </c>
      <c r="F99" s="348"/>
      <c r="G99" s="353" t="e">
        <f t="shared" si="11"/>
        <v>#REF!</v>
      </c>
      <c r="H99" s="348" t="e">
        <f>'DCu-CLBD'!#REF!</f>
        <v>#REF!</v>
      </c>
      <c r="I99" s="348" t="e">
        <f>$I$96</f>
        <v>#REF!</v>
      </c>
      <c r="J99" s="348" t="e">
        <f>'TBI-CLBD'!#REF!</f>
        <v>#REF!</v>
      </c>
      <c r="K99" s="348" t="e">
        <f>#REF!</f>
        <v>#REF!</v>
      </c>
      <c r="L99" s="353" t="e">
        <f t="shared" si="12"/>
        <v>#REF!</v>
      </c>
      <c r="M99" s="353" t="e">
        <f>L99*'He so chung'!$D$17/100</f>
        <v>#REF!</v>
      </c>
      <c r="N99" s="349" t="e">
        <f t="shared" si="13"/>
        <v>#REF!</v>
      </c>
      <c r="O99" s="354" t="e">
        <f>'He so chung'!$D$21*R99</f>
        <v>#REF!</v>
      </c>
      <c r="P99" s="354" t="e">
        <f>'He so chung'!$D$22*R99</f>
        <v>#REF!</v>
      </c>
      <c r="Q99" s="411" t="e">
        <f>'He so chung'!$D$23*R99</f>
        <v>#REF!</v>
      </c>
      <c r="R99" s="412" t="e">
        <f>'NC-CLBD'!#REF!/100</f>
        <v>#REF!</v>
      </c>
    </row>
    <row r="100" spans="1:18" s="4" customFormat="1" ht="17.25" hidden="1" customHeight="1">
      <c r="A100" s="315"/>
      <c r="B100" s="314"/>
      <c r="C100" s="318"/>
      <c r="D100" s="351" t="s">
        <v>13</v>
      </c>
      <c r="E100" s="348" t="e">
        <f>'NC-CLBD'!#REF!/100</f>
        <v>#REF!</v>
      </c>
      <c r="F100" s="348"/>
      <c r="G100" s="353" t="e">
        <f t="shared" si="11"/>
        <v>#REF!</v>
      </c>
      <c r="H100" s="348" t="e">
        <f>'DCu-CLBD'!#REF!</f>
        <v>#REF!</v>
      </c>
      <c r="I100" s="348" t="e">
        <f>$I$96</f>
        <v>#REF!</v>
      </c>
      <c r="J100" s="348" t="e">
        <f>'TBI-CLBD'!#REF!</f>
        <v>#REF!</v>
      </c>
      <c r="K100" s="348" t="e">
        <f>#REF!</f>
        <v>#REF!</v>
      </c>
      <c r="L100" s="353" t="e">
        <f t="shared" si="12"/>
        <v>#REF!</v>
      </c>
      <c r="M100" s="353" t="e">
        <f>L100*'He so chung'!$D$17/100</f>
        <v>#REF!</v>
      </c>
      <c r="N100" s="349" t="e">
        <f t="shared" si="13"/>
        <v>#REF!</v>
      </c>
      <c r="O100" s="354" t="e">
        <f>'He so chung'!$D$21*R100</f>
        <v>#REF!</v>
      </c>
      <c r="P100" s="354" t="e">
        <f>'He so chung'!$D$22*R100</f>
        <v>#REF!</v>
      </c>
      <c r="Q100" s="411" t="e">
        <f>'He so chung'!$D$23*R100</f>
        <v>#REF!</v>
      </c>
      <c r="R100" s="412" t="e">
        <f>'NC-CLBD'!#REF!/100</f>
        <v>#REF!</v>
      </c>
    </row>
    <row r="101" spans="1:18" s="4" customFormat="1" ht="17.25" hidden="1" customHeight="1">
      <c r="A101" s="315"/>
      <c r="B101" s="314"/>
      <c r="C101" s="318"/>
      <c r="D101" s="351" t="s">
        <v>14</v>
      </c>
      <c r="E101" s="348" t="e">
        <f>'NC-CLBD'!#REF!/100</f>
        <v>#REF!</v>
      </c>
      <c r="F101" s="348"/>
      <c r="G101" s="353" t="e">
        <f t="shared" si="11"/>
        <v>#REF!</v>
      </c>
      <c r="H101" s="348" t="e">
        <f>'DCu-CLBD'!#REF!</f>
        <v>#REF!</v>
      </c>
      <c r="I101" s="348" t="e">
        <f>$I$96</f>
        <v>#REF!</v>
      </c>
      <c r="J101" s="348" t="e">
        <f>'TBI-CLBD'!#REF!</f>
        <v>#REF!</v>
      </c>
      <c r="K101" s="348" t="e">
        <f>#REF!</f>
        <v>#REF!</v>
      </c>
      <c r="L101" s="353" t="e">
        <f t="shared" si="12"/>
        <v>#REF!</v>
      </c>
      <c r="M101" s="353" t="e">
        <f>L101*'He so chung'!$D$17/100</f>
        <v>#REF!</v>
      </c>
      <c r="N101" s="349" t="e">
        <f t="shared" si="13"/>
        <v>#REF!</v>
      </c>
      <c r="O101" s="354" t="e">
        <f>'He so chung'!$D$21*R101</f>
        <v>#REF!</v>
      </c>
      <c r="P101" s="354" t="e">
        <f>'He so chung'!$D$22*R101</f>
        <v>#REF!</v>
      </c>
      <c r="Q101" s="411" t="e">
        <f>'He so chung'!$D$23*R101</f>
        <v>#REF!</v>
      </c>
      <c r="R101" s="412" t="e">
        <f>'NC-CLBD'!#REF!/100</f>
        <v>#REF!</v>
      </c>
    </row>
    <row r="102" spans="1:18" s="4" customFormat="1" ht="10.5" hidden="1" customHeight="1">
      <c r="A102" s="317"/>
      <c r="B102" s="317"/>
      <c r="C102" s="317"/>
      <c r="D102" s="361"/>
      <c r="E102" s="364"/>
      <c r="F102" s="364"/>
      <c r="G102" s="363"/>
      <c r="H102" s="364"/>
      <c r="I102" s="364"/>
      <c r="J102" s="364"/>
      <c r="K102" s="364"/>
      <c r="L102" s="363"/>
      <c r="M102" s="363"/>
      <c r="N102" s="365"/>
      <c r="O102" s="363"/>
      <c r="P102" s="354"/>
      <c r="Q102" s="411"/>
      <c r="R102" s="412"/>
    </row>
    <row r="103" spans="1:18" s="4" customFormat="1" ht="12" hidden="1" customHeight="1">
      <c r="A103" s="119"/>
      <c r="B103" s="119"/>
      <c r="C103" s="119"/>
      <c r="D103" s="367"/>
      <c r="E103" s="369"/>
      <c r="F103" s="369"/>
      <c r="G103" s="368"/>
      <c r="H103" s="369"/>
      <c r="I103" s="369"/>
      <c r="J103" s="369"/>
      <c r="K103" s="369"/>
      <c r="L103" s="368"/>
      <c r="M103" s="368"/>
      <c r="N103" s="370"/>
      <c r="O103" s="368"/>
      <c r="P103" s="366"/>
      <c r="Q103" s="434"/>
      <c r="R103" s="425"/>
    </row>
    <row r="104" spans="1:18" s="4" customFormat="1" ht="12" hidden="1" customHeight="1">
      <c r="A104" s="117"/>
      <c r="B104" s="117"/>
      <c r="C104" s="117"/>
      <c r="D104" s="372"/>
      <c r="E104" s="374"/>
      <c r="F104" s="374"/>
      <c r="G104" s="373"/>
      <c r="H104" s="374"/>
      <c r="I104" s="374"/>
      <c r="J104" s="374"/>
      <c r="K104" s="374"/>
      <c r="L104" s="373"/>
      <c r="M104" s="373"/>
      <c r="N104" s="375"/>
      <c r="O104" s="373"/>
      <c r="P104" s="376"/>
      <c r="Q104" s="452"/>
      <c r="R104" s="453"/>
    </row>
    <row r="105" spans="1:18" s="4" customFormat="1" ht="18" hidden="1" customHeight="1">
      <c r="A105" s="970" t="s">
        <v>376</v>
      </c>
      <c r="B105" s="972" t="s">
        <v>377</v>
      </c>
      <c r="C105" s="974" t="s">
        <v>378</v>
      </c>
      <c r="D105" s="970" t="s">
        <v>91</v>
      </c>
      <c r="E105" s="964" t="s">
        <v>368</v>
      </c>
      <c r="F105" s="965"/>
      <c r="G105" s="965"/>
      <c r="H105" s="965"/>
      <c r="I105" s="965"/>
      <c r="J105" s="965"/>
      <c r="K105" s="965"/>
      <c r="L105" s="966"/>
      <c r="M105" s="324" t="s">
        <v>63</v>
      </c>
      <c r="N105" s="974" t="s">
        <v>379</v>
      </c>
      <c r="O105" s="323" t="s">
        <v>18</v>
      </c>
      <c r="P105" s="418" t="s">
        <v>19</v>
      </c>
      <c r="Q105" s="419" t="s">
        <v>19</v>
      </c>
      <c r="R105" s="420" t="s">
        <v>16</v>
      </c>
    </row>
    <row r="106" spans="1:18" s="4" customFormat="1" ht="18" hidden="1" customHeight="1">
      <c r="A106" s="971"/>
      <c r="B106" s="973"/>
      <c r="C106" s="975"/>
      <c r="D106" s="971"/>
      <c r="E106" s="327" t="s">
        <v>369</v>
      </c>
      <c r="F106" s="326" t="s">
        <v>370</v>
      </c>
      <c r="G106" s="328">
        <v>0</v>
      </c>
      <c r="H106" s="326" t="s">
        <v>257</v>
      </c>
      <c r="I106" s="326" t="s">
        <v>280</v>
      </c>
      <c r="J106" s="326" t="s">
        <v>261</v>
      </c>
      <c r="K106" s="326" t="s">
        <v>371</v>
      </c>
      <c r="L106" s="326" t="s">
        <v>372</v>
      </c>
      <c r="M106" s="326" t="s">
        <v>48</v>
      </c>
      <c r="N106" s="975"/>
      <c r="O106" s="325" t="s">
        <v>20</v>
      </c>
      <c r="P106" s="325" t="s">
        <v>21</v>
      </c>
      <c r="Q106" s="421" t="s">
        <v>22</v>
      </c>
      <c r="R106" s="422" t="s">
        <v>17</v>
      </c>
    </row>
    <row r="107" spans="1:18" s="4" customFormat="1" ht="15" hidden="1" customHeight="1">
      <c r="A107" s="329" t="s">
        <v>52</v>
      </c>
      <c r="B107" s="330" t="s">
        <v>53</v>
      </c>
      <c r="C107" s="330" t="s">
        <v>54</v>
      </c>
      <c r="D107" s="331" t="s">
        <v>55</v>
      </c>
      <c r="E107" s="332" t="s">
        <v>56</v>
      </c>
      <c r="F107" s="332" t="s">
        <v>57</v>
      </c>
      <c r="G107" s="332"/>
      <c r="H107" s="332" t="s">
        <v>58</v>
      </c>
      <c r="I107" s="332" t="s">
        <v>59</v>
      </c>
      <c r="J107" s="332" t="s">
        <v>60</v>
      </c>
      <c r="K107" s="332" t="s">
        <v>61</v>
      </c>
      <c r="L107" s="333" t="s">
        <v>373</v>
      </c>
      <c r="M107" s="333" t="s">
        <v>374</v>
      </c>
      <c r="N107" s="334" t="s">
        <v>375</v>
      </c>
      <c r="O107" s="332" t="s">
        <v>62</v>
      </c>
      <c r="P107" s="408"/>
      <c r="Q107" s="408"/>
      <c r="R107" s="409"/>
    </row>
    <row r="108" spans="1:18" s="4" customFormat="1" ht="18" hidden="1" customHeight="1">
      <c r="A108" s="315" t="s">
        <v>11</v>
      </c>
      <c r="B108" s="402" t="s">
        <v>392</v>
      </c>
      <c r="C108" s="318" t="s">
        <v>278</v>
      </c>
      <c r="D108" s="351" t="s">
        <v>8</v>
      </c>
      <c r="E108" s="348" t="e">
        <f>'NC-CLBD'!#REF!/100</f>
        <v>#REF!</v>
      </c>
      <c r="F108" s="348"/>
      <c r="G108" s="353" t="e">
        <f>$Q$1*10*P108</f>
        <v>#REF!</v>
      </c>
      <c r="H108" s="348"/>
      <c r="I108" s="348"/>
      <c r="J108" s="348"/>
      <c r="K108" s="348"/>
      <c r="L108" s="353" t="e">
        <f>SUM(E108:K108)</f>
        <v>#REF!</v>
      </c>
      <c r="M108" s="353" t="e">
        <f>L108*'He so chung'!$D$17/100</f>
        <v>#REF!</v>
      </c>
      <c r="N108" s="349" t="e">
        <f>M108+L108</f>
        <v>#REF!</v>
      </c>
      <c r="O108" s="354" t="e">
        <f>'He so chung'!$D$21*R108</f>
        <v>#REF!</v>
      </c>
      <c r="P108" s="354" t="e">
        <f>'He so chung'!$D$22*R108</f>
        <v>#REF!</v>
      </c>
      <c r="Q108" s="411" t="e">
        <f>'He so chung'!$D$23*R108</f>
        <v>#REF!</v>
      </c>
      <c r="R108" s="412" t="e">
        <f>'NC-CLBD'!#REF!/100</f>
        <v>#REF!</v>
      </c>
    </row>
    <row r="109" spans="1:18" s="4" customFormat="1" ht="15.75" hidden="1" customHeight="1">
      <c r="A109" s="315"/>
      <c r="B109" s="402" t="s">
        <v>393</v>
      </c>
      <c r="C109" s="318"/>
      <c r="D109" s="351"/>
      <c r="E109" s="348"/>
      <c r="F109" s="348"/>
      <c r="G109" s="353"/>
      <c r="H109" s="348"/>
      <c r="I109" s="348"/>
      <c r="J109" s="348"/>
      <c r="K109" s="348"/>
      <c r="L109" s="353"/>
      <c r="M109" s="353"/>
      <c r="N109" s="349"/>
      <c r="O109" s="353"/>
      <c r="P109" s="354"/>
      <c r="Q109" s="411"/>
      <c r="R109" s="412"/>
    </row>
    <row r="110" spans="1:18" s="4" customFormat="1" ht="12.75" hidden="1" customHeight="1">
      <c r="A110" s="314"/>
      <c r="B110" s="314"/>
      <c r="C110" s="314"/>
      <c r="D110" s="351"/>
      <c r="E110" s="348"/>
      <c r="F110" s="348"/>
      <c r="G110" s="353"/>
      <c r="H110" s="348"/>
      <c r="I110" s="348"/>
      <c r="J110" s="348"/>
      <c r="K110" s="348"/>
      <c r="L110" s="353"/>
      <c r="M110" s="353"/>
      <c r="N110" s="349"/>
      <c r="O110" s="353"/>
      <c r="P110" s="354"/>
      <c r="Q110" s="411"/>
      <c r="R110" s="412"/>
    </row>
    <row r="111" spans="1:18" s="4" customFormat="1" ht="18" hidden="1" customHeight="1">
      <c r="A111" s="315" t="s">
        <v>12</v>
      </c>
      <c r="B111" s="314" t="s">
        <v>81</v>
      </c>
      <c r="C111" s="318" t="s">
        <v>278</v>
      </c>
      <c r="D111" s="351">
        <v>1</v>
      </c>
      <c r="E111" s="348" t="e">
        <f>'NC-CLBD'!I54/100</f>
        <v>#VALUE!</v>
      </c>
      <c r="F111" s="348"/>
      <c r="G111" s="353">
        <f t="shared" ref="G111:G116" si="14">$Q$1*10*P111</f>
        <v>0</v>
      </c>
      <c r="H111" s="348">
        <f>'DCu-CLBD'!J156</f>
        <v>170.98423676923082</v>
      </c>
      <c r="I111" s="348">
        <f>'VL-CLBD'!H71</f>
        <v>5611.8959999999997</v>
      </c>
      <c r="J111" s="348">
        <f>'TBI-CLBD'!I116</f>
        <v>188.3064</v>
      </c>
      <c r="K111" s="348" t="e">
        <f>#REF!</f>
        <v>#REF!</v>
      </c>
      <c r="L111" s="353" t="e">
        <f t="shared" ref="L111:L116" si="15">SUM(E111:K111)</f>
        <v>#VALUE!</v>
      </c>
      <c r="M111" s="353" t="e">
        <f>L111*'He so chung'!$D$17/100</f>
        <v>#VALUE!</v>
      </c>
      <c r="N111" s="349" t="e">
        <f t="shared" ref="N111:N116" si="16">M111+L111</f>
        <v>#VALUE!</v>
      </c>
      <c r="O111" s="354">
        <f>'He so chung'!$D$21*R111</f>
        <v>200.42730769230766</v>
      </c>
      <c r="P111" s="354">
        <f>'He so chung'!$D$22*R111</f>
        <v>174.28461538461536</v>
      </c>
      <c r="Q111" s="411">
        <f>'He so chung'!$D$23*R111</f>
        <v>26.142692307692304</v>
      </c>
      <c r="R111" s="412">
        <f>'NC-CLBD'!H54/100</f>
        <v>3.2599999999999997E-2</v>
      </c>
    </row>
    <row r="112" spans="1:18" s="4" customFormat="1" ht="18" hidden="1" customHeight="1">
      <c r="A112" s="315"/>
      <c r="B112" s="314"/>
      <c r="C112" s="318"/>
      <c r="D112" s="351">
        <v>2</v>
      </c>
      <c r="E112" s="348" t="e">
        <f>'NC-CLBD'!I56/100</f>
        <v>#VALUE!</v>
      </c>
      <c r="F112" s="348"/>
      <c r="G112" s="353">
        <f t="shared" si="14"/>
        <v>0</v>
      </c>
      <c r="H112" s="348">
        <f>'DCu-CLBD'!J157</f>
        <v>213.7302959615385</v>
      </c>
      <c r="I112" s="348">
        <f>$I$111</f>
        <v>5611.8959999999997</v>
      </c>
      <c r="J112" s="348">
        <f>'TBI-CLBD'!K116</f>
        <v>204.458</v>
      </c>
      <c r="K112" s="348" t="e">
        <f>#REF!</f>
        <v>#REF!</v>
      </c>
      <c r="L112" s="353" t="e">
        <f t="shared" si="15"/>
        <v>#VALUE!</v>
      </c>
      <c r="M112" s="353" t="e">
        <f>L112*'He so chung'!$D$17/100</f>
        <v>#VALUE!</v>
      </c>
      <c r="N112" s="349" t="e">
        <f t="shared" si="16"/>
        <v>#VALUE!</v>
      </c>
      <c r="O112" s="354">
        <f>'He so chung'!$D$21*R112</f>
        <v>249.61192307692306</v>
      </c>
      <c r="P112" s="354">
        <f>'He so chung'!$D$22*R112</f>
        <v>217.05384615384611</v>
      </c>
      <c r="Q112" s="411">
        <f>'He so chung'!$D$23*R112</f>
        <v>32.558076923076918</v>
      </c>
      <c r="R112" s="412">
        <f>'NC-CLBD'!H56/100</f>
        <v>4.0599999999999997E-2</v>
      </c>
    </row>
    <row r="113" spans="1:18" s="4" customFormat="1" ht="18" hidden="1" customHeight="1">
      <c r="A113" s="315"/>
      <c r="B113" s="314"/>
      <c r="C113" s="318"/>
      <c r="D113" s="351">
        <v>3</v>
      </c>
      <c r="E113" s="348" t="e">
        <f>'NC-CLBD'!I58/100</f>
        <v>#VALUE!</v>
      </c>
      <c r="F113" s="348"/>
      <c r="G113" s="353">
        <f t="shared" si="14"/>
        <v>0</v>
      </c>
      <c r="H113" s="348">
        <f>'DCu-CLBD'!J158</f>
        <v>284.97372794871802</v>
      </c>
      <c r="I113" s="348">
        <f>$I$111</f>
        <v>5611.8959999999997</v>
      </c>
      <c r="J113" s="348">
        <f>'TBI-CLBD'!M116</f>
        <v>232.25959999999998</v>
      </c>
      <c r="K113" s="348" t="e">
        <f>#REF!</f>
        <v>#REF!</v>
      </c>
      <c r="L113" s="353" t="e">
        <f t="shared" si="15"/>
        <v>#VALUE!</v>
      </c>
      <c r="M113" s="353" t="e">
        <f>L113*'He so chung'!$D$17/100</f>
        <v>#VALUE!</v>
      </c>
      <c r="N113" s="349" t="e">
        <f t="shared" si="16"/>
        <v>#VALUE!</v>
      </c>
      <c r="O113" s="354">
        <f>'He so chung'!$D$21*R113</f>
        <v>266.82653846153846</v>
      </c>
      <c r="P113" s="354">
        <f>'He so chung'!$D$22*R113</f>
        <v>232.0230769230769</v>
      </c>
      <c r="Q113" s="411">
        <f>'He so chung'!$D$23*R113</f>
        <v>34.803461538461541</v>
      </c>
      <c r="R113" s="412">
        <f>'NC-CLBD'!H58/100</f>
        <v>4.3400000000000001E-2</v>
      </c>
    </row>
    <row r="114" spans="1:18" s="4" customFormat="1" ht="18" hidden="1" customHeight="1">
      <c r="A114" s="315"/>
      <c r="B114" s="314"/>
      <c r="C114" s="318"/>
      <c r="D114" s="351">
        <v>4</v>
      </c>
      <c r="E114" s="348" t="e">
        <f>'NC-CLBD'!I60/100</f>
        <v>#VALUE!</v>
      </c>
      <c r="F114" s="348"/>
      <c r="G114" s="353">
        <f t="shared" si="14"/>
        <v>0</v>
      </c>
      <c r="H114" s="348">
        <f>'DCu-CLBD'!J159</f>
        <v>384.71453273076935</v>
      </c>
      <c r="I114" s="348">
        <f>$I$111</f>
        <v>5611.8959999999997</v>
      </c>
      <c r="J114" s="348">
        <f>'TBI-CLBD'!O116</f>
        <v>271.1112</v>
      </c>
      <c r="K114" s="348" t="e">
        <f>#REF!</f>
        <v>#REF!</v>
      </c>
      <c r="L114" s="353" t="e">
        <f t="shared" si="15"/>
        <v>#VALUE!</v>
      </c>
      <c r="M114" s="353" t="e">
        <f>L114*'He so chung'!$D$17/100</f>
        <v>#VALUE!</v>
      </c>
      <c r="N114" s="349" t="e">
        <f t="shared" si="16"/>
        <v>#VALUE!</v>
      </c>
      <c r="O114" s="354">
        <f>'He so chung'!$D$21*R114</f>
        <v>450.03923076923076</v>
      </c>
      <c r="P114" s="354">
        <f>'He so chung'!$D$22*R114</f>
        <v>391.3384615384615</v>
      </c>
      <c r="Q114" s="411">
        <f>'He so chung'!$D$23*R114</f>
        <v>58.700769230769232</v>
      </c>
      <c r="R114" s="412">
        <f>'NC-CLBD'!H60/100</f>
        <v>7.3200000000000001E-2</v>
      </c>
    </row>
    <row r="115" spans="1:18" s="4" customFormat="1" ht="18" hidden="1" customHeight="1">
      <c r="A115" s="315"/>
      <c r="B115" s="314"/>
      <c r="C115" s="318"/>
      <c r="D115" s="351" t="s">
        <v>13</v>
      </c>
      <c r="E115" s="348" t="e">
        <f>'NC-CLBD'!I62/100</f>
        <v>#VALUE!</v>
      </c>
      <c r="F115" s="348"/>
      <c r="G115" s="353">
        <f t="shared" si="14"/>
        <v>0</v>
      </c>
      <c r="H115" s="348">
        <f>'DCu-CLBD'!J160</f>
        <v>498.70402391025652</v>
      </c>
      <c r="I115" s="348">
        <f>$I$111</f>
        <v>5611.8959999999997</v>
      </c>
      <c r="J115" s="348">
        <f>'TBI-CLBD'!Q116</f>
        <v>309.6728</v>
      </c>
      <c r="K115" s="348" t="e">
        <f>#REF!</f>
        <v>#REF!</v>
      </c>
      <c r="L115" s="353" t="e">
        <f t="shared" si="15"/>
        <v>#VALUE!</v>
      </c>
      <c r="M115" s="353" t="e">
        <f>L115*'He so chung'!$D$17/100</f>
        <v>#VALUE!</v>
      </c>
      <c r="N115" s="349" t="e">
        <f t="shared" si="16"/>
        <v>#VALUE!</v>
      </c>
      <c r="O115" s="354">
        <f>'He so chung'!$D$21*R115</f>
        <v>566.85269230769234</v>
      </c>
      <c r="P115" s="354">
        <f>'He so chung'!$D$22*R115</f>
        <v>492.9153846153846</v>
      </c>
      <c r="Q115" s="411">
        <f>'He so chung'!$D$23*R115</f>
        <v>73.937307692307698</v>
      </c>
      <c r="R115" s="412">
        <f>'NC-CLBD'!H62/100</f>
        <v>9.2200000000000004E-2</v>
      </c>
    </row>
    <row r="116" spans="1:18" s="4" customFormat="1" ht="18" hidden="1" customHeight="1">
      <c r="A116" s="315"/>
      <c r="B116" s="314"/>
      <c r="C116" s="318"/>
      <c r="D116" s="351" t="s">
        <v>14</v>
      </c>
      <c r="E116" s="348" t="e">
        <f>'NC-CLBD'!#REF!/100</f>
        <v>#REF!</v>
      </c>
      <c r="F116" s="348"/>
      <c r="G116" s="353" t="e">
        <f t="shared" si="14"/>
        <v>#REF!</v>
      </c>
      <c r="H116" s="348">
        <f>'DCu-CLBD'!J161</f>
        <v>0</v>
      </c>
      <c r="I116" s="348">
        <f>$I$111</f>
        <v>5611.8959999999997</v>
      </c>
      <c r="J116" s="348" t="e">
        <f>'TBI-CLBD'!#REF!</f>
        <v>#REF!</v>
      </c>
      <c r="K116" s="348" t="e">
        <f>#REF!</f>
        <v>#REF!</v>
      </c>
      <c r="L116" s="353" t="e">
        <f t="shared" si="15"/>
        <v>#REF!</v>
      </c>
      <c r="M116" s="353" t="e">
        <f>L116*'He so chung'!$D$17/100</f>
        <v>#REF!</v>
      </c>
      <c r="N116" s="349" t="e">
        <f t="shared" si="16"/>
        <v>#REF!</v>
      </c>
      <c r="O116" s="354" t="e">
        <f>'He so chung'!$D$21*R116</f>
        <v>#REF!</v>
      </c>
      <c r="P116" s="354" t="e">
        <f>'He so chung'!$D$22*R116</f>
        <v>#REF!</v>
      </c>
      <c r="Q116" s="411" t="e">
        <f>'He so chung'!$D$23*R116</f>
        <v>#REF!</v>
      </c>
      <c r="R116" s="412" t="e">
        <f>'NC-CLBD'!#REF!/100</f>
        <v>#REF!</v>
      </c>
    </row>
    <row r="117" spans="1:18" s="4" customFormat="1" ht="14.25" hidden="1" customHeight="1">
      <c r="A117" s="314"/>
      <c r="B117" s="314"/>
      <c r="C117" s="314"/>
      <c r="D117" s="351"/>
      <c r="E117" s="348"/>
      <c r="F117" s="348"/>
      <c r="G117" s="353"/>
      <c r="H117" s="348"/>
      <c r="I117" s="348"/>
      <c r="J117" s="348"/>
      <c r="K117" s="348"/>
      <c r="L117" s="353"/>
      <c r="M117" s="353"/>
      <c r="N117" s="349"/>
      <c r="O117" s="354"/>
      <c r="P117" s="354"/>
      <c r="Q117" s="411"/>
      <c r="R117" s="412"/>
    </row>
    <row r="118" spans="1:18" s="4" customFormat="1" ht="17.25" hidden="1" customHeight="1">
      <c r="A118" s="315" t="s">
        <v>13</v>
      </c>
      <c r="B118" s="314" t="s">
        <v>384</v>
      </c>
      <c r="C118" s="318" t="s">
        <v>278</v>
      </c>
      <c r="D118" s="351" t="s">
        <v>8</v>
      </c>
      <c r="E118" s="348" t="e">
        <f>'NC-CLBD'!I64/100</f>
        <v>#VALUE!</v>
      </c>
      <c r="F118" s="348"/>
      <c r="G118" s="353">
        <f>$Q$1*10*P118</f>
        <v>0</v>
      </c>
      <c r="H118" s="348"/>
      <c r="I118" s="348"/>
      <c r="J118" s="348"/>
      <c r="K118" s="348"/>
      <c r="L118" s="353" t="e">
        <f>SUM(E118:K118)</f>
        <v>#VALUE!</v>
      </c>
      <c r="M118" s="353" t="e">
        <f>L118*'He so chung'!$D$17/100</f>
        <v>#VALUE!</v>
      </c>
      <c r="N118" s="349" t="e">
        <f>M118+L118</f>
        <v>#VALUE!</v>
      </c>
      <c r="O118" s="354">
        <f>'He so chung'!$D$21*R118</f>
        <v>184.44230769230768</v>
      </c>
      <c r="P118" s="354">
        <f>'He so chung'!$D$22*R118</f>
        <v>160.38461538461536</v>
      </c>
      <c r="Q118" s="411">
        <f>'He so chung'!$D$23*R118</f>
        <v>24.057692307692307</v>
      </c>
      <c r="R118" s="412">
        <f>'NC-CLBD'!H64/100</f>
        <v>0.03</v>
      </c>
    </row>
    <row r="119" spans="1:18" s="4" customFormat="1" ht="17.25" hidden="1" customHeight="1">
      <c r="A119" s="315"/>
      <c r="B119" s="314" t="s">
        <v>385</v>
      </c>
      <c r="C119" s="318"/>
      <c r="D119" s="351"/>
      <c r="E119" s="348"/>
      <c r="F119" s="348"/>
      <c r="G119" s="353"/>
      <c r="H119" s="348"/>
      <c r="I119" s="348"/>
      <c r="J119" s="348"/>
      <c r="K119" s="348"/>
      <c r="L119" s="353"/>
      <c r="M119" s="353"/>
      <c r="N119" s="349"/>
      <c r="O119" s="354"/>
      <c r="P119" s="354"/>
      <c r="Q119" s="411"/>
      <c r="R119" s="412"/>
    </row>
    <row r="120" spans="1:18" s="4" customFormat="1" ht="14.25" hidden="1" customHeight="1">
      <c r="A120" s="315"/>
      <c r="B120" s="314"/>
      <c r="C120" s="318"/>
      <c r="D120" s="351"/>
      <c r="E120" s="348"/>
      <c r="F120" s="348"/>
      <c r="G120" s="353"/>
      <c r="H120" s="348"/>
      <c r="I120" s="348"/>
      <c r="J120" s="348"/>
      <c r="K120" s="348"/>
      <c r="L120" s="353"/>
      <c r="M120" s="353"/>
      <c r="N120" s="349"/>
      <c r="O120" s="354"/>
      <c r="P120" s="354"/>
      <c r="Q120" s="411"/>
      <c r="R120" s="425"/>
    </row>
    <row r="121" spans="1:18" s="4" customFormat="1" ht="17.25" hidden="1" customHeight="1">
      <c r="A121" s="315" t="s">
        <v>14</v>
      </c>
      <c r="B121" s="314" t="s">
        <v>363</v>
      </c>
      <c r="C121" s="318" t="s">
        <v>278</v>
      </c>
      <c r="D121" s="351" t="s">
        <v>8</v>
      </c>
      <c r="E121" s="352" t="e">
        <f>'NC-CLBD'!I67/100</f>
        <v>#VALUE!</v>
      </c>
      <c r="F121" s="353"/>
      <c r="G121" s="353">
        <f>$Q$1*10*P121</f>
        <v>0</v>
      </c>
      <c r="H121" s="353">
        <f>'DCu-CLBD'!J186</f>
        <v>184.59746666666666</v>
      </c>
      <c r="I121" s="353">
        <f>'VL-CLBD'!H92</f>
        <v>1232.28</v>
      </c>
      <c r="J121" s="353">
        <f>'TBI-CLBD'!I155</f>
        <v>105.78</v>
      </c>
      <c r="K121" s="353" t="e">
        <f>#REF!</f>
        <v>#REF!</v>
      </c>
      <c r="L121" s="348" t="e">
        <f>SUM(E121:K121)</f>
        <v>#VALUE!</v>
      </c>
      <c r="M121" s="353" t="e">
        <f>L121*'He so chung'!$D$17/100</f>
        <v>#VALUE!</v>
      </c>
      <c r="N121" s="349" t="e">
        <f>M121+L121</f>
        <v>#VALUE!</v>
      </c>
      <c r="O121" s="354">
        <f>'He so chung'!$D$21*R121</f>
        <v>159.85000000000002</v>
      </c>
      <c r="P121" s="354">
        <f>'He so chung'!$D$22*R121</f>
        <v>139</v>
      </c>
      <c r="Q121" s="411">
        <f>'He so chung'!$D$23*R121</f>
        <v>20.85</v>
      </c>
      <c r="R121" s="412">
        <f>'NC-CLBD'!H67/100</f>
        <v>2.6000000000000002E-2</v>
      </c>
    </row>
    <row r="122" spans="1:18" s="4" customFormat="1" ht="15" hidden="1" customHeight="1">
      <c r="A122" s="316"/>
      <c r="B122" s="317"/>
      <c r="C122" s="121"/>
      <c r="D122" s="361"/>
      <c r="E122" s="362"/>
      <c r="F122" s="363"/>
      <c r="G122" s="353"/>
      <c r="H122" s="363"/>
      <c r="I122" s="363"/>
      <c r="J122" s="363"/>
      <c r="K122" s="363"/>
      <c r="L122" s="348"/>
      <c r="M122" s="353"/>
      <c r="N122" s="349"/>
      <c r="O122" s="354"/>
      <c r="P122" s="354"/>
      <c r="Q122" s="411"/>
      <c r="R122" s="425"/>
    </row>
    <row r="123" spans="1:18" s="4" customFormat="1" ht="17.25" hidden="1" customHeight="1">
      <c r="A123" s="315" t="s">
        <v>85</v>
      </c>
      <c r="B123" s="314" t="s">
        <v>364</v>
      </c>
      <c r="C123" s="318" t="s">
        <v>1</v>
      </c>
      <c r="D123" s="351" t="s">
        <v>8</v>
      </c>
      <c r="E123" s="362" t="e">
        <f>'NC-CLBD'!I69/6.25</f>
        <v>#VALUE!</v>
      </c>
      <c r="F123" s="363"/>
      <c r="G123" s="353">
        <f>$Q$1*10*P123</f>
        <v>0</v>
      </c>
      <c r="H123" s="363">
        <f>'DCu-CLBD'!J209*70%</f>
        <v>1014.3178410256412</v>
      </c>
      <c r="I123" s="363">
        <f>'VL-CLBD'!H112*70%</f>
        <v>17986.752</v>
      </c>
      <c r="J123" s="363">
        <f>'TBI-CLBD'!I174*70%</f>
        <v>392</v>
      </c>
      <c r="K123" s="363" t="e">
        <f>#REF!*70%</f>
        <v>#REF!</v>
      </c>
      <c r="L123" s="348" t="e">
        <f>SUM(E123:K123)</f>
        <v>#VALUE!</v>
      </c>
      <c r="M123" s="353" t="e">
        <f>L123*'He so chung'!$D$17/100</f>
        <v>#VALUE!</v>
      </c>
      <c r="N123" s="349" t="e">
        <f>M123+L123</f>
        <v>#VALUE!</v>
      </c>
      <c r="O123" s="354">
        <f>'He so chung'!$D$21*R123</f>
        <v>590.21538461538466</v>
      </c>
      <c r="P123" s="354">
        <f>'He so chung'!$D$22*R123</f>
        <v>513.23076923076917</v>
      </c>
      <c r="Q123" s="411">
        <f>'He so chung'!$D$23*R123</f>
        <v>76.984615384615381</v>
      </c>
      <c r="R123" s="425">
        <f>'NC-CLBD'!H69/6.25</f>
        <v>9.6000000000000002E-2</v>
      </c>
    </row>
    <row r="124" spans="1:18" s="4" customFormat="1" ht="14.25" hidden="1" customHeight="1">
      <c r="A124" s="102"/>
      <c r="B124" s="103"/>
      <c r="C124" s="121"/>
      <c r="D124" s="361"/>
      <c r="E124" s="362"/>
      <c r="F124" s="363"/>
      <c r="G124" s="353"/>
      <c r="H124" s="363"/>
      <c r="I124" s="363"/>
      <c r="J124" s="363"/>
      <c r="K124" s="363"/>
      <c r="L124" s="348"/>
      <c r="M124" s="353"/>
      <c r="N124" s="349"/>
      <c r="O124" s="354"/>
      <c r="P124" s="354"/>
      <c r="Q124" s="411"/>
      <c r="R124" s="425"/>
    </row>
    <row r="125" spans="1:18" s="4" customFormat="1" ht="17.25" hidden="1" customHeight="1">
      <c r="A125" s="315" t="s">
        <v>87</v>
      </c>
      <c r="B125" s="314" t="s">
        <v>365</v>
      </c>
      <c r="C125" s="318" t="s">
        <v>1</v>
      </c>
      <c r="D125" s="351" t="s">
        <v>8</v>
      </c>
      <c r="E125" s="362" t="e">
        <f>'NC-CLBD'!I71/6.25</f>
        <v>#VALUE!</v>
      </c>
      <c r="F125" s="363"/>
      <c r="G125" s="353">
        <f>$Q$1*10*P125</f>
        <v>0</v>
      </c>
      <c r="H125" s="363">
        <f>'DCu-CLBD'!J209*15%</f>
        <v>217.35382307692313</v>
      </c>
      <c r="I125" s="363">
        <f>'VL-CLBD'!H112*15%</f>
        <v>3854.3040000000001</v>
      </c>
      <c r="J125" s="363">
        <f>'TBI-CLBD'!I174*15%</f>
        <v>84</v>
      </c>
      <c r="K125" s="363" t="e">
        <f>#REF!*15%</f>
        <v>#REF!</v>
      </c>
      <c r="L125" s="348" t="e">
        <f>SUM(E125:K125)</f>
        <v>#VALUE!</v>
      </c>
      <c r="M125" s="353" t="e">
        <f>L125*'He so chung'!$D$17/100</f>
        <v>#VALUE!</v>
      </c>
      <c r="N125" s="349" t="e">
        <f>M125+L125</f>
        <v>#VALUE!</v>
      </c>
      <c r="O125" s="354">
        <f>'He so chung'!$D$21*R125</f>
        <v>590.21538461538466</v>
      </c>
      <c r="P125" s="354">
        <f>'He so chung'!$D$22*R125</f>
        <v>513.23076923076917</v>
      </c>
      <c r="Q125" s="411">
        <f>'He so chung'!$D$23*R125</f>
        <v>76.984615384615381</v>
      </c>
      <c r="R125" s="425">
        <f>'NC-CLBD'!H71/6.25</f>
        <v>9.6000000000000002E-2</v>
      </c>
    </row>
    <row r="126" spans="1:18" s="4" customFormat="1" ht="15" hidden="1" customHeight="1">
      <c r="A126" s="316"/>
      <c r="B126" s="317"/>
      <c r="C126" s="121"/>
      <c r="D126" s="361"/>
      <c r="E126" s="362"/>
      <c r="F126" s="363"/>
      <c r="G126" s="353"/>
      <c r="H126" s="363"/>
      <c r="I126" s="363"/>
      <c r="J126" s="363"/>
      <c r="K126" s="363"/>
      <c r="L126" s="348"/>
      <c r="M126" s="353"/>
      <c r="N126" s="349"/>
      <c r="O126" s="354"/>
      <c r="P126" s="354"/>
      <c r="Q126" s="411"/>
      <c r="R126" s="425"/>
    </row>
    <row r="127" spans="1:18" s="4" customFormat="1" ht="17.25" hidden="1" customHeight="1">
      <c r="A127" s="316" t="s">
        <v>88</v>
      </c>
      <c r="B127" s="317" t="s">
        <v>366</v>
      </c>
      <c r="C127" s="405" t="s">
        <v>1</v>
      </c>
      <c r="D127" s="361" t="s">
        <v>8</v>
      </c>
      <c r="E127" s="362" t="e">
        <f>'NC-CLBD'!I73/6.25</f>
        <v>#VALUE!</v>
      </c>
      <c r="F127" s="363"/>
      <c r="G127" s="353">
        <f>$Q$1*10*P127</f>
        <v>0</v>
      </c>
      <c r="H127" s="363">
        <f>'DCu-CLBD'!J209*15%</f>
        <v>217.35382307692313</v>
      </c>
      <c r="I127" s="363">
        <f>'VL-CLBD'!H112*15%</f>
        <v>3854.3040000000001</v>
      </c>
      <c r="J127" s="363">
        <f>'TBI-CLBD'!I174*15%</f>
        <v>84</v>
      </c>
      <c r="K127" s="363" t="e">
        <f>#REF!*15%</f>
        <v>#REF!</v>
      </c>
      <c r="L127" s="364" t="e">
        <f>SUM(E127:K127)</f>
        <v>#VALUE!</v>
      </c>
      <c r="M127" s="353" t="e">
        <f>L127*'He so chung'!$D$17/100</f>
        <v>#VALUE!</v>
      </c>
      <c r="N127" s="365" t="e">
        <f>M127+L127</f>
        <v>#VALUE!</v>
      </c>
      <c r="O127" s="354">
        <f>'He so chung'!$D$21*R127</f>
        <v>1239.4523076923076</v>
      </c>
      <c r="P127" s="354">
        <f>'He so chung'!$D$22*R127</f>
        <v>1077.7846153846153</v>
      </c>
      <c r="Q127" s="411">
        <f>'He so chung'!$D$23*R127</f>
        <v>161.66769230769231</v>
      </c>
      <c r="R127" s="425">
        <f>'NC-CLBD'!H73/6.25</f>
        <v>0.2016</v>
      </c>
    </row>
    <row r="128" spans="1:18" s="4" customFormat="1" ht="8.25" hidden="1" customHeight="1">
      <c r="A128" s="403"/>
      <c r="B128" s="401"/>
      <c r="C128" s="404"/>
      <c r="D128" s="377"/>
      <c r="E128" s="379"/>
      <c r="F128" s="379"/>
      <c r="G128" s="379"/>
      <c r="H128" s="379"/>
      <c r="I128" s="379"/>
      <c r="J128" s="379"/>
      <c r="K128" s="379"/>
      <c r="L128" s="380"/>
      <c r="M128" s="379"/>
      <c r="N128" s="381"/>
      <c r="O128" s="382"/>
      <c r="P128" s="382"/>
      <c r="Q128" s="423"/>
      <c r="R128" s="424"/>
    </row>
    <row r="129" spans="1:18" s="4" customFormat="1" ht="6" hidden="1" customHeight="1">
      <c r="A129" s="444"/>
      <c r="B129" s="445"/>
      <c r="C129" s="446"/>
      <c r="D129" s="447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22"/>
      <c r="P129" s="322"/>
      <c r="Q129" s="426"/>
      <c r="R129" s="427"/>
    </row>
    <row r="130" spans="1:18" s="4" customFormat="1" ht="18" customHeight="1">
      <c r="A130" s="95"/>
      <c r="B130" s="501" t="s">
        <v>420</v>
      </c>
      <c r="C130" s="113"/>
      <c r="D130" s="384"/>
      <c r="E130" s="385"/>
      <c r="F130" s="385"/>
      <c r="G130" s="385"/>
      <c r="H130" s="385"/>
      <c r="I130" s="385"/>
      <c r="J130" s="385"/>
      <c r="K130" s="385"/>
      <c r="L130" s="385"/>
      <c r="M130" s="385"/>
      <c r="N130" s="385"/>
      <c r="O130" s="386"/>
      <c r="P130" s="428"/>
      <c r="Q130" s="429"/>
      <c r="R130" s="430"/>
    </row>
    <row r="131" spans="1:18" s="4" customFormat="1" ht="18" customHeight="1">
      <c r="A131" s="955" t="s">
        <v>3</v>
      </c>
      <c r="B131" s="958" t="s">
        <v>390</v>
      </c>
      <c r="C131" s="961" t="s">
        <v>1</v>
      </c>
      <c r="D131" s="387" t="s">
        <v>9</v>
      </c>
      <c r="E131" s="388" t="e">
        <f t="shared" ref="E131:R136" si="17">E72+E$123+E$125+E$127</f>
        <v>#VALUE!</v>
      </c>
      <c r="F131" s="388">
        <f t="shared" si="17"/>
        <v>0</v>
      </c>
      <c r="G131" s="388">
        <f t="shared" si="17"/>
        <v>0</v>
      </c>
      <c r="H131" s="388">
        <f t="shared" si="17"/>
        <v>5588.2224102564096</v>
      </c>
      <c r="I131" s="388">
        <f t="shared" si="17"/>
        <v>37704.960000000006</v>
      </c>
      <c r="J131" s="388">
        <f t="shared" si="17"/>
        <v>560</v>
      </c>
      <c r="K131" s="388" t="e">
        <f t="shared" si="17"/>
        <v>#REF!</v>
      </c>
      <c r="L131" s="388" t="e">
        <f t="shared" si="17"/>
        <v>#VALUE!</v>
      </c>
      <c r="M131" s="388" t="e">
        <f t="shared" si="17"/>
        <v>#VALUE!</v>
      </c>
      <c r="N131" s="388" t="e">
        <f t="shared" si="17"/>
        <v>#VALUE!</v>
      </c>
      <c r="O131" s="388">
        <f t="shared" si="17"/>
        <v>11871.883076923077</v>
      </c>
      <c r="P131" s="388">
        <f t="shared" si="17"/>
        <v>9665.8461538461524</v>
      </c>
      <c r="Q131" s="388">
        <f t="shared" si="17"/>
        <v>2206.0369230769234</v>
      </c>
      <c r="R131" s="388">
        <f t="shared" si="17"/>
        <v>1.8080000000000001</v>
      </c>
    </row>
    <row r="132" spans="1:18" s="4" customFormat="1" ht="18" customHeight="1">
      <c r="A132" s="956"/>
      <c r="B132" s="959"/>
      <c r="C132" s="962"/>
      <c r="D132" s="389" t="s">
        <v>10</v>
      </c>
      <c r="E132" s="388" t="e">
        <f t="shared" si="17"/>
        <v>#VALUE!</v>
      </c>
      <c r="F132" s="388">
        <f t="shared" si="17"/>
        <v>0</v>
      </c>
      <c r="G132" s="388">
        <f t="shared" si="17"/>
        <v>0</v>
      </c>
      <c r="H132" s="388">
        <f t="shared" si="17"/>
        <v>6623.0216410256407</v>
      </c>
      <c r="I132" s="388">
        <f t="shared" si="17"/>
        <v>37704.960000000006</v>
      </c>
      <c r="J132" s="388">
        <f t="shared" si="17"/>
        <v>560</v>
      </c>
      <c r="K132" s="388" t="e">
        <f t="shared" si="17"/>
        <v>#REF!</v>
      </c>
      <c r="L132" s="388" t="e">
        <f t="shared" si="17"/>
        <v>#VALUE!</v>
      </c>
      <c r="M132" s="388" t="e">
        <f t="shared" si="17"/>
        <v>#VALUE!</v>
      </c>
      <c r="N132" s="388" t="e">
        <f t="shared" si="17"/>
        <v>#VALUE!</v>
      </c>
      <c r="O132" s="388">
        <f t="shared" si="17"/>
        <v>14694.652307692308</v>
      </c>
      <c r="P132" s="388">
        <f t="shared" si="17"/>
        <v>11924.061538461538</v>
      </c>
      <c r="Q132" s="388">
        <f t="shared" si="17"/>
        <v>2770.5907692307696</v>
      </c>
      <c r="R132" s="388">
        <f t="shared" si="17"/>
        <v>2.2303999999999999</v>
      </c>
    </row>
    <row r="133" spans="1:18" s="4" customFormat="1" ht="18" customHeight="1">
      <c r="A133" s="956"/>
      <c r="B133" s="959"/>
      <c r="C133" s="962"/>
      <c r="D133" s="389" t="s">
        <v>11</v>
      </c>
      <c r="E133" s="388" t="e">
        <f t="shared" si="17"/>
        <v>#VALUE!</v>
      </c>
      <c r="F133" s="388">
        <f t="shared" si="17"/>
        <v>0</v>
      </c>
      <c r="G133" s="388">
        <f t="shared" si="17"/>
        <v>0</v>
      </c>
      <c r="H133" s="388">
        <f t="shared" si="17"/>
        <v>8347.6870256410257</v>
      </c>
      <c r="I133" s="388">
        <f t="shared" si="17"/>
        <v>37704.960000000006</v>
      </c>
      <c r="J133" s="388">
        <f t="shared" si="17"/>
        <v>560</v>
      </c>
      <c r="K133" s="388" t="e">
        <f t="shared" si="17"/>
        <v>#REF!</v>
      </c>
      <c r="L133" s="388" t="e">
        <f t="shared" si="17"/>
        <v>#VALUE!</v>
      </c>
      <c r="M133" s="388" t="e">
        <f t="shared" si="17"/>
        <v>#VALUE!</v>
      </c>
      <c r="N133" s="388" t="e">
        <f t="shared" si="17"/>
        <v>#VALUE!</v>
      </c>
      <c r="O133" s="388">
        <f t="shared" si="17"/>
        <v>18394.190769230769</v>
      </c>
      <c r="P133" s="388">
        <f t="shared" si="17"/>
        <v>14883.692307692307</v>
      </c>
      <c r="Q133" s="388">
        <f t="shared" si="17"/>
        <v>3510.4984615384624</v>
      </c>
      <c r="R133" s="388">
        <f t="shared" si="17"/>
        <v>2.7840000000000003</v>
      </c>
    </row>
    <row r="134" spans="1:18" s="4" customFormat="1" ht="18" customHeight="1">
      <c r="A134" s="956"/>
      <c r="B134" s="959"/>
      <c r="C134" s="962"/>
      <c r="D134" s="391" t="s">
        <v>12</v>
      </c>
      <c r="E134" s="388" t="e">
        <f t="shared" si="17"/>
        <v>#VALUE!</v>
      </c>
      <c r="F134" s="388">
        <f t="shared" si="17"/>
        <v>0</v>
      </c>
      <c r="G134" s="388">
        <f t="shared" si="17"/>
        <v>0</v>
      </c>
      <c r="H134" s="388">
        <f t="shared" si="17"/>
        <v>10762.218564102563</v>
      </c>
      <c r="I134" s="388">
        <f t="shared" si="17"/>
        <v>37704.960000000006</v>
      </c>
      <c r="J134" s="388">
        <f t="shared" si="17"/>
        <v>560</v>
      </c>
      <c r="K134" s="388" t="e">
        <f t="shared" si="17"/>
        <v>#REF!</v>
      </c>
      <c r="L134" s="388" t="e">
        <f t="shared" si="17"/>
        <v>#VALUE!</v>
      </c>
      <c r="M134" s="388" t="e">
        <f t="shared" si="17"/>
        <v>#VALUE!</v>
      </c>
      <c r="N134" s="388" t="e">
        <f t="shared" si="17"/>
        <v>#VALUE!</v>
      </c>
      <c r="O134" s="388">
        <f t="shared" si="17"/>
        <v>23184.344615384616</v>
      </c>
      <c r="P134" s="388">
        <f t="shared" si="17"/>
        <v>18715.815384615384</v>
      </c>
      <c r="Q134" s="388">
        <f t="shared" si="17"/>
        <v>4468.5292307692316</v>
      </c>
      <c r="R134" s="388">
        <f t="shared" si="17"/>
        <v>3.5008000000000004</v>
      </c>
    </row>
    <row r="135" spans="1:18" s="4" customFormat="1" ht="18" customHeight="1">
      <c r="A135" s="956"/>
      <c r="B135" s="959"/>
      <c r="C135" s="962"/>
      <c r="D135" s="389" t="s">
        <v>13</v>
      </c>
      <c r="E135" s="388" t="e">
        <f t="shared" si="17"/>
        <v>#VALUE!</v>
      </c>
      <c r="F135" s="388">
        <f t="shared" si="17"/>
        <v>0</v>
      </c>
      <c r="G135" s="388">
        <f t="shared" si="17"/>
        <v>0</v>
      </c>
      <c r="H135" s="388">
        <f t="shared" si="17"/>
        <v>13521.683179487178</v>
      </c>
      <c r="I135" s="388">
        <f t="shared" si="17"/>
        <v>37704.960000000006</v>
      </c>
      <c r="J135" s="388">
        <f t="shared" si="17"/>
        <v>560</v>
      </c>
      <c r="K135" s="388" t="e">
        <f t="shared" si="17"/>
        <v>#REF!</v>
      </c>
      <c r="L135" s="388" t="e">
        <f t="shared" si="17"/>
        <v>#VALUE!</v>
      </c>
      <c r="M135" s="388" t="e">
        <f t="shared" si="17"/>
        <v>#VALUE!</v>
      </c>
      <c r="N135" s="388" t="e">
        <f t="shared" si="17"/>
        <v>#VALUE!</v>
      </c>
      <c r="O135" s="388">
        <f t="shared" si="17"/>
        <v>29407.267692307687</v>
      </c>
      <c r="P135" s="388">
        <f t="shared" si="17"/>
        <v>23694.15384615384</v>
      </c>
      <c r="Q135" s="388">
        <f t="shared" si="17"/>
        <v>5713.1138461538458</v>
      </c>
      <c r="R135" s="388">
        <f t="shared" si="17"/>
        <v>4.4319999999999995</v>
      </c>
    </row>
    <row r="136" spans="1:18" s="4" customFormat="1" ht="18" customHeight="1">
      <c r="A136" s="967"/>
      <c r="B136" s="968"/>
      <c r="C136" s="969"/>
      <c r="D136" s="387" t="s">
        <v>14</v>
      </c>
      <c r="E136" s="388" t="e">
        <f t="shared" si="17"/>
        <v>#VALUE!</v>
      </c>
      <c r="F136" s="388">
        <f t="shared" si="17"/>
        <v>0</v>
      </c>
      <c r="G136" s="388">
        <f t="shared" si="17"/>
        <v>0</v>
      </c>
      <c r="H136" s="388">
        <f t="shared" si="17"/>
        <v>1449.0254871794875</v>
      </c>
      <c r="I136" s="388">
        <f t="shared" si="17"/>
        <v>37704.960000000006</v>
      </c>
      <c r="J136" s="388">
        <f t="shared" si="17"/>
        <v>560</v>
      </c>
      <c r="K136" s="388" t="e">
        <f t="shared" si="17"/>
        <v>#REF!</v>
      </c>
      <c r="L136" s="388" t="e">
        <f t="shared" si="17"/>
        <v>#VALUE!</v>
      </c>
      <c r="M136" s="388" t="e">
        <f t="shared" si="17"/>
        <v>#VALUE!</v>
      </c>
      <c r="N136" s="388" t="e">
        <f t="shared" si="17"/>
        <v>#VALUE!</v>
      </c>
      <c r="O136" s="388">
        <f t="shared" si="17"/>
        <v>2419.8830769230772</v>
      </c>
      <c r="P136" s="388">
        <f t="shared" si="17"/>
        <v>2104.2461538461539</v>
      </c>
      <c r="Q136" s="388">
        <f t="shared" si="17"/>
        <v>315.63692307692304</v>
      </c>
      <c r="R136" s="388">
        <f t="shared" si="17"/>
        <v>0.39360000000000001</v>
      </c>
    </row>
    <row r="137" spans="1:18" s="4" customFormat="1" ht="15.75" customHeight="1">
      <c r="A137" s="395"/>
      <c r="B137" s="396"/>
      <c r="C137" s="397"/>
      <c r="D137" s="387"/>
      <c r="E137" s="390"/>
      <c r="F137" s="390"/>
      <c r="G137" s="390"/>
      <c r="H137" s="390"/>
      <c r="I137" s="390"/>
      <c r="J137" s="390"/>
      <c r="K137" s="390"/>
      <c r="L137" s="390"/>
      <c r="M137" s="390"/>
      <c r="N137" s="390"/>
      <c r="O137" s="390"/>
      <c r="P137" s="431"/>
      <c r="Q137" s="432"/>
      <c r="R137" s="433"/>
    </row>
    <row r="138" spans="1:18" s="4" customFormat="1" ht="18" customHeight="1">
      <c r="A138" s="955" t="s">
        <v>4</v>
      </c>
      <c r="B138" s="958" t="s">
        <v>391</v>
      </c>
      <c r="C138" s="961" t="s">
        <v>278</v>
      </c>
      <c r="D138" s="387" t="s">
        <v>9</v>
      </c>
      <c r="E138" s="448" t="e">
        <f t="shared" ref="E138:R143" si="18">E79+E86+E96+E$108+E111+E$118+E$121</f>
        <v>#VALUE!</v>
      </c>
      <c r="F138" s="448">
        <f t="shared" si="18"/>
        <v>15274.6</v>
      </c>
      <c r="G138" s="448" t="e">
        <f t="shared" si="18"/>
        <v>#REF!</v>
      </c>
      <c r="H138" s="448" t="e">
        <f t="shared" si="18"/>
        <v>#REF!</v>
      </c>
      <c r="I138" s="448" t="e">
        <f t="shared" si="18"/>
        <v>#REF!</v>
      </c>
      <c r="J138" s="448" t="e">
        <f t="shared" si="18"/>
        <v>#REF!</v>
      </c>
      <c r="K138" s="448" t="e">
        <f t="shared" si="18"/>
        <v>#REF!</v>
      </c>
      <c r="L138" s="448" t="e">
        <f t="shared" si="18"/>
        <v>#VALUE!</v>
      </c>
      <c r="M138" s="448" t="e">
        <f t="shared" si="18"/>
        <v>#VALUE!</v>
      </c>
      <c r="N138" s="448" t="e">
        <f t="shared" si="18"/>
        <v>#VALUE!</v>
      </c>
      <c r="O138" s="448" t="e">
        <f t="shared" si="18"/>
        <v>#REF!</v>
      </c>
      <c r="P138" s="448" t="e">
        <f t="shared" si="18"/>
        <v>#REF!</v>
      </c>
      <c r="Q138" s="448" t="e">
        <f t="shared" si="18"/>
        <v>#REF!</v>
      </c>
      <c r="R138" s="448" t="e">
        <f t="shared" si="18"/>
        <v>#REF!</v>
      </c>
    </row>
    <row r="139" spans="1:18" s="4" customFormat="1" ht="18" customHeight="1">
      <c r="A139" s="956"/>
      <c r="B139" s="959"/>
      <c r="C139" s="962"/>
      <c r="D139" s="389" t="s">
        <v>10</v>
      </c>
      <c r="E139" s="449" t="e">
        <f t="shared" si="18"/>
        <v>#VALUE!</v>
      </c>
      <c r="F139" s="449">
        <f t="shared" si="18"/>
        <v>18340</v>
      </c>
      <c r="G139" s="449" t="e">
        <f t="shared" si="18"/>
        <v>#REF!</v>
      </c>
      <c r="H139" s="449" t="e">
        <f t="shared" si="18"/>
        <v>#REF!</v>
      </c>
      <c r="I139" s="449" t="e">
        <f t="shared" si="18"/>
        <v>#REF!</v>
      </c>
      <c r="J139" s="449" t="e">
        <f t="shared" si="18"/>
        <v>#REF!</v>
      </c>
      <c r="K139" s="449" t="e">
        <f t="shared" si="18"/>
        <v>#REF!</v>
      </c>
      <c r="L139" s="449" t="e">
        <f t="shared" si="18"/>
        <v>#VALUE!</v>
      </c>
      <c r="M139" s="449" t="e">
        <f t="shared" si="18"/>
        <v>#VALUE!</v>
      </c>
      <c r="N139" s="449" t="e">
        <f t="shared" si="18"/>
        <v>#VALUE!</v>
      </c>
      <c r="O139" s="449" t="e">
        <f t="shared" si="18"/>
        <v>#REF!</v>
      </c>
      <c r="P139" s="449" t="e">
        <f t="shared" si="18"/>
        <v>#REF!</v>
      </c>
      <c r="Q139" s="449" t="e">
        <f t="shared" si="18"/>
        <v>#REF!</v>
      </c>
      <c r="R139" s="449" t="e">
        <f t="shared" si="18"/>
        <v>#REF!</v>
      </c>
    </row>
    <row r="140" spans="1:18" s="4" customFormat="1" ht="18" customHeight="1">
      <c r="A140" s="956"/>
      <c r="B140" s="959"/>
      <c r="C140" s="962"/>
      <c r="D140" s="389" t="s">
        <v>11</v>
      </c>
      <c r="E140" s="449" t="e">
        <f t="shared" si="18"/>
        <v>#VALUE!</v>
      </c>
      <c r="F140" s="449">
        <f t="shared" si="18"/>
        <v>22008</v>
      </c>
      <c r="G140" s="449" t="e">
        <f t="shared" si="18"/>
        <v>#REF!</v>
      </c>
      <c r="H140" s="449" t="e">
        <f t="shared" si="18"/>
        <v>#REF!</v>
      </c>
      <c r="I140" s="449" t="e">
        <f t="shared" si="18"/>
        <v>#REF!</v>
      </c>
      <c r="J140" s="449" t="e">
        <f t="shared" si="18"/>
        <v>#REF!</v>
      </c>
      <c r="K140" s="449" t="e">
        <f t="shared" si="18"/>
        <v>#REF!</v>
      </c>
      <c r="L140" s="449" t="e">
        <f t="shared" si="18"/>
        <v>#VALUE!</v>
      </c>
      <c r="M140" s="449" t="e">
        <f t="shared" si="18"/>
        <v>#VALUE!</v>
      </c>
      <c r="N140" s="449" t="e">
        <f t="shared" si="18"/>
        <v>#VALUE!</v>
      </c>
      <c r="O140" s="449" t="e">
        <f t="shared" si="18"/>
        <v>#REF!</v>
      </c>
      <c r="P140" s="449" t="e">
        <f t="shared" si="18"/>
        <v>#REF!</v>
      </c>
      <c r="Q140" s="449" t="e">
        <f t="shared" si="18"/>
        <v>#REF!</v>
      </c>
      <c r="R140" s="449" t="e">
        <f t="shared" si="18"/>
        <v>#REF!</v>
      </c>
    </row>
    <row r="141" spans="1:18" s="4" customFormat="1" ht="18" customHeight="1">
      <c r="A141" s="956"/>
      <c r="B141" s="959"/>
      <c r="C141" s="962"/>
      <c r="D141" s="391" t="s">
        <v>12</v>
      </c>
      <c r="E141" s="449" t="e">
        <f t="shared" si="18"/>
        <v>#VALUE!</v>
      </c>
      <c r="F141" s="449">
        <f t="shared" si="18"/>
        <v>26396.5</v>
      </c>
      <c r="G141" s="449" t="e">
        <f t="shared" si="18"/>
        <v>#REF!</v>
      </c>
      <c r="H141" s="449" t="e">
        <f t="shared" si="18"/>
        <v>#REF!</v>
      </c>
      <c r="I141" s="449" t="e">
        <f t="shared" si="18"/>
        <v>#REF!</v>
      </c>
      <c r="J141" s="449" t="e">
        <f t="shared" si="18"/>
        <v>#REF!</v>
      </c>
      <c r="K141" s="449" t="e">
        <f t="shared" si="18"/>
        <v>#REF!</v>
      </c>
      <c r="L141" s="449" t="e">
        <f t="shared" si="18"/>
        <v>#VALUE!</v>
      </c>
      <c r="M141" s="449" t="e">
        <f t="shared" si="18"/>
        <v>#VALUE!</v>
      </c>
      <c r="N141" s="449" t="e">
        <f t="shared" si="18"/>
        <v>#VALUE!</v>
      </c>
      <c r="O141" s="449" t="e">
        <f t="shared" si="18"/>
        <v>#REF!</v>
      </c>
      <c r="P141" s="449" t="e">
        <f t="shared" si="18"/>
        <v>#REF!</v>
      </c>
      <c r="Q141" s="449" t="e">
        <f t="shared" si="18"/>
        <v>#REF!</v>
      </c>
      <c r="R141" s="449" t="e">
        <f t="shared" si="18"/>
        <v>#REF!</v>
      </c>
    </row>
    <row r="142" spans="1:18" s="4" customFormat="1" ht="18" customHeight="1">
      <c r="A142" s="956"/>
      <c r="B142" s="959"/>
      <c r="C142" s="962"/>
      <c r="D142" s="389" t="s">
        <v>13</v>
      </c>
      <c r="E142" s="449" t="e">
        <f t="shared" si="18"/>
        <v>#VALUE!</v>
      </c>
      <c r="F142" s="449">
        <f t="shared" si="18"/>
        <v>31688.9</v>
      </c>
      <c r="G142" s="449" t="e">
        <f t="shared" si="18"/>
        <v>#REF!</v>
      </c>
      <c r="H142" s="449" t="e">
        <f t="shared" si="18"/>
        <v>#REF!</v>
      </c>
      <c r="I142" s="449" t="e">
        <f t="shared" si="18"/>
        <v>#REF!</v>
      </c>
      <c r="J142" s="449" t="e">
        <f t="shared" si="18"/>
        <v>#REF!</v>
      </c>
      <c r="K142" s="449" t="e">
        <f t="shared" si="18"/>
        <v>#REF!</v>
      </c>
      <c r="L142" s="449" t="e">
        <f t="shared" si="18"/>
        <v>#VALUE!</v>
      </c>
      <c r="M142" s="449" t="e">
        <f t="shared" si="18"/>
        <v>#VALUE!</v>
      </c>
      <c r="N142" s="449" t="e">
        <f t="shared" si="18"/>
        <v>#VALUE!</v>
      </c>
      <c r="O142" s="449" t="e">
        <f t="shared" si="18"/>
        <v>#REF!</v>
      </c>
      <c r="P142" s="449" t="e">
        <f t="shared" si="18"/>
        <v>#REF!</v>
      </c>
      <c r="Q142" s="449" t="e">
        <f t="shared" si="18"/>
        <v>#REF!</v>
      </c>
      <c r="R142" s="449" t="e">
        <f t="shared" si="18"/>
        <v>#REF!</v>
      </c>
    </row>
    <row r="143" spans="1:18" s="4" customFormat="1" ht="18" customHeight="1">
      <c r="A143" s="957"/>
      <c r="B143" s="960"/>
      <c r="C143" s="963"/>
      <c r="D143" s="393" t="s">
        <v>14</v>
      </c>
      <c r="E143" s="450" t="e">
        <f t="shared" si="18"/>
        <v>#REF!</v>
      </c>
      <c r="F143" s="450" t="e">
        <f t="shared" si="18"/>
        <v>#REF!</v>
      </c>
      <c r="G143" s="450" t="e">
        <f t="shared" si="18"/>
        <v>#REF!</v>
      </c>
      <c r="H143" s="450" t="e">
        <f t="shared" si="18"/>
        <v>#REF!</v>
      </c>
      <c r="I143" s="450" t="e">
        <f t="shared" si="18"/>
        <v>#REF!</v>
      </c>
      <c r="J143" s="450" t="e">
        <f t="shared" si="18"/>
        <v>#REF!</v>
      </c>
      <c r="K143" s="450" t="e">
        <f t="shared" si="18"/>
        <v>#REF!</v>
      </c>
      <c r="L143" s="450" t="e">
        <f t="shared" si="18"/>
        <v>#REF!</v>
      </c>
      <c r="M143" s="450" t="e">
        <f t="shared" si="18"/>
        <v>#REF!</v>
      </c>
      <c r="N143" s="450" t="e">
        <f t="shared" si="18"/>
        <v>#REF!</v>
      </c>
      <c r="O143" s="450" t="e">
        <f t="shared" si="18"/>
        <v>#REF!</v>
      </c>
      <c r="P143" s="450" t="e">
        <f t="shared" si="18"/>
        <v>#REF!</v>
      </c>
      <c r="Q143" s="450" t="e">
        <f t="shared" si="18"/>
        <v>#REF!</v>
      </c>
      <c r="R143" s="450" t="e">
        <f t="shared" si="18"/>
        <v>#REF!</v>
      </c>
    </row>
    <row r="144" spans="1:18" s="4" customFormat="1" ht="5.25" customHeight="1">
      <c r="A144" s="87"/>
      <c r="B144" s="79"/>
      <c r="C144" s="79"/>
      <c r="D144" s="87"/>
      <c r="E144" s="110"/>
      <c r="F144" s="83"/>
      <c r="G144" s="83"/>
      <c r="H144" s="83"/>
      <c r="I144" s="83"/>
      <c r="J144" s="83"/>
      <c r="K144" s="83"/>
      <c r="L144" s="83"/>
      <c r="M144" s="83"/>
      <c r="N144" s="83"/>
      <c r="O144" s="82"/>
      <c r="P144" s="82"/>
      <c r="Q144" s="52"/>
      <c r="R144" s="63"/>
    </row>
    <row r="145" spans="1:18" s="4" customFormat="1" ht="26.25" hidden="1" customHeight="1">
      <c r="A145" s="976" t="s">
        <v>399</v>
      </c>
      <c r="B145" s="976"/>
      <c r="C145" s="976"/>
      <c r="D145" s="976"/>
      <c r="E145" s="976"/>
      <c r="F145" s="976"/>
      <c r="G145" s="976"/>
      <c r="H145" s="976"/>
      <c r="I145" s="976"/>
      <c r="J145" s="976"/>
      <c r="K145" s="976"/>
      <c r="L145" s="976"/>
      <c r="M145" s="976"/>
      <c r="N145" s="976"/>
      <c r="O145" s="976"/>
      <c r="P145" s="82"/>
      <c r="Q145" s="52"/>
      <c r="R145" s="63"/>
    </row>
    <row r="146" spans="1:18" s="4" customFormat="1" ht="15" hidden="1">
      <c r="A146" s="107"/>
      <c r="B146" s="80"/>
      <c r="C146" s="81"/>
      <c r="D146" s="86"/>
      <c r="E146" s="108"/>
      <c r="F146" s="108"/>
      <c r="G146" s="108"/>
      <c r="H146" s="108"/>
      <c r="I146" s="108"/>
      <c r="J146" s="108"/>
      <c r="K146" s="108"/>
      <c r="L146" s="108"/>
      <c r="M146" s="109"/>
      <c r="N146" s="108"/>
      <c r="O146" s="82"/>
      <c r="P146" s="82"/>
      <c r="Q146" s="52"/>
      <c r="R146" s="63"/>
    </row>
    <row r="147" spans="1:18" s="4" customFormat="1" ht="20.25" hidden="1" customHeight="1">
      <c r="A147" s="970" t="s">
        <v>376</v>
      </c>
      <c r="B147" s="972" t="s">
        <v>377</v>
      </c>
      <c r="C147" s="974" t="s">
        <v>378</v>
      </c>
      <c r="D147" s="970" t="s">
        <v>91</v>
      </c>
      <c r="E147" s="964" t="s">
        <v>368</v>
      </c>
      <c r="F147" s="965"/>
      <c r="G147" s="965"/>
      <c r="H147" s="965"/>
      <c r="I147" s="965"/>
      <c r="J147" s="965"/>
      <c r="K147" s="965"/>
      <c r="L147" s="966"/>
      <c r="M147" s="324" t="s">
        <v>63</v>
      </c>
      <c r="N147" s="974" t="s">
        <v>379</v>
      </c>
      <c r="O147" s="323" t="s">
        <v>18</v>
      </c>
      <c r="P147" s="104" t="s">
        <v>19</v>
      </c>
      <c r="Q147" s="57" t="s">
        <v>19</v>
      </c>
      <c r="R147" s="58" t="s">
        <v>16</v>
      </c>
    </row>
    <row r="148" spans="1:18" s="4" customFormat="1" ht="20.25" hidden="1" customHeight="1">
      <c r="A148" s="971"/>
      <c r="B148" s="973"/>
      <c r="C148" s="975"/>
      <c r="D148" s="971"/>
      <c r="E148" s="327" t="s">
        <v>369</v>
      </c>
      <c r="F148" s="326" t="s">
        <v>370</v>
      </c>
      <c r="G148" s="328">
        <v>0</v>
      </c>
      <c r="H148" s="326" t="s">
        <v>257</v>
      </c>
      <c r="I148" s="326" t="s">
        <v>280</v>
      </c>
      <c r="J148" s="326" t="s">
        <v>261</v>
      </c>
      <c r="K148" s="326" t="s">
        <v>371</v>
      </c>
      <c r="L148" s="326" t="s">
        <v>372</v>
      </c>
      <c r="M148" s="326" t="s">
        <v>48</v>
      </c>
      <c r="N148" s="975"/>
      <c r="O148" s="325" t="s">
        <v>20</v>
      </c>
      <c r="P148" s="105" t="s">
        <v>21</v>
      </c>
      <c r="Q148" s="59" t="s">
        <v>22</v>
      </c>
      <c r="R148" s="60" t="s">
        <v>17</v>
      </c>
    </row>
    <row r="149" spans="1:18" s="4" customFormat="1" ht="17.25" hidden="1" customHeight="1">
      <c r="A149" s="329" t="s">
        <v>52</v>
      </c>
      <c r="B149" s="330" t="s">
        <v>53</v>
      </c>
      <c r="C149" s="330" t="s">
        <v>54</v>
      </c>
      <c r="D149" s="331" t="s">
        <v>55</v>
      </c>
      <c r="E149" s="332" t="s">
        <v>56</v>
      </c>
      <c r="F149" s="332" t="s">
        <v>57</v>
      </c>
      <c r="G149" s="332"/>
      <c r="H149" s="332" t="s">
        <v>58</v>
      </c>
      <c r="I149" s="332" t="s">
        <v>59</v>
      </c>
      <c r="J149" s="332" t="s">
        <v>60</v>
      </c>
      <c r="K149" s="332" t="s">
        <v>61</v>
      </c>
      <c r="L149" s="333" t="s">
        <v>373</v>
      </c>
      <c r="M149" s="333" t="s">
        <v>374</v>
      </c>
      <c r="N149" s="334" t="s">
        <v>375</v>
      </c>
      <c r="O149" s="332" t="s">
        <v>62</v>
      </c>
      <c r="P149" s="48"/>
      <c r="Q149" s="48"/>
      <c r="R149" s="49"/>
    </row>
    <row r="150" spans="1:18" s="4" customFormat="1" ht="18.75" hidden="1" customHeight="1">
      <c r="A150" s="335" t="s">
        <v>3</v>
      </c>
      <c r="B150" s="336" t="s">
        <v>380</v>
      </c>
      <c r="C150" s="337"/>
      <c r="D150" s="344"/>
      <c r="E150" s="345"/>
      <c r="F150" s="345"/>
      <c r="G150" s="345"/>
      <c r="H150" s="345"/>
      <c r="I150" s="345"/>
      <c r="J150" s="345"/>
      <c r="K150" s="345"/>
      <c r="L150" s="346"/>
      <c r="M150" s="346"/>
      <c r="N150" s="345"/>
      <c r="O150" s="347"/>
      <c r="P150" s="407"/>
      <c r="Q150" s="408"/>
      <c r="R150" s="409"/>
    </row>
    <row r="151" spans="1:18" s="4" customFormat="1" ht="18" hidden="1" customHeight="1">
      <c r="A151" s="315" t="s">
        <v>9</v>
      </c>
      <c r="B151" s="314" t="s">
        <v>73</v>
      </c>
      <c r="C151" s="318" t="s">
        <v>1</v>
      </c>
      <c r="D151" s="351" t="s">
        <v>9</v>
      </c>
      <c r="E151" s="353" t="e">
        <f>'NC-CLBD'!K5/25</f>
        <v>#VALUE!</v>
      </c>
      <c r="F151" s="353"/>
      <c r="G151" s="353">
        <f t="shared" ref="G151:G156" si="19">$Q$1*10*P151</f>
        <v>0</v>
      </c>
      <c r="H151" s="353">
        <f>'DCu-CLBD'!L23</f>
        <v>1551.8017307692305</v>
      </c>
      <c r="I151" s="353">
        <f>'VL-CLBD'!J16</f>
        <v>3002.4</v>
      </c>
      <c r="J151" s="353"/>
      <c r="K151" s="353"/>
      <c r="L151" s="353" t="e">
        <f t="shared" ref="L151:L156" si="20">SUM(E151:K151)</f>
        <v>#VALUE!</v>
      </c>
      <c r="M151" s="348" t="e">
        <f>L151*'He so chung'!$D$16/100</f>
        <v>#VALUE!</v>
      </c>
      <c r="N151" s="349" t="e">
        <f t="shared" ref="N151:N156" si="21">M151+L151</f>
        <v>#VALUE!</v>
      </c>
      <c r="O151" s="354">
        <f>'He so chung'!$D$18*R151</f>
        <v>3544.5</v>
      </c>
      <c r="P151" s="354">
        <f>'He so chung'!$D$19*R151</f>
        <v>2835.6</v>
      </c>
      <c r="Q151" s="411">
        <f>'He so chung'!$D$20*R151</f>
        <v>708.90000000000009</v>
      </c>
      <c r="R151" s="443">
        <f>'NC-CLBD'!J5/25</f>
        <v>0.53039999999999998</v>
      </c>
    </row>
    <row r="152" spans="1:18" s="4" customFormat="1" ht="18" hidden="1" customHeight="1">
      <c r="A152" s="351"/>
      <c r="B152" s="437"/>
      <c r="C152" s="438"/>
      <c r="D152" s="351" t="s">
        <v>10</v>
      </c>
      <c r="E152" s="353" t="e">
        <f>'NC-CLBD'!K7/25</f>
        <v>#VALUE!</v>
      </c>
      <c r="F152" s="353"/>
      <c r="G152" s="353">
        <f t="shared" si="19"/>
        <v>0</v>
      </c>
      <c r="H152" s="353">
        <f>'DCu-CLBD'!L24</f>
        <v>1939.7521634615382</v>
      </c>
      <c r="I152" s="353">
        <f>$I$151</f>
        <v>3002.4</v>
      </c>
      <c r="J152" s="353"/>
      <c r="K152" s="353"/>
      <c r="L152" s="353" t="e">
        <f t="shared" si="20"/>
        <v>#VALUE!</v>
      </c>
      <c r="M152" s="348" t="e">
        <f>L152*'He so chung'!$D$16/100</f>
        <v>#VALUE!</v>
      </c>
      <c r="N152" s="349" t="e">
        <f t="shared" si="21"/>
        <v>#VALUE!</v>
      </c>
      <c r="O152" s="354">
        <f>'He so chung'!$D$18*R152</f>
        <v>4608.3846153846152</v>
      </c>
      <c r="P152" s="354">
        <f>'He so chung'!$D$19*R152</f>
        <v>3686.707692307692</v>
      </c>
      <c r="Q152" s="411">
        <f>'He so chung'!$D$20*R152</f>
        <v>921.67692307692312</v>
      </c>
      <c r="R152" s="443">
        <f>'NC-CLBD'!J7/25</f>
        <v>0.68959999999999999</v>
      </c>
    </row>
    <row r="153" spans="1:18" s="4" customFormat="1" ht="18" hidden="1" customHeight="1">
      <c r="A153" s="351"/>
      <c r="B153" s="437"/>
      <c r="C153" s="438"/>
      <c r="D153" s="351" t="s">
        <v>11</v>
      </c>
      <c r="E153" s="353" t="e">
        <f>'NC-CLBD'!K9/25</f>
        <v>#VALUE!</v>
      </c>
      <c r="F153" s="353"/>
      <c r="G153" s="353">
        <f t="shared" si="19"/>
        <v>0</v>
      </c>
      <c r="H153" s="353">
        <f>'DCu-CLBD'!L25</f>
        <v>2586.3362179487176</v>
      </c>
      <c r="I153" s="353">
        <f>$I$151</f>
        <v>3002.4</v>
      </c>
      <c r="J153" s="353"/>
      <c r="K153" s="353"/>
      <c r="L153" s="353" t="e">
        <f t="shared" si="20"/>
        <v>#VALUE!</v>
      </c>
      <c r="M153" s="348" t="e">
        <f>L153*'He so chung'!$D$16/100</f>
        <v>#VALUE!</v>
      </c>
      <c r="N153" s="349" t="e">
        <f t="shared" si="21"/>
        <v>#VALUE!</v>
      </c>
      <c r="O153" s="354">
        <f>'He so chung'!$D$18*R153</f>
        <v>5987.6923076923067</v>
      </c>
      <c r="P153" s="354">
        <f>'He so chung'!$D$19*R153</f>
        <v>4790.1538461538457</v>
      </c>
      <c r="Q153" s="411">
        <f>'He so chung'!$D$20*R153</f>
        <v>1197.5384615384614</v>
      </c>
      <c r="R153" s="443">
        <f>'NC-CLBD'!J9/25</f>
        <v>0.89599999999999991</v>
      </c>
    </row>
    <row r="154" spans="1:18" s="4" customFormat="1" ht="18" hidden="1" customHeight="1">
      <c r="A154" s="351"/>
      <c r="B154" s="437"/>
      <c r="C154" s="438"/>
      <c r="D154" s="351" t="s">
        <v>12</v>
      </c>
      <c r="E154" s="353" t="e">
        <f>'NC-CLBD'!K11/25</f>
        <v>#VALUE!</v>
      </c>
      <c r="F154" s="353"/>
      <c r="G154" s="353">
        <f t="shared" si="19"/>
        <v>0</v>
      </c>
      <c r="H154" s="353">
        <f>'DCu-CLBD'!L26</f>
        <v>3491.5538942307689</v>
      </c>
      <c r="I154" s="353">
        <f>$I$151</f>
        <v>3002.4</v>
      </c>
      <c r="J154" s="353"/>
      <c r="K154" s="353"/>
      <c r="L154" s="353" t="e">
        <f t="shared" si="20"/>
        <v>#VALUE!</v>
      </c>
      <c r="M154" s="348" t="e">
        <f>L154*'He so chung'!$D$16/100</f>
        <v>#VALUE!</v>
      </c>
      <c r="N154" s="349" t="e">
        <f t="shared" si="21"/>
        <v>#VALUE!</v>
      </c>
      <c r="O154" s="354">
        <f>'He so chung'!$D$18*R154</f>
        <v>7784</v>
      </c>
      <c r="P154" s="354">
        <f>'He so chung'!$D$19*R154</f>
        <v>6227.2</v>
      </c>
      <c r="Q154" s="411">
        <f>'He so chung'!$D$20*R154</f>
        <v>1556.8000000000002</v>
      </c>
      <c r="R154" s="443">
        <f>'NC-CLBD'!J11/25</f>
        <v>1.1648000000000001</v>
      </c>
    </row>
    <row r="155" spans="1:18" s="4" customFormat="1" ht="18" hidden="1" customHeight="1">
      <c r="A155" s="351"/>
      <c r="B155" s="437"/>
      <c r="C155" s="438"/>
      <c r="D155" s="351" t="s">
        <v>13</v>
      </c>
      <c r="E155" s="353" t="e">
        <f>'NC-CLBD'!K13/25</f>
        <v>#VALUE!</v>
      </c>
      <c r="F155" s="353"/>
      <c r="G155" s="353">
        <f t="shared" si="19"/>
        <v>0</v>
      </c>
      <c r="H155" s="353">
        <f>'DCu-CLBD'!L27</f>
        <v>4526.0883814102563</v>
      </c>
      <c r="I155" s="353">
        <f>$I$151</f>
        <v>3002.4</v>
      </c>
      <c r="J155" s="353"/>
      <c r="K155" s="353"/>
      <c r="L155" s="353" t="e">
        <f t="shared" si="20"/>
        <v>#VALUE!</v>
      </c>
      <c r="M155" s="348" t="e">
        <f>L155*'He so chung'!$D$16/100</f>
        <v>#VALUE!</v>
      </c>
      <c r="N155" s="349" t="e">
        <f t="shared" si="21"/>
        <v>#VALUE!</v>
      </c>
      <c r="O155" s="354">
        <f>'He so chung'!$D$18*R155</f>
        <v>10120.26923076923</v>
      </c>
      <c r="P155" s="354">
        <f>'He so chung'!$D$19*R155</f>
        <v>8096.2153846153842</v>
      </c>
      <c r="Q155" s="411">
        <f>'He so chung'!$D$20*R155</f>
        <v>2024.0538461538463</v>
      </c>
      <c r="R155" s="443">
        <f>'NC-CLBD'!J13/25</f>
        <v>1.5144</v>
      </c>
    </row>
    <row r="156" spans="1:18" s="4" customFormat="1" ht="18" hidden="1" customHeight="1">
      <c r="A156" s="351"/>
      <c r="B156" s="437"/>
      <c r="C156" s="438"/>
      <c r="D156" s="351" t="s">
        <v>14</v>
      </c>
      <c r="E156" s="353">
        <f>'NC-CLBD'!K15/25</f>
        <v>0</v>
      </c>
      <c r="F156" s="353"/>
      <c r="G156" s="353">
        <f t="shared" si="19"/>
        <v>0</v>
      </c>
      <c r="H156" s="353">
        <f>'DCu-CLBD'!L28</f>
        <v>0</v>
      </c>
      <c r="I156" s="353">
        <f>$I$151</f>
        <v>3002.4</v>
      </c>
      <c r="J156" s="353"/>
      <c r="K156" s="353"/>
      <c r="L156" s="353">
        <f t="shared" si="20"/>
        <v>3002.4</v>
      </c>
      <c r="M156" s="348">
        <f>L156*'He so chung'!$D$16/100</f>
        <v>750.6</v>
      </c>
      <c r="N156" s="349">
        <f t="shared" si="21"/>
        <v>3753</v>
      </c>
      <c r="O156" s="354">
        <f>'He so chung'!$D$18*R156</f>
        <v>0</v>
      </c>
      <c r="P156" s="354">
        <f>'He so chung'!$D$19*R156</f>
        <v>0</v>
      </c>
      <c r="Q156" s="411">
        <f>'He so chung'!$D$20*R156</f>
        <v>0</v>
      </c>
      <c r="R156" s="443">
        <f>'NC-CLBD'!J15/25</f>
        <v>0</v>
      </c>
    </row>
    <row r="157" spans="1:18" s="4" customFormat="1" ht="14.25" hidden="1" customHeight="1">
      <c r="A157" s="351"/>
      <c r="B157" s="437"/>
      <c r="C157" s="438"/>
      <c r="D157" s="351"/>
      <c r="E157" s="353"/>
      <c r="F157" s="353"/>
      <c r="G157" s="353"/>
      <c r="H157" s="353"/>
      <c r="I157" s="353"/>
      <c r="J157" s="353"/>
      <c r="K157" s="353"/>
      <c r="L157" s="353"/>
      <c r="M157" s="348"/>
      <c r="N157" s="349"/>
      <c r="O157" s="354"/>
      <c r="P157" s="354"/>
      <c r="Q157" s="411"/>
      <c r="R157" s="443"/>
    </row>
    <row r="158" spans="1:18" s="4" customFormat="1" ht="16.5" hidden="1" customHeight="1">
      <c r="A158" s="315" t="s">
        <v>10</v>
      </c>
      <c r="B158" s="314" t="s">
        <v>381</v>
      </c>
      <c r="C158" s="318" t="s">
        <v>278</v>
      </c>
      <c r="D158" s="351" t="s">
        <v>9</v>
      </c>
      <c r="E158" s="353" t="e">
        <f>'NC-CLBD'!K17/100</f>
        <v>#VALUE!</v>
      </c>
      <c r="F158" s="353"/>
      <c r="G158" s="353">
        <f t="shared" ref="G158:G163" si="22">$Q$1*10*P158</f>
        <v>0</v>
      </c>
      <c r="H158" s="353">
        <f>'DCu-CLBD'!L67</f>
        <v>31.170158653846148</v>
      </c>
      <c r="I158" s="353">
        <f>'VL-CLBD'!J45</f>
        <v>58.549500000000002</v>
      </c>
      <c r="J158" s="353">
        <f>'TBI-CLBD'!I23</f>
        <v>148.16</v>
      </c>
      <c r="K158" s="353" t="e">
        <f>#REF!</f>
        <v>#REF!</v>
      </c>
      <c r="L158" s="353" t="e">
        <f t="shared" ref="L158:L163" si="23">SUM(E158:K158)</f>
        <v>#VALUE!</v>
      </c>
      <c r="M158" s="348" t="e">
        <f>L158*'He so chung'!$D$16/100</f>
        <v>#VALUE!</v>
      </c>
      <c r="N158" s="349" t="e">
        <f t="shared" ref="N158:N163" si="24">M158+L158</f>
        <v>#VALUE!</v>
      </c>
      <c r="O158" s="354">
        <f>'He so chung'!$D$18*R158</f>
        <v>120.28846153846153</v>
      </c>
      <c r="P158" s="354">
        <f>'He so chung'!$D$19*R158</f>
        <v>96.230769230769212</v>
      </c>
      <c r="Q158" s="411">
        <f>'He so chung'!$D$20*R158</f>
        <v>24.057692307692307</v>
      </c>
      <c r="R158" s="443">
        <f>'NC-CLBD'!J17/100</f>
        <v>1.7999999999999999E-2</v>
      </c>
    </row>
    <row r="159" spans="1:18" s="4" customFormat="1" ht="16.5" hidden="1" customHeight="1">
      <c r="A159" s="315"/>
      <c r="B159" s="314"/>
      <c r="C159" s="318"/>
      <c r="D159" s="351" t="s">
        <v>10</v>
      </c>
      <c r="E159" s="353" t="e">
        <f>'NC-CLBD'!K19/100</f>
        <v>#VALUE!</v>
      </c>
      <c r="F159" s="353"/>
      <c r="G159" s="353">
        <f t="shared" si="22"/>
        <v>0</v>
      </c>
      <c r="H159" s="353">
        <f>'DCu-CLBD'!L68</f>
        <v>38.962698317307684</v>
      </c>
      <c r="I159" s="353">
        <f>$I$158</f>
        <v>58.549500000000002</v>
      </c>
      <c r="J159" s="353">
        <f>'TBI-CLBD'!K23</f>
        <v>181.56000000000003</v>
      </c>
      <c r="K159" s="353" t="e">
        <f>#REF!</f>
        <v>#REF!</v>
      </c>
      <c r="L159" s="353" t="e">
        <f t="shared" si="23"/>
        <v>#VALUE!</v>
      </c>
      <c r="M159" s="348" t="e">
        <f>L159*'He so chung'!$D$16/100</f>
        <v>#VALUE!</v>
      </c>
      <c r="N159" s="349" t="e">
        <f t="shared" si="24"/>
        <v>#VALUE!</v>
      </c>
      <c r="O159" s="354">
        <f>'He so chung'!$D$18*R159</f>
        <v>150.36057692307691</v>
      </c>
      <c r="P159" s="354">
        <f>'He so chung'!$D$19*R159</f>
        <v>120.28846153846152</v>
      </c>
      <c r="Q159" s="411">
        <f>'He so chung'!$D$20*R159</f>
        <v>30.072115384615387</v>
      </c>
      <c r="R159" s="443">
        <f>'NC-CLBD'!J19/100</f>
        <v>2.2499999999999999E-2</v>
      </c>
    </row>
    <row r="160" spans="1:18" s="4" customFormat="1" ht="16.5" hidden="1" customHeight="1">
      <c r="A160" s="315"/>
      <c r="B160" s="314"/>
      <c r="C160" s="318"/>
      <c r="D160" s="351" t="s">
        <v>11</v>
      </c>
      <c r="E160" s="353" t="e">
        <f>'NC-CLBD'!K21/100</f>
        <v>#VALUE!</v>
      </c>
      <c r="F160" s="353"/>
      <c r="G160" s="353">
        <f t="shared" si="22"/>
        <v>0</v>
      </c>
      <c r="H160" s="353">
        <f>'DCu-CLBD'!L69</f>
        <v>51.950264423076916</v>
      </c>
      <c r="I160" s="353">
        <f>$I$158</f>
        <v>58.549500000000002</v>
      </c>
      <c r="J160" s="353">
        <f>'TBI-CLBD'!M23</f>
        <v>242.28</v>
      </c>
      <c r="K160" s="353" t="e">
        <f>#REF!</f>
        <v>#REF!</v>
      </c>
      <c r="L160" s="353" t="e">
        <f t="shared" si="23"/>
        <v>#VALUE!</v>
      </c>
      <c r="M160" s="348" t="e">
        <f>L160*'He so chung'!$D$16/100</f>
        <v>#VALUE!</v>
      </c>
      <c r="N160" s="349" t="e">
        <f t="shared" si="24"/>
        <v>#VALUE!</v>
      </c>
      <c r="O160" s="354">
        <f>'He so chung'!$D$18*R160</f>
        <v>200.48076923076923</v>
      </c>
      <c r="P160" s="354">
        <f>'He so chung'!$D$19*R160</f>
        <v>160.38461538461536</v>
      </c>
      <c r="Q160" s="411">
        <f>'He so chung'!$D$20*R160</f>
        <v>40.096153846153847</v>
      </c>
      <c r="R160" s="443">
        <f>'NC-CLBD'!J21/100</f>
        <v>0.03</v>
      </c>
    </row>
    <row r="161" spans="1:18" s="4" customFormat="1" ht="16.5" hidden="1" customHeight="1">
      <c r="A161" s="315"/>
      <c r="B161" s="314"/>
      <c r="C161" s="318"/>
      <c r="D161" s="351" t="s">
        <v>12</v>
      </c>
      <c r="E161" s="353" t="e">
        <f>'NC-CLBD'!K23/100</f>
        <v>#VALUE!</v>
      </c>
      <c r="F161" s="353"/>
      <c r="G161" s="353">
        <f t="shared" si="22"/>
        <v>0</v>
      </c>
      <c r="H161" s="353">
        <f>'DCu-CLBD'!L70</f>
        <v>70.132856971153842</v>
      </c>
      <c r="I161" s="353">
        <f>$I$158</f>
        <v>58.549500000000002</v>
      </c>
      <c r="J161" s="353">
        <f>'TBI-CLBD'!O23</f>
        <v>329.72</v>
      </c>
      <c r="K161" s="353" t="e">
        <f>#REF!</f>
        <v>#REF!</v>
      </c>
      <c r="L161" s="353" t="e">
        <f t="shared" si="23"/>
        <v>#VALUE!</v>
      </c>
      <c r="M161" s="348" t="e">
        <f>L161*'He so chung'!$D$16/100</f>
        <v>#VALUE!</v>
      </c>
      <c r="N161" s="349" t="e">
        <f t="shared" si="24"/>
        <v>#VALUE!</v>
      </c>
      <c r="O161" s="354">
        <f>'He so chung'!$D$18*R161</f>
        <v>270.64903846153851</v>
      </c>
      <c r="P161" s="354">
        <f>'He so chung'!$D$19*R161</f>
        <v>216.5192307692308</v>
      </c>
      <c r="Q161" s="411">
        <f>'He so chung'!$D$20*R161</f>
        <v>54.129807692307708</v>
      </c>
      <c r="R161" s="443">
        <f>'NC-CLBD'!J23/100</f>
        <v>4.0500000000000008E-2</v>
      </c>
    </row>
    <row r="162" spans="1:18" s="4" customFormat="1" ht="16.5" hidden="1" customHeight="1">
      <c r="A162" s="315"/>
      <c r="B162" s="314"/>
      <c r="C162" s="318"/>
      <c r="D162" s="351" t="s">
        <v>13</v>
      </c>
      <c r="E162" s="353" t="e">
        <f>'NC-CLBD'!K25/100</f>
        <v>#VALUE!</v>
      </c>
      <c r="F162" s="353"/>
      <c r="G162" s="353">
        <f t="shared" si="22"/>
        <v>0</v>
      </c>
      <c r="H162" s="353">
        <f>'DCu-CLBD'!L71</f>
        <v>90.9129627403846</v>
      </c>
      <c r="I162" s="353">
        <f>$I$158</f>
        <v>58.549500000000002</v>
      </c>
      <c r="J162" s="353">
        <f>'TBI-CLBD'!Q23</f>
        <v>417.16</v>
      </c>
      <c r="K162" s="353" t="e">
        <f>#REF!</f>
        <v>#REF!</v>
      </c>
      <c r="L162" s="353" t="e">
        <f t="shared" si="23"/>
        <v>#VALUE!</v>
      </c>
      <c r="M162" s="348" t="e">
        <f>L162*'He so chung'!$D$16/100</f>
        <v>#VALUE!</v>
      </c>
      <c r="N162" s="349" t="e">
        <f t="shared" si="24"/>
        <v>#VALUE!</v>
      </c>
      <c r="O162" s="354">
        <f>'He so chung'!$D$18*R162</f>
        <v>347.5</v>
      </c>
      <c r="P162" s="354">
        <f>'He so chung'!$D$19*R162</f>
        <v>278</v>
      </c>
      <c r="Q162" s="411">
        <f>'He so chung'!$D$20*R162</f>
        <v>69.500000000000014</v>
      </c>
      <c r="R162" s="443">
        <f>'NC-CLBD'!J25/100</f>
        <v>5.2000000000000005E-2</v>
      </c>
    </row>
    <row r="163" spans="1:18" s="4" customFormat="1" ht="16.5" hidden="1" customHeight="1">
      <c r="A163" s="315"/>
      <c r="B163" s="314"/>
      <c r="C163" s="318"/>
      <c r="D163" s="351" t="s">
        <v>14</v>
      </c>
      <c r="E163" s="353" t="e">
        <f>'NC-CLBD'!#REF!/100</f>
        <v>#REF!</v>
      </c>
      <c r="F163" s="353"/>
      <c r="G163" s="353" t="e">
        <f t="shared" si="22"/>
        <v>#REF!</v>
      </c>
      <c r="H163" s="353">
        <f>'DCu-CLBD'!L72</f>
        <v>0</v>
      </c>
      <c r="I163" s="353">
        <f>$I$158</f>
        <v>58.549500000000002</v>
      </c>
      <c r="J163" s="353" t="e">
        <f>'TBI-CLBD'!#REF!</f>
        <v>#REF!</v>
      </c>
      <c r="K163" s="353" t="e">
        <f>#REF!</f>
        <v>#REF!</v>
      </c>
      <c r="L163" s="353" t="e">
        <f t="shared" si="23"/>
        <v>#REF!</v>
      </c>
      <c r="M163" s="348" t="e">
        <f>L163*'He so chung'!$D$16/100</f>
        <v>#REF!</v>
      </c>
      <c r="N163" s="349" t="e">
        <f t="shared" si="24"/>
        <v>#REF!</v>
      </c>
      <c r="O163" s="354" t="e">
        <f>'He so chung'!$D$18*R163</f>
        <v>#REF!</v>
      </c>
      <c r="P163" s="354" t="e">
        <f>'He so chung'!$D$19*R163</f>
        <v>#REF!</v>
      </c>
      <c r="Q163" s="411" t="e">
        <f>'He so chung'!$D$20*R163</f>
        <v>#REF!</v>
      </c>
      <c r="R163" s="443" t="e">
        <f>'NC-CLBD'!#REF!/100</f>
        <v>#REF!</v>
      </c>
    </row>
    <row r="164" spans="1:18" s="4" customFormat="1" ht="14.25" hidden="1" customHeight="1">
      <c r="A164" s="314"/>
      <c r="B164" s="314"/>
      <c r="C164" s="314"/>
      <c r="D164" s="351"/>
      <c r="E164" s="353"/>
      <c r="F164" s="353"/>
      <c r="G164" s="353"/>
      <c r="H164" s="353"/>
      <c r="I164" s="353"/>
      <c r="J164" s="353"/>
      <c r="K164" s="353"/>
      <c r="L164" s="353"/>
      <c r="M164" s="348"/>
      <c r="N164" s="349"/>
      <c r="O164" s="354"/>
      <c r="P164" s="354"/>
      <c r="Q164" s="411"/>
      <c r="R164" s="443"/>
    </row>
    <row r="165" spans="1:18" s="4" customFormat="1" ht="15.75" hidden="1" customHeight="1">
      <c r="A165" s="315" t="s">
        <v>11</v>
      </c>
      <c r="B165" s="314" t="s">
        <v>77</v>
      </c>
      <c r="C165" s="318" t="s">
        <v>278</v>
      </c>
      <c r="D165" s="351" t="s">
        <v>9</v>
      </c>
      <c r="E165" s="353" t="e">
        <f>'NC-CLBD'!K28/100</f>
        <v>#VALUE!</v>
      </c>
      <c r="F165" s="353">
        <f>'NC-CLBD'!K30/100</f>
        <v>5567.5</v>
      </c>
      <c r="G165" s="353">
        <f t="shared" ref="G165:G170" si="25">$Q$1*10*P165</f>
        <v>0</v>
      </c>
      <c r="H165" s="353">
        <f>'DCu-CLBD'!L112</f>
        <v>554.38364423076905</v>
      </c>
      <c r="I165" s="353">
        <f>'VL-CLBD'!J39</f>
        <v>1170.99</v>
      </c>
      <c r="J165" s="353">
        <f>'TBI-CLBD'!I73</f>
        <v>2689.52</v>
      </c>
      <c r="K165" s="353" t="e">
        <f>#REF!</f>
        <v>#REF!</v>
      </c>
      <c r="L165" s="353" t="e">
        <f t="shared" ref="L165:L170" si="26">SUM(E165:K165)</f>
        <v>#VALUE!</v>
      </c>
      <c r="M165" s="348" t="e">
        <f>L165*'He so chung'!$D$16/100</f>
        <v>#VALUE!</v>
      </c>
      <c r="N165" s="349" t="e">
        <f t="shared" ref="N165:N170" si="27">M165+L165</f>
        <v>#VALUE!</v>
      </c>
      <c r="O165" s="354">
        <f>'He so chung'!$D$18*R165</f>
        <v>2034.8798076923076</v>
      </c>
      <c r="P165" s="354">
        <f>'He so chung'!$D$19*R165</f>
        <v>1627.903846153846</v>
      </c>
      <c r="Q165" s="411">
        <f>'He so chung'!$D$20*R165</f>
        <v>406.97596153846155</v>
      </c>
      <c r="R165" s="443">
        <f>'NC-CLBD'!J28/100</f>
        <v>0.30449999999999999</v>
      </c>
    </row>
    <row r="166" spans="1:18" s="4" customFormat="1" ht="15.75" hidden="1" customHeight="1">
      <c r="A166" s="315"/>
      <c r="B166" s="314"/>
      <c r="C166" s="318"/>
      <c r="D166" s="351" t="s">
        <v>10</v>
      </c>
      <c r="E166" s="353" t="e">
        <f>'NC-CLBD'!K32/100</f>
        <v>#VALUE!</v>
      </c>
      <c r="F166" s="353">
        <f>'NC-CLBD'!K34/100</f>
        <v>6694.1</v>
      </c>
      <c r="G166" s="353">
        <f t="shared" si="25"/>
        <v>0</v>
      </c>
      <c r="H166" s="353">
        <f>'DCu-CLBD'!L113</f>
        <v>692.97955528846137</v>
      </c>
      <c r="I166" s="353">
        <f>$I$165</f>
        <v>1170.99</v>
      </c>
      <c r="J166" s="353">
        <f>'TBI-CLBD'!K73</f>
        <v>3361.56</v>
      </c>
      <c r="K166" s="353" t="e">
        <f>#REF!</f>
        <v>#REF!</v>
      </c>
      <c r="L166" s="353" t="e">
        <f t="shared" si="26"/>
        <v>#VALUE!</v>
      </c>
      <c r="M166" s="348" t="e">
        <f>L166*'He so chung'!$D$16/100</f>
        <v>#VALUE!</v>
      </c>
      <c r="N166" s="349" t="e">
        <f t="shared" si="27"/>
        <v>#VALUE!</v>
      </c>
      <c r="O166" s="354">
        <f>'He so chung'!$D$18*R166</f>
        <v>2442.5240384615386</v>
      </c>
      <c r="P166" s="354">
        <f>'He so chung'!$D$19*R166</f>
        <v>1954.0192307692305</v>
      </c>
      <c r="Q166" s="411">
        <f>'He so chung'!$D$20*R166</f>
        <v>488.50480769230774</v>
      </c>
      <c r="R166" s="443">
        <f>'NC-CLBD'!J32/100</f>
        <v>0.36549999999999999</v>
      </c>
    </row>
    <row r="167" spans="1:18" s="4" customFormat="1" ht="15.75" hidden="1" customHeight="1">
      <c r="A167" s="315"/>
      <c r="B167" s="314"/>
      <c r="C167" s="318"/>
      <c r="D167" s="351" t="s">
        <v>11</v>
      </c>
      <c r="E167" s="353" t="e">
        <f>'NC-CLBD'!K36/100</f>
        <v>#VALUE!</v>
      </c>
      <c r="F167" s="353">
        <f>'NC-CLBD'!K38/100</f>
        <v>8017.2</v>
      </c>
      <c r="G167" s="353">
        <f t="shared" si="25"/>
        <v>0</v>
      </c>
      <c r="H167" s="353">
        <f>'DCu-CLBD'!L114</f>
        <v>923.97274038461512</v>
      </c>
      <c r="I167" s="353">
        <f>$I$165</f>
        <v>1170.99</v>
      </c>
      <c r="J167" s="353">
        <f>'TBI-CLBD'!M73</f>
        <v>4473.96</v>
      </c>
      <c r="K167" s="353" t="e">
        <f>#REF!</f>
        <v>#REF!</v>
      </c>
      <c r="L167" s="353" t="e">
        <f t="shared" si="26"/>
        <v>#VALUE!</v>
      </c>
      <c r="M167" s="348" t="e">
        <f>L167*'He so chung'!$D$16/100</f>
        <v>#VALUE!</v>
      </c>
      <c r="N167" s="349" t="e">
        <f t="shared" si="27"/>
        <v>#VALUE!</v>
      </c>
      <c r="O167" s="354">
        <f>'He so chung'!$D$18*R167</f>
        <v>2927.0192307692305</v>
      </c>
      <c r="P167" s="354">
        <f>'He so chung'!$D$19*R167</f>
        <v>2341.6153846153843</v>
      </c>
      <c r="Q167" s="411">
        <f>'He so chung'!$D$20*R167</f>
        <v>585.40384615384619</v>
      </c>
      <c r="R167" s="443">
        <f>'NC-CLBD'!J36/100</f>
        <v>0.43799999999999994</v>
      </c>
    </row>
    <row r="168" spans="1:18" s="4" customFormat="1" ht="15.75" hidden="1" customHeight="1">
      <c r="A168" s="315"/>
      <c r="B168" s="314"/>
      <c r="C168" s="318"/>
      <c r="D168" s="351" t="s">
        <v>12</v>
      </c>
      <c r="E168" s="353" t="e">
        <f>'NC-CLBD'!K40/100</f>
        <v>#VALUE!</v>
      </c>
      <c r="F168" s="353">
        <f>'NC-CLBD'!K42/100</f>
        <v>9628.5</v>
      </c>
      <c r="G168" s="353">
        <f t="shared" si="25"/>
        <v>0</v>
      </c>
      <c r="H168" s="353">
        <f>'DCu-CLBD'!L115</f>
        <v>1247.3631995192304</v>
      </c>
      <c r="I168" s="353">
        <f>$I$165</f>
        <v>1170.99</v>
      </c>
      <c r="J168" s="353">
        <f>'TBI-CLBD'!O73</f>
        <v>6051.08</v>
      </c>
      <c r="K168" s="353" t="e">
        <f>#REF!</f>
        <v>#REF!</v>
      </c>
      <c r="L168" s="353" t="e">
        <f t="shared" si="26"/>
        <v>#VALUE!</v>
      </c>
      <c r="M168" s="348" t="e">
        <f>L168*'He so chung'!$D$16/100</f>
        <v>#VALUE!</v>
      </c>
      <c r="N168" s="349" t="e">
        <f t="shared" si="27"/>
        <v>#VALUE!</v>
      </c>
      <c r="O168" s="354">
        <f>'He so chung'!$D$18*R168</f>
        <v>3515.0961538461534</v>
      </c>
      <c r="P168" s="354">
        <f>'He so chung'!$D$19*R168</f>
        <v>2812.0769230769224</v>
      </c>
      <c r="Q168" s="411">
        <f>'He so chung'!$D$20*R168</f>
        <v>703.01923076923072</v>
      </c>
      <c r="R168" s="443">
        <f>'NC-CLBD'!J40/100</f>
        <v>0.52599999999999991</v>
      </c>
    </row>
    <row r="169" spans="1:18" s="4" customFormat="1" ht="15.75" hidden="1" customHeight="1">
      <c r="A169" s="315"/>
      <c r="B169" s="314"/>
      <c r="C169" s="318"/>
      <c r="D169" s="351" t="s">
        <v>13</v>
      </c>
      <c r="E169" s="353" t="e">
        <f>'NC-CLBD'!K44/100</f>
        <v>#VALUE!</v>
      </c>
      <c r="F169" s="353">
        <f>'NC-CLBD'!K46/100</f>
        <v>11554.2</v>
      </c>
      <c r="G169" s="353">
        <f t="shared" si="25"/>
        <v>0</v>
      </c>
      <c r="H169" s="353">
        <f>'DCu-CLBD'!L116</f>
        <v>1616.9522956730764</v>
      </c>
      <c r="I169" s="353">
        <f>$I$165</f>
        <v>1170.99</v>
      </c>
      <c r="J169" s="353">
        <f>'TBI-CLBD'!Q73</f>
        <v>7835.52</v>
      </c>
      <c r="K169" s="353" t="e">
        <f>#REF!</f>
        <v>#REF!</v>
      </c>
      <c r="L169" s="353" t="e">
        <f t="shared" si="26"/>
        <v>#VALUE!</v>
      </c>
      <c r="M169" s="348" t="e">
        <f>L169*'He so chung'!$D$16/100</f>
        <v>#VALUE!</v>
      </c>
      <c r="N169" s="349" t="e">
        <f t="shared" si="27"/>
        <v>#VALUE!</v>
      </c>
      <c r="O169" s="354">
        <f>'He so chung'!$D$18*R169</f>
        <v>4216.7788461538457</v>
      </c>
      <c r="P169" s="354">
        <f>'He so chung'!$D$19*R169</f>
        <v>3373.4230769230762</v>
      </c>
      <c r="Q169" s="411">
        <f>'He so chung'!$D$20*R169</f>
        <v>843.35576923076917</v>
      </c>
      <c r="R169" s="443">
        <f>'NC-CLBD'!J44/100</f>
        <v>0.63099999999999989</v>
      </c>
    </row>
    <row r="170" spans="1:18" s="4" customFormat="1" ht="15.75" hidden="1" customHeight="1">
      <c r="A170" s="315"/>
      <c r="B170" s="314"/>
      <c r="C170" s="318"/>
      <c r="D170" s="351" t="s">
        <v>14</v>
      </c>
      <c r="E170" s="353" t="e">
        <f>'NC-CLBD'!#REF!/100</f>
        <v>#REF!</v>
      </c>
      <c r="F170" s="353" t="e">
        <f>'NC-CLBD'!#REF!/100</f>
        <v>#REF!</v>
      </c>
      <c r="G170" s="353" t="e">
        <f t="shared" si="25"/>
        <v>#REF!</v>
      </c>
      <c r="H170" s="353">
        <f>'DCu-CLBD'!L117</f>
        <v>0</v>
      </c>
      <c r="I170" s="353">
        <f>$I$165</f>
        <v>1170.99</v>
      </c>
      <c r="J170" s="353" t="e">
        <f>'TBI-CLBD'!#REF!</f>
        <v>#REF!</v>
      </c>
      <c r="K170" s="353" t="e">
        <f>#REF!</f>
        <v>#REF!</v>
      </c>
      <c r="L170" s="353" t="e">
        <f t="shared" si="26"/>
        <v>#REF!</v>
      </c>
      <c r="M170" s="348" t="e">
        <f>L170*'He so chung'!$D$16/100</f>
        <v>#REF!</v>
      </c>
      <c r="N170" s="349" t="e">
        <f t="shared" si="27"/>
        <v>#REF!</v>
      </c>
      <c r="O170" s="354" t="e">
        <f>'He so chung'!$D$18*R170</f>
        <v>#REF!</v>
      </c>
      <c r="P170" s="354" t="e">
        <f>'He so chung'!$D$19*R170</f>
        <v>#REF!</v>
      </c>
      <c r="Q170" s="411" t="e">
        <f>'He so chung'!$D$20*R170</f>
        <v>#REF!</v>
      </c>
      <c r="R170" s="443" t="e">
        <f>'NC-CLBD'!#REF!/100</f>
        <v>#REF!</v>
      </c>
    </row>
    <row r="171" spans="1:18" s="4" customFormat="1" ht="14.25" hidden="1" customHeight="1">
      <c r="A171" s="315"/>
      <c r="B171" s="314"/>
      <c r="C171" s="318"/>
      <c r="D171" s="351"/>
      <c r="E171" s="353"/>
      <c r="F171" s="353"/>
      <c r="G171" s="353"/>
      <c r="H171" s="353"/>
      <c r="I171" s="353"/>
      <c r="J171" s="353"/>
      <c r="K171" s="353"/>
      <c r="L171" s="353"/>
      <c r="M171" s="353"/>
      <c r="N171" s="349"/>
      <c r="O171" s="353"/>
      <c r="P171" s="441"/>
      <c r="Q171" s="442"/>
      <c r="R171" s="443"/>
    </row>
    <row r="172" spans="1:18" s="4" customFormat="1" ht="19.5" hidden="1" customHeight="1">
      <c r="A172" s="339" t="s">
        <v>4</v>
      </c>
      <c r="B172" s="340" t="s">
        <v>382</v>
      </c>
      <c r="C172" s="451"/>
      <c r="D172" s="355"/>
      <c r="E172" s="357"/>
      <c r="F172" s="357"/>
      <c r="G172" s="357"/>
      <c r="H172" s="357"/>
      <c r="I172" s="357"/>
      <c r="J172" s="357"/>
      <c r="K172" s="357"/>
      <c r="L172" s="357"/>
      <c r="M172" s="357"/>
      <c r="N172" s="359"/>
      <c r="O172" s="357"/>
      <c r="P172" s="441"/>
      <c r="Q172" s="442"/>
      <c r="R172" s="443"/>
    </row>
    <row r="173" spans="1:18" s="4" customFormat="1" ht="21" hidden="1" customHeight="1">
      <c r="A173" s="315" t="s">
        <v>9</v>
      </c>
      <c r="B173" s="314" t="s">
        <v>383</v>
      </c>
      <c r="C173" s="318"/>
      <c r="D173" s="315"/>
      <c r="E173" s="348"/>
      <c r="F173" s="348"/>
      <c r="G173" s="353"/>
      <c r="H173" s="348"/>
      <c r="I173" s="348"/>
      <c r="J173" s="348"/>
      <c r="K173" s="348"/>
      <c r="L173" s="353"/>
      <c r="M173" s="353"/>
      <c r="N173" s="349"/>
      <c r="O173" s="353"/>
      <c r="P173" s="350"/>
      <c r="Q173" s="410"/>
      <c r="R173" s="410"/>
    </row>
    <row r="174" spans="1:18" s="4" customFormat="1" ht="13.5" hidden="1" customHeight="1">
      <c r="A174" s="315"/>
      <c r="B174" s="314"/>
      <c r="C174" s="318"/>
      <c r="D174" s="315"/>
      <c r="E174" s="348"/>
      <c r="F174" s="348"/>
      <c r="G174" s="353"/>
      <c r="H174" s="348"/>
      <c r="I174" s="348"/>
      <c r="J174" s="348"/>
      <c r="K174" s="348"/>
      <c r="L174" s="353"/>
      <c r="M174" s="353"/>
      <c r="N174" s="349"/>
      <c r="O174" s="353"/>
      <c r="P174" s="350"/>
      <c r="Q174" s="410"/>
      <c r="R174" s="410"/>
    </row>
    <row r="175" spans="1:18" s="4" customFormat="1" ht="16.5" hidden="1" customHeight="1">
      <c r="A175" s="315" t="s">
        <v>10</v>
      </c>
      <c r="B175" s="314" t="s">
        <v>80</v>
      </c>
      <c r="C175" s="318" t="s">
        <v>278</v>
      </c>
      <c r="D175" s="351" t="s">
        <v>9</v>
      </c>
      <c r="E175" s="348" t="e">
        <f>'NC-CLBD'!#REF!/100</f>
        <v>#REF!</v>
      </c>
      <c r="F175" s="348"/>
      <c r="G175" s="353" t="e">
        <f t="shared" ref="G175:G180" si="28">$Q$1*10*P175</f>
        <v>#REF!</v>
      </c>
      <c r="H175" s="348" t="e">
        <f>'DCu-CLBD'!#REF!</f>
        <v>#REF!</v>
      </c>
      <c r="I175" s="348" t="e">
        <f>'VL-CLBD'!#REF!</f>
        <v>#REF!</v>
      </c>
      <c r="J175" s="348" t="e">
        <f>'TBI-CLBD'!#REF!</f>
        <v>#REF!</v>
      </c>
      <c r="K175" s="348" t="e">
        <f>#REF!</f>
        <v>#REF!</v>
      </c>
      <c r="L175" s="353" t="e">
        <f t="shared" ref="L175:L180" si="29">SUM(E175:K175)</f>
        <v>#REF!</v>
      </c>
      <c r="M175" s="353" t="e">
        <f>L175*'He so chung'!$D$17/100</f>
        <v>#REF!</v>
      </c>
      <c r="N175" s="349" t="e">
        <f t="shared" ref="N175:N180" si="30">M175+L175</f>
        <v>#REF!</v>
      </c>
      <c r="O175" s="354" t="e">
        <f>'He so chung'!$D$21*R175</f>
        <v>#REF!</v>
      </c>
      <c r="P175" s="354" t="e">
        <f>'He so chung'!$D$22*R175</f>
        <v>#REF!</v>
      </c>
      <c r="Q175" s="411" t="e">
        <f>'He so chung'!$D$23*R175</f>
        <v>#REF!</v>
      </c>
      <c r="R175" s="412" t="e">
        <f>'NC-CLBD'!#REF!/100</f>
        <v>#REF!</v>
      </c>
    </row>
    <row r="176" spans="1:18" s="4" customFormat="1" ht="16.5" hidden="1" customHeight="1">
      <c r="A176" s="315"/>
      <c r="B176" s="314"/>
      <c r="C176" s="318"/>
      <c r="D176" s="351" t="s">
        <v>10</v>
      </c>
      <c r="E176" s="348" t="e">
        <f>'NC-CLBD'!#REF!/100</f>
        <v>#REF!</v>
      </c>
      <c r="F176" s="348"/>
      <c r="G176" s="353" t="e">
        <f t="shared" si="28"/>
        <v>#REF!</v>
      </c>
      <c r="H176" s="348" t="e">
        <f>'DCu-CLBD'!#REF!</f>
        <v>#REF!</v>
      </c>
      <c r="I176" s="348" t="e">
        <f>$I$175</f>
        <v>#REF!</v>
      </c>
      <c r="J176" s="348" t="e">
        <f>'TBI-CLBD'!#REF!</f>
        <v>#REF!</v>
      </c>
      <c r="K176" s="348" t="e">
        <f>#REF!</f>
        <v>#REF!</v>
      </c>
      <c r="L176" s="353" t="e">
        <f t="shared" si="29"/>
        <v>#REF!</v>
      </c>
      <c r="M176" s="353" t="e">
        <f>L176*'He so chung'!$D$17/100</f>
        <v>#REF!</v>
      </c>
      <c r="N176" s="349" t="e">
        <f t="shared" si="30"/>
        <v>#REF!</v>
      </c>
      <c r="O176" s="354" t="e">
        <f>'He so chung'!$D$21*R176</f>
        <v>#REF!</v>
      </c>
      <c r="P176" s="354" t="e">
        <f>'He so chung'!$D$22*R176</f>
        <v>#REF!</v>
      </c>
      <c r="Q176" s="411" t="e">
        <f>'He so chung'!$D$23*R176</f>
        <v>#REF!</v>
      </c>
      <c r="R176" s="412" t="e">
        <f>'NC-CLBD'!#REF!/100</f>
        <v>#REF!</v>
      </c>
    </row>
    <row r="177" spans="1:18" s="4" customFormat="1" ht="16.5" hidden="1" customHeight="1">
      <c r="A177" s="315"/>
      <c r="B177" s="314"/>
      <c r="C177" s="318"/>
      <c r="D177" s="351" t="s">
        <v>11</v>
      </c>
      <c r="E177" s="348" t="e">
        <f>'NC-CLBD'!#REF!/100</f>
        <v>#REF!</v>
      </c>
      <c r="F177" s="348"/>
      <c r="G177" s="353" t="e">
        <f t="shared" si="28"/>
        <v>#REF!</v>
      </c>
      <c r="H177" s="348" t="e">
        <f>'DCu-CLBD'!#REF!</f>
        <v>#REF!</v>
      </c>
      <c r="I177" s="348" t="e">
        <f>$I$175</f>
        <v>#REF!</v>
      </c>
      <c r="J177" s="348" t="e">
        <f>'TBI-CLBD'!#REF!</f>
        <v>#REF!</v>
      </c>
      <c r="K177" s="348" t="e">
        <f>#REF!</f>
        <v>#REF!</v>
      </c>
      <c r="L177" s="353" t="e">
        <f t="shared" si="29"/>
        <v>#REF!</v>
      </c>
      <c r="M177" s="353" t="e">
        <f>L177*'He so chung'!$D$17/100</f>
        <v>#REF!</v>
      </c>
      <c r="N177" s="349" t="e">
        <f t="shared" si="30"/>
        <v>#REF!</v>
      </c>
      <c r="O177" s="354" t="e">
        <f>'He so chung'!$D$21*R177</f>
        <v>#REF!</v>
      </c>
      <c r="P177" s="354" t="e">
        <f>'He so chung'!$D$22*R177</f>
        <v>#REF!</v>
      </c>
      <c r="Q177" s="411" t="e">
        <f>'He so chung'!$D$23*R177</f>
        <v>#REF!</v>
      </c>
      <c r="R177" s="412" t="e">
        <f>'NC-CLBD'!#REF!/100</f>
        <v>#REF!</v>
      </c>
    </row>
    <row r="178" spans="1:18" s="4" customFormat="1" ht="16.5" hidden="1" customHeight="1">
      <c r="A178" s="315"/>
      <c r="B178" s="314"/>
      <c r="C178" s="318"/>
      <c r="D178" s="351" t="s">
        <v>12</v>
      </c>
      <c r="E178" s="348" t="e">
        <f>'NC-CLBD'!#REF!/100</f>
        <v>#REF!</v>
      </c>
      <c r="F178" s="348"/>
      <c r="G178" s="353" t="e">
        <f t="shared" si="28"/>
        <v>#REF!</v>
      </c>
      <c r="H178" s="348" t="e">
        <f>'DCu-CLBD'!#REF!</f>
        <v>#REF!</v>
      </c>
      <c r="I178" s="348" t="e">
        <f>$I$175</f>
        <v>#REF!</v>
      </c>
      <c r="J178" s="348" t="e">
        <f>'TBI-CLBD'!#REF!</f>
        <v>#REF!</v>
      </c>
      <c r="K178" s="348" t="e">
        <f>#REF!</f>
        <v>#REF!</v>
      </c>
      <c r="L178" s="353" t="e">
        <f t="shared" si="29"/>
        <v>#REF!</v>
      </c>
      <c r="M178" s="353" t="e">
        <f>L178*'He so chung'!$D$17/100</f>
        <v>#REF!</v>
      </c>
      <c r="N178" s="349" t="e">
        <f t="shared" si="30"/>
        <v>#REF!</v>
      </c>
      <c r="O178" s="354" t="e">
        <f>'He so chung'!$D$21*R178</f>
        <v>#REF!</v>
      </c>
      <c r="P178" s="354" t="e">
        <f>'He so chung'!$D$22*R178</f>
        <v>#REF!</v>
      </c>
      <c r="Q178" s="411" t="e">
        <f>'He so chung'!$D$23*R178</f>
        <v>#REF!</v>
      </c>
      <c r="R178" s="412" t="e">
        <f>'NC-CLBD'!#REF!/100</f>
        <v>#REF!</v>
      </c>
    </row>
    <row r="179" spans="1:18" s="4" customFormat="1" ht="16.5" hidden="1" customHeight="1">
      <c r="A179" s="315"/>
      <c r="B179" s="314"/>
      <c r="C179" s="318"/>
      <c r="D179" s="351" t="s">
        <v>13</v>
      </c>
      <c r="E179" s="348" t="e">
        <f>'NC-CLBD'!#REF!/100</f>
        <v>#REF!</v>
      </c>
      <c r="F179" s="348"/>
      <c r="G179" s="353" t="e">
        <f t="shared" si="28"/>
        <v>#REF!</v>
      </c>
      <c r="H179" s="348" t="e">
        <f>'DCu-CLBD'!#REF!</f>
        <v>#REF!</v>
      </c>
      <c r="I179" s="348" t="e">
        <f>$I$175</f>
        <v>#REF!</v>
      </c>
      <c r="J179" s="348" t="e">
        <f>'TBI-CLBD'!#REF!</f>
        <v>#REF!</v>
      </c>
      <c r="K179" s="348" t="e">
        <f>#REF!</f>
        <v>#REF!</v>
      </c>
      <c r="L179" s="353" t="e">
        <f t="shared" si="29"/>
        <v>#REF!</v>
      </c>
      <c r="M179" s="353" t="e">
        <f>L179*'He so chung'!$D$17/100</f>
        <v>#REF!</v>
      </c>
      <c r="N179" s="349" t="e">
        <f t="shared" si="30"/>
        <v>#REF!</v>
      </c>
      <c r="O179" s="354" t="e">
        <f>'He so chung'!$D$21*R179</f>
        <v>#REF!</v>
      </c>
      <c r="P179" s="354" t="e">
        <f>'He so chung'!$D$22*R179</f>
        <v>#REF!</v>
      </c>
      <c r="Q179" s="411" t="e">
        <f>'He so chung'!$D$23*R179</f>
        <v>#REF!</v>
      </c>
      <c r="R179" s="412" t="e">
        <f>'NC-CLBD'!#REF!/100</f>
        <v>#REF!</v>
      </c>
    </row>
    <row r="180" spans="1:18" s="4" customFormat="1" ht="16.5" hidden="1" customHeight="1">
      <c r="A180" s="316"/>
      <c r="B180" s="317"/>
      <c r="C180" s="405"/>
      <c r="D180" s="361" t="s">
        <v>14</v>
      </c>
      <c r="E180" s="364" t="e">
        <f>'NC-CLBD'!#REF!/100</f>
        <v>#REF!</v>
      </c>
      <c r="F180" s="364"/>
      <c r="G180" s="353" t="e">
        <f t="shared" si="28"/>
        <v>#REF!</v>
      </c>
      <c r="H180" s="348" t="e">
        <f>'DCu-CLBD'!#REF!</f>
        <v>#REF!</v>
      </c>
      <c r="I180" s="364" t="e">
        <f>$I$175</f>
        <v>#REF!</v>
      </c>
      <c r="J180" s="364" t="e">
        <f>'TBI-CLBD'!#REF!</f>
        <v>#REF!</v>
      </c>
      <c r="K180" s="364" t="e">
        <f>#REF!</f>
        <v>#REF!</v>
      </c>
      <c r="L180" s="363" t="e">
        <f t="shared" si="29"/>
        <v>#REF!</v>
      </c>
      <c r="M180" s="353" t="e">
        <f>L180*'He so chung'!$D$17/100</f>
        <v>#REF!</v>
      </c>
      <c r="N180" s="365" t="e">
        <f t="shared" si="30"/>
        <v>#REF!</v>
      </c>
      <c r="O180" s="354" t="e">
        <f>'He so chung'!$D$21*R180</f>
        <v>#REF!</v>
      </c>
      <c r="P180" s="354" t="e">
        <f>'He so chung'!$D$22*R180</f>
        <v>#REF!</v>
      </c>
      <c r="Q180" s="411" t="e">
        <f>'He so chung'!$D$23*R180</f>
        <v>#REF!</v>
      </c>
      <c r="R180" s="412" t="e">
        <f>'NC-CLBD'!#REF!/100</f>
        <v>#REF!</v>
      </c>
    </row>
    <row r="181" spans="1:18" s="4" customFormat="1" ht="14.25" hidden="1" customHeight="1">
      <c r="A181" s="122"/>
      <c r="B181" s="123"/>
      <c r="C181" s="124"/>
      <c r="D181" s="120"/>
      <c r="E181" s="369"/>
      <c r="F181" s="369"/>
      <c r="G181" s="368"/>
      <c r="H181" s="369"/>
      <c r="I181" s="369"/>
      <c r="J181" s="369"/>
      <c r="K181" s="369"/>
      <c r="L181" s="368"/>
      <c r="M181" s="368"/>
      <c r="N181" s="370"/>
      <c r="O181" s="368"/>
      <c r="P181" s="366"/>
      <c r="Q181" s="434"/>
      <c r="R181" s="425"/>
    </row>
    <row r="182" spans="1:18" s="4" customFormat="1" ht="14.25" hidden="1" customHeight="1">
      <c r="A182" s="125"/>
      <c r="B182" s="126"/>
      <c r="C182" s="127"/>
      <c r="D182" s="118"/>
      <c r="E182" s="374"/>
      <c r="F182" s="374"/>
      <c r="G182" s="373"/>
      <c r="H182" s="374"/>
      <c r="I182" s="374"/>
      <c r="J182" s="374"/>
      <c r="K182" s="374"/>
      <c r="L182" s="373"/>
      <c r="M182" s="373"/>
      <c r="N182" s="375"/>
      <c r="O182" s="373"/>
      <c r="P182" s="376"/>
      <c r="Q182" s="452"/>
      <c r="R182" s="453"/>
    </row>
    <row r="183" spans="1:18" s="4" customFormat="1" ht="19.5" hidden="1" customHeight="1">
      <c r="A183" s="970" t="s">
        <v>376</v>
      </c>
      <c r="B183" s="972" t="s">
        <v>377</v>
      </c>
      <c r="C183" s="974" t="s">
        <v>378</v>
      </c>
      <c r="D183" s="970" t="s">
        <v>91</v>
      </c>
      <c r="E183" s="964" t="s">
        <v>368</v>
      </c>
      <c r="F183" s="965"/>
      <c r="G183" s="965"/>
      <c r="H183" s="965"/>
      <c r="I183" s="965"/>
      <c r="J183" s="965"/>
      <c r="K183" s="965"/>
      <c r="L183" s="966"/>
      <c r="M183" s="324" t="s">
        <v>63</v>
      </c>
      <c r="N183" s="974" t="s">
        <v>379</v>
      </c>
      <c r="O183" s="323" t="s">
        <v>18</v>
      </c>
      <c r="P183" s="418" t="s">
        <v>19</v>
      </c>
      <c r="Q183" s="419" t="s">
        <v>19</v>
      </c>
      <c r="R183" s="420" t="s">
        <v>16</v>
      </c>
    </row>
    <row r="184" spans="1:18" s="4" customFormat="1" ht="19.5" hidden="1" customHeight="1">
      <c r="A184" s="971"/>
      <c r="B184" s="973"/>
      <c r="C184" s="975"/>
      <c r="D184" s="971"/>
      <c r="E184" s="327" t="s">
        <v>369</v>
      </c>
      <c r="F184" s="326" t="s">
        <v>370</v>
      </c>
      <c r="G184" s="328">
        <v>0</v>
      </c>
      <c r="H184" s="326" t="s">
        <v>257</v>
      </c>
      <c r="I184" s="326" t="s">
        <v>280</v>
      </c>
      <c r="J184" s="326" t="s">
        <v>261</v>
      </c>
      <c r="K184" s="326" t="s">
        <v>371</v>
      </c>
      <c r="L184" s="326" t="s">
        <v>372</v>
      </c>
      <c r="M184" s="326" t="s">
        <v>48</v>
      </c>
      <c r="N184" s="975"/>
      <c r="O184" s="325" t="s">
        <v>20</v>
      </c>
      <c r="P184" s="325" t="s">
        <v>21</v>
      </c>
      <c r="Q184" s="421" t="s">
        <v>22</v>
      </c>
      <c r="R184" s="422" t="s">
        <v>17</v>
      </c>
    </row>
    <row r="185" spans="1:18" s="4" customFormat="1" ht="14.25" hidden="1" customHeight="1">
      <c r="A185" s="329" t="s">
        <v>52</v>
      </c>
      <c r="B185" s="330" t="s">
        <v>53</v>
      </c>
      <c r="C185" s="330" t="s">
        <v>54</v>
      </c>
      <c r="D185" s="331" t="s">
        <v>55</v>
      </c>
      <c r="E185" s="332" t="s">
        <v>56</v>
      </c>
      <c r="F185" s="332" t="s">
        <v>57</v>
      </c>
      <c r="G185" s="332"/>
      <c r="H185" s="332" t="s">
        <v>58</v>
      </c>
      <c r="I185" s="332" t="s">
        <v>59</v>
      </c>
      <c r="J185" s="332" t="s">
        <v>60</v>
      </c>
      <c r="K185" s="332" t="s">
        <v>61</v>
      </c>
      <c r="L185" s="333" t="s">
        <v>373</v>
      </c>
      <c r="M185" s="333" t="s">
        <v>374</v>
      </c>
      <c r="N185" s="334" t="s">
        <v>375</v>
      </c>
      <c r="O185" s="332" t="s">
        <v>62</v>
      </c>
      <c r="P185" s="408"/>
      <c r="Q185" s="408"/>
      <c r="R185" s="409"/>
    </row>
    <row r="186" spans="1:18" s="4" customFormat="1" ht="16.5" hidden="1" customHeight="1">
      <c r="A186" s="315" t="s">
        <v>11</v>
      </c>
      <c r="B186" s="402" t="s">
        <v>392</v>
      </c>
      <c r="C186" s="318" t="s">
        <v>278</v>
      </c>
      <c r="D186" s="351" t="s">
        <v>8</v>
      </c>
      <c r="E186" s="348" t="e">
        <f>'NC-CLBD'!#REF!/100</f>
        <v>#REF!</v>
      </c>
      <c r="F186" s="348"/>
      <c r="G186" s="353" t="e">
        <f>$Q$1*10*P186</f>
        <v>#REF!</v>
      </c>
      <c r="H186" s="348"/>
      <c r="I186" s="348"/>
      <c r="J186" s="348"/>
      <c r="K186" s="348"/>
      <c r="L186" s="353" t="e">
        <f>SUM(E186:K186)</f>
        <v>#REF!</v>
      </c>
      <c r="M186" s="353" t="e">
        <f>L186*'He so chung'!$D$17/100</f>
        <v>#REF!</v>
      </c>
      <c r="N186" s="349" t="e">
        <f>M186+L186</f>
        <v>#REF!</v>
      </c>
      <c r="O186" s="354" t="e">
        <f>'He so chung'!$D$21*R186</f>
        <v>#REF!</v>
      </c>
      <c r="P186" s="354" t="e">
        <f>'He so chung'!$D$22*R186</f>
        <v>#REF!</v>
      </c>
      <c r="Q186" s="411" t="e">
        <f>'He so chung'!$D$23*R186</f>
        <v>#REF!</v>
      </c>
      <c r="R186" s="412" t="e">
        <f>'NC-CLBD'!#REF!/100</f>
        <v>#REF!</v>
      </c>
    </row>
    <row r="187" spans="1:18" s="4" customFormat="1" ht="15.75" hidden="1" customHeight="1">
      <c r="A187" s="315"/>
      <c r="B187" s="402" t="s">
        <v>393</v>
      </c>
      <c r="C187" s="318"/>
      <c r="D187" s="351"/>
      <c r="E187" s="348"/>
      <c r="F187" s="348"/>
      <c r="G187" s="353"/>
      <c r="H187" s="348"/>
      <c r="I187" s="348"/>
      <c r="J187" s="348"/>
      <c r="K187" s="348"/>
      <c r="L187" s="353"/>
      <c r="M187" s="353"/>
      <c r="N187" s="349"/>
      <c r="O187" s="353"/>
      <c r="P187" s="354"/>
      <c r="Q187" s="411"/>
      <c r="R187" s="412"/>
    </row>
    <row r="188" spans="1:18" s="4" customFormat="1" ht="12.75" hidden="1" customHeight="1">
      <c r="A188" s="314"/>
      <c r="B188" s="314"/>
      <c r="C188" s="314"/>
      <c r="D188" s="351"/>
      <c r="E188" s="348"/>
      <c r="F188" s="348"/>
      <c r="G188" s="353"/>
      <c r="H188" s="348"/>
      <c r="I188" s="348"/>
      <c r="J188" s="348"/>
      <c r="K188" s="348"/>
      <c r="L188" s="353"/>
      <c r="M188" s="353"/>
      <c r="N188" s="349"/>
      <c r="O188" s="353"/>
      <c r="P188" s="354"/>
      <c r="Q188" s="411"/>
      <c r="R188" s="412"/>
    </row>
    <row r="189" spans="1:18" s="4" customFormat="1" ht="18" hidden="1" customHeight="1">
      <c r="A189" s="315" t="s">
        <v>12</v>
      </c>
      <c r="B189" s="314" t="s">
        <v>81</v>
      </c>
      <c r="C189" s="318" t="s">
        <v>278</v>
      </c>
      <c r="D189" s="351" t="s">
        <v>9</v>
      </c>
      <c r="E189" s="348" t="e">
        <f>'NC-CLBD'!K54/100</f>
        <v>#VALUE!</v>
      </c>
      <c r="F189" s="348"/>
      <c r="G189" s="353">
        <f t="shared" ref="G189:G194" si="31">$Q$1*10*P189</f>
        <v>0</v>
      </c>
      <c r="H189" s="348">
        <f>'DCu-CLBD'!L156</f>
        <v>109.57465400000005</v>
      </c>
      <c r="I189" s="348">
        <f>'VL-CLBD'!J71</f>
        <v>5611.8959999999997</v>
      </c>
      <c r="J189" s="348">
        <f>'TBI-CLBD'!I122</f>
        <v>144.35319999999999</v>
      </c>
      <c r="K189" s="348" t="e">
        <f>#REF!</f>
        <v>#REF!</v>
      </c>
      <c r="L189" s="353" t="e">
        <f t="shared" ref="L189:L194" si="32">SUM(E189:K189)</f>
        <v>#VALUE!</v>
      </c>
      <c r="M189" s="353" t="e">
        <f>L189*'He so chung'!$D$17/100</f>
        <v>#VALUE!</v>
      </c>
      <c r="N189" s="349" t="e">
        <f t="shared" ref="N189:N194" si="33">M189+L189</f>
        <v>#VALUE!</v>
      </c>
      <c r="O189" s="354">
        <f>'He so chung'!$D$21*R189</f>
        <v>67.628846153846155</v>
      </c>
      <c r="P189" s="354">
        <f>'He so chung'!$D$22*R189</f>
        <v>58.807692307692307</v>
      </c>
      <c r="Q189" s="411">
        <f>'He so chung'!$D$23*R189</f>
        <v>8.8211538461538463</v>
      </c>
      <c r="R189" s="412">
        <f>'NC-CLBD'!J54/100</f>
        <v>1.1000000000000001E-2</v>
      </c>
    </row>
    <row r="190" spans="1:18" s="4" customFormat="1" ht="18" hidden="1" customHeight="1">
      <c r="A190" s="315"/>
      <c r="B190" s="314"/>
      <c r="C190" s="318"/>
      <c r="D190" s="351" t="s">
        <v>10</v>
      </c>
      <c r="E190" s="348" t="e">
        <f>'NC-CLBD'!K56/100</f>
        <v>#VALUE!</v>
      </c>
      <c r="F190" s="348"/>
      <c r="G190" s="353">
        <f t="shared" si="31"/>
        <v>0</v>
      </c>
      <c r="H190" s="348">
        <f>'DCu-CLBD'!L157</f>
        <v>136.96831750000007</v>
      </c>
      <c r="I190" s="348">
        <f>$I$189</f>
        <v>5611.8959999999997</v>
      </c>
      <c r="J190" s="348">
        <f>'TBI-CLBD'!K122</f>
        <v>149.7448</v>
      </c>
      <c r="K190" s="348" t="e">
        <f>#REF!</f>
        <v>#REF!</v>
      </c>
      <c r="L190" s="353" t="e">
        <f t="shared" si="32"/>
        <v>#VALUE!</v>
      </c>
      <c r="M190" s="353" t="e">
        <f>L190*'He so chung'!$D$17/100</f>
        <v>#VALUE!</v>
      </c>
      <c r="N190" s="349" t="e">
        <f t="shared" si="33"/>
        <v>#VALUE!</v>
      </c>
      <c r="O190" s="354">
        <f>'He so chung'!$D$21*R190</f>
        <v>84.84346153846154</v>
      </c>
      <c r="P190" s="354">
        <f>'He so chung'!$D$22*R190</f>
        <v>73.776923076923069</v>
      </c>
      <c r="Q190" s="411">
        <f>'He so chung'!$D$23*R190</f>
        <v>11.06653846153846</v>
      </c>
      <c r="R190" s="412">
        <f>'NC-CLBD'!J56/100</f>
        <v>1.38E-2</v>
      </c>
    </row>
    <row r="191" spans="1:18" s="4" customFormat="1" ht="18" hidden="1" customHeight="1">
      <c r="A191" s="315"/>
      <c r="B191" s="314"/>
      <c r="C191" s="318"/>
      <c r="D191" s="351" t="s">
        <v>11</v>
      </c>
      <c r="E191" s="348" t="e">
        <f>'NC-CLBD'!K58/100</f>
        <v>#VALUE!</v>
      </c>
      <c r="F191" s="348"/>
      <c r="G191" s="353">
        <f t="shared" si="31"/>
        <v>0</v>
      </c>
      <c r="H191" s="348">
        <f>'DCu-CLBD'!L158</f>
        <v>182.62442333333343</v>
      </c>
      <c r="I191" s="348">
        <f>$I$189</f>
        <v>5611.8959999999997</v>
      </c>
      <c r="J191" s="348">
        <f>'TBI-CLBD'!M122</f>
        <v>159.31639999999999</v>
      </c>
      <c r="K191" s="348" t="e">
        <f>#REF!</f>
        <v>#REF!</v>
      </c>
      <c r="L191" s="353" t="e">
        <f t="shared" si="32"/>
        <v>#VALUE!</v>
      </c>
      <c r="M191" s="353" t="e">
        <f>L191*'He so chung'!$D$17/100</f>
        <v>#VALUE!</v>
      </c>
      <c r="N191" s="349" t="e">
        <f t="shared" si="33"/>
        <v>#VALUE!</v>
      </c>
      <c r="O191" s="354">
        <f>'He so chung'!$D$21*R191</f>
        <v>113.12461538461538</v>
      </c>
      <c r="P191" s="354">
        <f>'He so chung'!$D$22*R191</f>
        <v>98.369230769230754</v>
      </c>
      <c r="Q191" s="411">
        <f>'He so chung'!$D$23*R191</f>
        <v>14.755384615384616</v>
      </c>
      <c r="R191" s="412">
        <f>'NC-CLBD'!J58/100</f>
        <v>1.84E-2</v>
      </c>
    </row>
    <row r="192" spans="1:18" s="4" customFormat="1" ht="18" hidden="1" customHeight="1">
      <c r="A192" s="315"/>
      <c r="B192" s="314"/>
      <c r="C192" s="318"/>
      <c r="D192" s="351" t="s">
        <v>12</v>
      </c>
      <c r="E192" s="348" t="e">
        <f>'NC-CLBD'!K60/100</f>
        <v>#VALUE!</v>
      </c>
      <c r="F192" s="348"/>
      <c r="G192" s="353">
        <f t="shared" si="31"/>
        <v>0</v>
      </c>
      <c r="H192" s="348">
        <f>'DCu-CLBD'!L159</f>
        <v>246.54297150000014</v>
      </c>
      <c r="I192" s="348">
        <f>$I$189</f>
        <v>5611.8959999999997</v>
      </c>
      <c r="J192" s="348">
        <f>'TBI-CLBD'!O122</f>
        <v>172.178</v>
      </c>
      <c r="K192" s="348" t="e">
        <f>#REF!</f>
        <v>#REF!</v>
      </c>
      <c r="L192" s="353" t="e">
        <f t="shared" si="32"/>
        <v>#VALUE!</v>
      </c>
      <c r="M192" s="353" t="e">
        <f>L192*'He so chung'!$D$17/100</f>
        <v>#VALUE!</v>
      </c>
      <c r="N192" s="349" t="e">
        <f t="shared" si="33"/>
        <v>#VALUE!</v>
      </c>
      <c r="O192" s="354">
        <f>'He so chung'!$D$21*R192</f>
        <v>152.47230769230768</v>
      </c>
      <c r="P192" s="354">
        <f>'He so chung'!$D$22*R192</f>
        <v>132.58461538461538</v>
      </c>
      <c r="Q192" s="411">
        <f>'He so chung'!$D$23*R192</f>
        <v>19.887692307692305</v>
      </c>
      <c r="R192" s="412">
        <f>'NC-CLBD'!J60/100</f>
        <v>2.4799999999999999E-2</v>
      </c>
    </row>
    <row r="193" spans="1:18" s="4" customFormat="1" ht="18" hidden="1" customHeight="1">
      <c r="A193" s="315"/>
      <c r="B193" s="314"/>
      <c r="C193" s="318"/>
      <c r="D193" s="351" t="s">
        <v>13</v>
      </c>
      <c r="E193" s="348" t="e">
        <f>'NC-CLBD'!K62/100</f>
        <v>#VALUE!</v>
      </c>
      <c r="F193" s="348"/>
      <c r="G193" s="353">
        <f t="shared" si="31"/>
        <v>0</v>
      </c>
      <c r="H193" s="348">
        <f>'DCu-CLBD'!L160</f>
        <v>319.59274083333349</v>
      </c>
      <c r="I193" s="348">
        <f>$I$189</f>
        <v>5611.8959999999997</v>
      </c>
      <c r="J193" s="348">
        <f>'TBI-CLBD'!Q122</f>
        <v>187.7296</v>
      </c>
      <c r="K193" s="348" t="e">
        <f>#REF!</f>
        <v>#REF!</v>
      </c>
      <c r="L193" s="353" t="e">
        <f t="shared" si="32"/>
        <v>#VALUE!</v>
      </c>
      <c r="M193" s="353" t="e">
        <f>L193*'He so chung'!$D$17/100</f>
        <v>#VALUE!</v>
      </c>
      <c r="N193" s="349" t="e">
        <f t="shared" si="33"/>
        <v>#VALUE!</v>
      </c>
      <c r="O193" s="354">
        <f>'He so chung'!$D$21*R193</f>
        <v>197.96807692307692</v>
      </c>
      <c r="P193" s="354">
        <f>'He so chung'!$D$22*R193</f>
        <v>172.14615384615382</v>
      </c>
      <c r="Q193" s="411">
        <f>'He so chung'!$D$23*R193</f>
        <v>25.821923076923078</v>
      </c>
      <c r="R193" s="412">
        <f>'NC-CLBD'!J62/100</f>
        <v>3.2199999999999999E-2</v>
      </c>
    </row>
    <row r="194" spans="1:18" s="4" customFormat="1" ht="18" hidden="1" customHeight="1">
      <c r="A194" s="315"/>
      <c r="B194" s="314"/>
      <c r="C194" s="318"/>
      <c r="D194" s="351" t="s">
        <v>14</v>
      </c>
      <c r="E194" s="348" t="e">
        <f>'NC-CLBD'!#REF!/100</f>
        <v>#REF!</v>
      </c>
      <c r="F194" s="348"/>
      <c r="G194" s="353" t="e">
        <f t="shared" si="31"/>
        <v>#REF!</v>
      </c>
      <c r="H194" s="348">
        <f>'DCu-CLBD'!L161</f>
        <v>0</v>
      </c>
      <c r="I194" s="348">
        <f>$I$189</f>
        <v>5611.8959999999997</v>
      </c>
      <c r="J194" s="348" t="e">
        <f>'TBI-CLBD'!#REF!</f>
        <v>#REF!</v>
      </c>
      <c r="K194" s="348" t="e">
        <f>#REF!</f>
        <v>#REF!</v>
      </c>
      <c r="L194" s="353" t="e">
        <f t="shared" si="32"/>
        <v>#REF!</v>
      </c>
      <c r="M194" s="353" t="e">
        <f>L194*'He so chung'!$D$17/100</f>
        <v>#REF!</v>
      </c>
      <c r="N194" s="349" t="e">
        <f t="shared" si="33"/>
        <v>#REF!</v>
      </c>
      <c r="O194" s="354" t="e">
        <f>'He so chung'!$D$21*R194</f>
        <v>#REF!</v>
      </c>
      <c r="P194" s="354" t="e">
        <f>'He so chung'!$D$22*R194</f>
        <v>#REF!</v>
      </c>
      <c r="Q194" s="411" t="e">
        <f>'He so chung'!$D$23*R194</f>
        <v>#REF!</v>
      </c>
      <c r="R194" s="412" t="e">
        <f>'NC-CLBD'!#REF!/100</f>
        <v>#REF!</v>
      </c>
    </row>
    <row r="195" spans="1:18" s="4" customFormat="1" ht="14.25" hidden="1" customHeight="1">
      <c r="A195" s="314"/>
      <c r="B195" s="314"/>
      <c r="C195" s="314"/>
      <c r="D195" s="351"/>
      <c r="E195" s="348"/>
      <c r="F195" s="348"/>
      <c r="G195" s="353"/>
      <c r="H195" s="348"/>
      <c r="I195" s="348"/>
      <c r="J195" s="348"/>
      <c r="K195" s="348"/>
      <c r="L195" s="353"/>
      <c r="M195" s="353"/>
      <c r="N195" s="349"/>
      <c r="O195" s="354"/>
      <c r="P195" s="354"/>
      <c r="Q195" s="411"/>
      <c r="R195" s="412"/>
    </row>
    <row r="196" spans="1:18" s="4" customFormat="1" ht="16.5" hidden="1" customHeight="1">
      <c r="A196" s="315" t="s">
        <v>13</v>
      </c>
      <c r="B196" s="314" t="s">
        <v>384</v>
      </c>
      <c r="C196" s="318" t="s">
        <v>278</v>
      </c>
      <c r="D196" s="351" t="s">
        <v>8</v>
      </c>
      <c r="E196" s="348" t="e">
        <f>'NC-CLBD'!K64/100</f>
        <v>#VALUE!</v>
      </c>
      <c r="F196" s="348"/>
      <c r="G196" s="353">
        <f>$Q$1*10*P196</f>
        <v>0</v>
      </c>
      <c r="H196" s="348"/>
      <c r="I196" s="348"/>
      <c r="J196" s="348"/>
      <c r="K196" s="348"/>
      <c r="L196" s="353" t="e">
        <f>SUM(E196:K196)</f>
        <v>#VALUE!</v>
      </c>
      <c r="M196" s="353" t="e">
        <f>L196*'He so chung'!$D$17/100</f>
        <v>#VALUE!</v>
      </c>
      <c r="N196" s="349" t="e">
        <f>M196+L196</f>
        <v>#VALUE!</v>
      </c>
      <c r="O196" s="354">
        <f>'He so chung'!$D$21*R196</f>
        <v>184.44230769230768</v>
      </c>
      <c r="P196" s="354">
        <f>'He so chung'!$D$22*R196</f>
        <v>160.38461538461536</v>
      </c>
      <c r="Q196" s="411">
        <f>'He so chung'!$D$23*R196</f>
        <v>24.057692307692307</v>
      </c>
      <c r="R196" s="412">
        <f>'NC-CLBD'!J64/100</f>
        <v>0.03</v>
      </c>
    </row>
    <row r="197" spans="1:18" s="4" customFormat="1" ht="15.75" hidden="1" customHeight="1">
      <c r="A197" s="315"/>
      <c r="B197" s="314" t="s">
        <v>385</v>
      </c>
      <c r="C197" s="318"/>
      <c r="D197" s="351"/>
      <c r="E197" s="348"/>
      <c r="F197" s="348"/>
      <c r="G197" s="353"/>
      <c r="H197" s="348"/>
      <c r="I197" s="348"/>
      <c r="J197" s="348"/>
      <c r="K197" s="348"/>
      <c r="L197" s="353"/>
      <c r="M197" s="353"/>
      <c r="N197" s="349"/>
      <c r="O197" s="354"/>
      <c r="P197" s="354"/>
      <c r="Q197" s="411"/>
      <c r="R197" s="412"/>
    </row>
    <row r="198" spans="1:18" s="4" customFormat="1" ht="10.5" hidden="1" customHeight="1">
      <c r="A198" s="315"/>
      <c r="B198" s="314"/>
      <c r="C198" s="318"/>
      <c r="D198" s="351"/>
      <c r="E198" s="348"/>
      <c r="F198" s="348"/>
      <c r="G198" s="353"/>
      <c r="H198" s="348"/>
      <c r="I198" s="348"/>
      <c r="J198" s="348"/>
      <c r="K198" s="348"/>
      <c r="L198" s="353"/>
      <c r="M198" s="353"/>
      <c r="N198" s="349"/>
      <c r="O198" s="354"/>
      <c r="P198" s="354"/>
      <c r="Q198" s="411"/>
      <c r="R198" s="425"/>
    </row>
    <row r="199" spans="1:18" s="4" customFormat="1" ht="17.25" hidden="1" customHeight="1">
      <c r="A199" s="315" t="s">
        <v>14</v>
      </c>
      <c r="B199" s="314" t="s">
        <v>363</v>
      </c>
      <c r="C199" s="318" t="s">
        <v>278</v>
      </c>
      <c r="D199" s="351" t="s">
        <v>8</v>
      </c>
      <c r="E199" s="352" t="e">
        <f>'NC-CLBD'!K67/100</f>
        <v>#VALUE!</v>
      </c>
      <c r="F199" s="353"/>
      <c r="G199" s="353">
        <f>$Q$1*10*P199</f>
        <v>0</v>
      </c>
      <c r="H199" s="353">
        <f>'DCu-CLBD'!L186</f>
        <v>184.59746666666666</v>
      </c>
      <c r="I199" s="353">
        <f>'VL-CLBD'!J92</f>
        <v>1232.28</v>
      </c>
      <c r="J199" s="353">
        <f>'TBI-CLBD'!I155</f>
        <v>105.78</v>
      </c>
      <c r="K199" s="353" t="e">
        <f>#REF!</f>
        <v>#REF!</v>
      </c>
      <c r="L199" s="348" t="e">
        <f>SUM(E199:K199)</f>
        <v>#VALUE!</v>
      </c>
      <c r="M199" s="353" t="e">
        <f>L199*'He so chung'!$D$17/100</f>
        <v>#VALUE!</v>
      </c>
      <c r="N199" s="349" t="e">
        <f>M199+L199</f>
        <v>#VALUE!</v>
      </c>
      <c r="O199" s="354">
        <f>'He so chung'!$D$21*R199</f>
        <v>159.85000000000002</v>
      </c>
      <c r="P199" s="354">
        <f>'He so chung'!$D$22*R199</f>
        <v>139</v>
      </c>
      <c r="Q199" s="411">
        <f>'He so chung'!$D$23*R199</f>
        <v>20.85</v>
      </c>
      <c r="R199" s="412">
        <f>'NC-CLBD'!J67/100</f>
        <v>2.6000000000000002E-2</v>
      </c>
    </row>
    <row r="200" spans="1:18" s="4" customFormat="1" ht="13.5" hidden="1" customHeight="1">
      <c r="A200" s="316"/>
      <c r="B200" s="317"/>
      <c r="C200" s="121"/>
      <c r="D200" s="361"/>
      <c r="E200" s="362"/>
      <c r="F200" s="363"/>
      <c r="G200" s="353"/>
      <c r="H200" s="363"/>
      <c r="I200" s="363"/>
      <c r="J200" s="363"/>
      <c r="K200" s="363"/>
      <c r="L200" s="348"/>
      <c r="M200" s="353"/>
      <c r="N200" s="349"/>
      <c r="O200" s="354"/>
      <c r="P200" s="354"/>
      <c r="Q200" s="411"/>
      <c r="R200" s="425"/>
    </row>
    <row r="201" spans="1:18" s="4" customFormat="1" ht="19.5" hidden="1" customHeight="1">
      <c r="A201" s="315" t="s">
        <v>85</v>
      </c>
      <c r="B201" s="314" t="s">
        <v>364</v>
      </c>
      <c r="C201" s="318" t="s">
        <v>1</v>
      </c>
      <c r="D201" s="351" t="s">
        <v>8</v>
      </c>
      <c r="E201" s="362" t="e">
        <f>'NC-CLBD'!K69/25</f>
        <v>#VALUE!</v>
      </c>
      <c r="F201" s="363"/>
      <c r="G201" s="353">
        <f>$Q$1*10*P201</f>
        <v>0</v>
      </c>
      <c r="H201" s="363">
        <f>'DCu-CLBD'!L209*70%</f>
        <v>321.7583869230769</v>
      </c>
      <c r="I201" s="363">
        <f>'VL-CLBD'!J112*70%</f>
        <v>3482.1359999999995</v>
      </c>
      <c r="J201" s="363">
        <f>'TBI-CLBD'!I180*70%</f>
        <v>107.21199999999999</v>
      </c>
      <c r="K201" s="363" t="e">
        <f>#REF!*70%</f>
        <v>#REF!</v>
      </c>
      <c r="L201" s="348" t="e">
        <f>SUM(E201:K201)</f>
        <v>#VALUE!</v>
      </c>
      <c r="M201" s="353" t="e">
        <f>L201*'He so chung'!$D$17/100</f>
        <v>#VALUE!</v>
      </c>
      <c r="N201" s="349" t="e">
        <f>M201+L201</f>
        <v>#VALUE!</v>
      </c>
      <c r="O201" s="354">
        <f>'He so chung'!$D$21*R201</f>
        <v>167.22769230769231</v>
      </c>
      <c r="P201" s="354">
        <f>'He so chung'!$D$22*R201</f>
        <v>145.41538461538462</v>
      </c>
      <c r="Q201" s="411">
        <f>'He so chung'!$D$23*R201</f>
        <v>21.812307692307694</v>
      </c>
      <c r="R201" s="425">
        <f>'NC-CLBD'!J69/25</f>
        <v>2.7200000000000002E-2</v>
      </c>
    </row>
    <row r="202" spans="1:18" s="4" customFormat="1" ht="12.75" hidden="1" customHeight="1">
      <c r="A202" s="102"/>
      <c r="B202" s="103"/>
      <c r="C202" s="121"/>
      <c r="D202" s="361"/>
      <c r="E202" s="362"/>
      <c r="F202" s="363"/>
      <c r="G202" s="353"/>
      <c r="H202" s="363"/>
      <c r="I202" s="363"/>
      <c r="J202" s="363"/>
      <c r="K202" s="363"/>
      <c r="L202" s="348"/>
      <c r="M202" s="353"/>
      <c r="N202" s="349"/>
      <c r="O202" s="354"/>
      <c r="P202" s="354"/>
      <c r="Q202" s="411"/>
      <c r="R202" s="425"/>
    </row>
    <row r="203" spans="1:18" s="4" customFormat="1" ht="19.5" hidden="1" customHeight="1">
      <c r="A203" s="315" t="s">
        <v>87</v>
      </c>
      <c r="B203" s="314" t="s">
        <v>365</v>
      </c>
      <c r="C203" s="318" t="s">
        <v>1</v>
      </c>
      <c r="D203" s="351" t="s">
        <v>8</v>
      </c>
      <c r="E203" s="362" t="e">
        <f>'NC-CLBD'!K71/25</f>
        <v>#VALUE!</v>
      </c>
      <c r="F203" s="363"/>
      <c r="G203" s="353">
        <f>$Q$1*10*P203</f>
        <v>0</v>
      </c>
      <c r="H203" s="363">
        <f>'DCu-CLBD'!L209*15%</f>
        <v>68.948225769230774</v>
      </c>
      <c r="I203" s="363">
        <f>'VL-CLBD'!J112*15%</f>
        <v>746.17199999999991</v>
      </c>
      <c r="J203" s="363">
        <f>'TBI-CLBD'!I180*15%</f>
        <v>22.974</v>
      </c>
      <c r="K203" s="363" t="e">
        <f>#REF!*15%</f>
        <v>#REF!</v>
      </c>
      <c r="L203" s="348" t="e">
        <f>SUM(E203:K203)</f>
        <v>#VALUE!</v>
      </c>
      <c r="M203" s="353" t="e">
        <f>L203*'He so chung'!$D$17/100</f>
        <v>#VALUE!</v>
      </c>
      <c r="N203" s="349" t="e">
        <f>M203+L203</f>
        <v>#VALUE!</v>
      </c>
      <c r="O203" s="354">
        <f>'He so chung'!$D$21*R203</f>
        <v>196.73846153846154</v>
      </c>
      <c r="P203" s="354">
        <f>'He so chung'!$D$22*R203</f>
        <v>171.07692307692307</v>
      </c>
      <c r="Q203" s="411">
        <f>'He so chung'!$D$23*R203</f>
        <v>25.661538461538463</v>
      </c>
      <c r="R203" s="425">
        <f>'NC-CLBD'!J71/25</f>
        <v>3.2000000000000001E-2</v>
      </c>
    </row>
    <row r="204" spans="1:18" s="4" customFormat="1" ht="12" hidden="1" customHeight="1">
      <c r="A204" s="316"/>
      <c r="B204" s="317"/>
      <c r="C204" s="121"/>
      <c r="D204" s="361"/>
      <c r="E204" s="362"/>
      <c r="F204" s="363"/>
      <c r="G204" s="353"/>
      <c r="H204" s="363"/>
      <c r="I204" s="363"/>
      <c r="J204" s="363"/>
      <c r="K204" s="363"/>
      <c r="L204" s="348"/>
      <c r="M204" s="353"/>
      <c r="N204" s="349"/>
      <c r="O204" s="354"/>
      <c r="P204" s="354"/>
      <c r="Q204" s="411"/>
      <c r="R204" s="425"/>
    </row>
    <row r="205" spans="1:18" s="4" customFormat="1" ht="15.75" hidden="1" customHeight="1">
      <c r="A205" s="315" t="s">
        <v>88</v>
      </c>
      <c r="B205" s="314" t="s">
        <v>366</v>
      </c>
      <c r="C205" s="318" t="s">
        <v>1</v>
      </c>
      <c r="D205" s="351" t="s">
        <v>8</v>
      </c>
      <c r="E205" s="353" t="e">
        <f>'NC-CLBD'!K73/25</f>
        <v>#VALUE!</v>
      </c>
      <c r="F205" s="353"/>
      <c r="G205" s="353">
        <f>$Q$1*10*P205</f>
        <v>0</v>
      </c>
      <c r="H205" s="353">
        <f>'DCu-CLBD'!L209*15%</f>
        <v>68.948225769230774</v>
      </c>
      <c r="I205" s="353">
        <f>'VL-CLBD'!J112*15%</f>
        <v>746.17199999999991</v>
      </c>
      <c r="J205" s="353">
        <f>'TBI-CLBD'!I180*15%</f>
        <v>22.974</v>
      </c>
      <c r="K205" s="353" t="e">
        <f>#REF!*15%</f>
        <v>#REF!</v>
      </c>
      <c r="L205" s="348" t="e">
        <f>SUM(E205:K205)</f>
        <v>#VALUE!</v>
      </c>
      <c r="M205" s="353" t="e">
        <f>L205*'He so chung'!$D$17/100</f>
        <v>#VALUE!</v>
      </c>
      <c r="N205" s="349" t="e">
        <f>M205+L205</f>
        <v>#VALUE!</v>
      </c>
      <c r="O205" s="354">
        <f>'He so chung'!$D$21*R205</f>
        <v>418.06923076923078</v>
      </c>
      <c r="P205" s="354">
        <f>'He so chung'!$D$22*R205</f>
        <v>363.53846153846155</v>
      </c>
      <c r="Q205" s="411">
        <f>'He so chung'!$D$23*R205</f>
        <v>54.530769230769231</v>
      </c>
      <c r="R205" s="412">
        <f>'NC-CLBD'!J73/25</f>
        <v>6.8000000000000005E-2</v>
      </c>
    </row>
    <row r="206" spans="1:18" s="4" customFormat="1" ht="9.75" hidden="1" customHeight="1">
      <c r="A206" s="403"/>
      <c r="B206" s="401"/>
      <c r="C206" s="404"/>
      <c r="D206" s="377"/>
      <c r="E206" s="379"/>
      <c r="F206" s="379"/>
      <c r="G206" s="379"/>
      <c r="H206" s="379"/>
      <c r="I206" s="379"/>
      <c r="J206" s="379"/>
      <c r="K206" s="379"/>
      <c r="L206" s="380"/>
      <c r="M206" s="379"/>
      <c r="N206" s="381"/>
      <c r="O206" s="382"/>
      <c r="P206" s="382"/>
      <c r="Q206" s="423"/>
      <c r="R206" s="454"/>
    </row>
    <row r="207" spans="1:18" s="4" customFormat="1" ht="6" hidden="1" customHeight="1">
      <c r="A207" s="444"/>
      <c r="B207" s="445"/>
      <c r="C207" s="446"/>
      <c r="D207" s="444"/>
      <c r="E207" s="374"/>
      <c r="F207" s="374"/>
      <c r="G207" s="374"/>
      <c r="H207" s="374"/>
      <c r="I207" s="374"/>
      <c r="J207" s="374"/>
      <c r="K207" s="374"/>
      <c r="L207" s="374"/>
      <c r="M207" s="374"/>
      <c r="N207" s="374"/>
      <c r="O207" s="322"/>
      <c r="P207" s="322"/>
      <c r="Q207" s="426"/>
      <c r="R207" s="427"/>
    </row>
    <row r="208" spans="1:18" s="4" customFormat="1" ht="18.75" customHeight="1">
      <c r="A208" s="95"/>
      <c r="B208" s="501" t="s">
        <v>421</v>
      </c>
      <c r="C208" s="113"/>
      <c r="D208" s="114"/>
      <c r="E208" s="385"/>
      <c r="F208" s="385"/>
      <c r="G208" s="385"/>
      <c r="H208" s="385"/>
      <c r="I208" s="385"/>
      <c r="J208" s="385"/>
      <c r="K208" s="385"/>
      <c r="L208" s="385"/>
      <c r="M208" s="385"/>
      <c r="N208" s="385"/>
      <c r="O208" s="386"/>
      <c r="P208" s="428"/>
      <c r="Q208" s="429"/>
      <c r="R208" s="430"/>
    </row>
    <row r="209" spans="1:18" s="4" customFormat="1" ht="17.25" customHeight="1">
      <c r="A209" s="955" t="s">
        <v>3</v>
      </c>
      <c r="B209" s="958" t="s">
        <v>390</v>
      </c>
      <c r="C209" s="961" t="s">
        <v>1</v>
      </c>
      <c r="D209" s="387" t="s">
        <v>9</v>
      </c>
      <c r="E209" s="388" t="e">
        <f t="shared" ref="E209:R214" si="34">E151+E$201+E$203+E$205</f>
        <v>#VALUE!</v>
      </c>
      <c r="F209" s="388">
        <f t="shared" si="34"/>
        <v>0</v>
      </c>
      <c r="G209" s="388">
        <f t="shared" si="34"/>
        <v>0</v>
      </c>
      <c r="H209" s="388">
        <f t="shared" si="34"/>
        <v>2011.4565692307688</v>
      </c>
      <c r="I209" s="388">
        <f t="shared" si="34"/>
        <v>7976.8799999999992</v>
      </c>
      <c r="J209" s="388">
        <f t="shared" si="34"/>
        <v>153.15999999999997</v>
      </c>
      <c r="K209" s="388" t="e">
        <f t="shared" si="34"/>
        <v>#REF!</v>
      </c>
      <c r="L209" s="388" t="e">
        <f t="shared" si="34"/>
        <v>#VALUE!</v>
      </c>
      <c r="M209" s="388" t="e">
        <f t="shared" si="34"/>
        <v>#VALUE!</v>
      </c>
      <c r="N209" s="388" t="e">
        <f t="shared" si="34"/>
        <v>#VALUE!</v>
      </c>
      <c r="O209" s="388">
        <f t="shared" si="34"/>
        <v>4326.5353846153848</v>
      </c>
      <c r="P209" s="388">
        <f t="shared" si="34"/>
        <v>3515.6307692307687</v>
      </c>
      <c r="Q209" s="388">
        <f t="shared" si="34"/>
        <v>810.90461538461557</v>
      </c>
      <c r="R209" s="388">
        <f t="shared" si="34"/>
        <v>0.65759999999999996</v>
      </c>
    </row>
    <row r="210" spans="1:18" s="4" customFormat="1" ht="17.25" customHeight="1">
      <c r="A210" s="956"/>
      <c r="B210" s="959"/>
      <c r="C210" s="962"/>
      <c r="D210" s="389" t="s">
        <v>10</v>
      </c>
      <c r="E210" s="388" t="e">
        <f t="shared" si="34"/>
        <v>#VALUE!</v>
      </c>
      <c r="F210" s="388">
        <f t="shared" si="34"/>
        <v>0</v>
      </c>
      <c r="G210" s="388">
        <f t="shared" si="34"/>
        <v>0</v>
      </c>
      <c r="H210" s="388">
        <f t="shared" si="34"/>
        <v>2399.4070019230767</v>
      </c>
      <c r="I210" s="388">
        <f t="shared" si="34"/>
        <v>7976.8799999999992</v>
      </c>
      <c r="J210" s="388">
        <f t="shared" si="34"/>
        <v>153.15999999999997</v>
      </c>
      <c r="K210" s="388" t="e">
        <f t="shared" si="34"/>
        <v>#REF!</v>
      </c>
      <c r="L210" s="388" t="e">
        <f t="shared" si="34"/>
        <v>#VALUE!</v>
      </c>
      <c r="M210" s="388" t="e">
        <f t="shared" si="34"/>
        <v>#VALUE!</v>
      </c>
      <c r="N210" s="388" t="e">
        <f t="shared" si="34"/>
        <v>#VALUE!</v>
      </c>
      <c r="O210" s="388">
        <f t="shared" si="34"/>
        <v>5390.42</v>
      </c>
      <c r="P210" s="388">
        <f t="shared" si="34"/>
        <v>4366.7384615384608</v>
      </c>
      <c r="Q210" s="388">
        <f t="shared" si="34"/>
        <v>1023.6815384615386</v>
      </c>
      <c r="R210" s="388">
        <f t="shared" si="34"/>
        <v>0.81679999999999997</v>
      </c>
    </row>
    <row r="211" spans="1:18" s="4" customFormat="1" ht="17.25" customHeight="1">
      <c r="A211" s="956"/>
      <c r="B211" s="959"/>
      <c r="C211" s="962"/>
      <c r="D211" s="389" t="s">
        <v>11</v>
      </c>
      <c r="E211" s="388" t="e">
        <f t="shared" si="34"/>
        <v>#VALUE!</v>
      </c>
      <c r="F211" s="388">
        <f t="shared" si="34"/>
        <v>0</v>
      </c>
      <c r="G211" s="388">
        <f t="shared" si="34"/>
        <v>0</v>
      </c>
      <c r="H211" s="388">
        <f t="shared" si="34"/>
        <v>3045.9910564102561</v>
      </c>
      <c r="I211" s="388">
        <f t="shared" si="34"/>
        <v>7976.8799999999992</v>
      </c>
      <c r="J211" s="388">
        <f t="shared" si="34"/>
        <v>153.15999999999997</v>
      </c>
      <c r="K211" s="388" t="e">
        <f t="shared" si="34"/>
        <v>#REF!</v>
      </c>
      <c r="L211" s="388" t="e">
        <f t="shared" si="34"/>
        <v>#VALUE!</v>
      </c>
      <c r="M211" s="388" t="e">
        <f t="shared" si="34"/>
        <v>#VALUE!</v>
      </c>
      <c r="N211" s="388" t="e">
        <f t="shared" si="34"/>
        <v>#VALUE!</v>
      </c>
      <c r="O211" s="388">
        <f t="shared" si="34"/>
        <v>6769.7276923076915</v>
      </c>
      <c r="P211" s="388">
        <f t="shared" si="34"/>
        <v>5470.1846153846154</v>
      </c>
      <c r="Q211" s="388">
        <f t="shared" si="34"/>
        <v>1299.5430769230768</v>
      </c>
      <c r="R211" s="388">
        <f t="shared" si="34"/>
        <v>1.0231999999999999</v>
      </c>
    </row>
    <row r="212" spans="1:18" s="4" customFormat="1" ht="17.25" customHeight="1">
      <c r="A212" s="956"/>
      <c r="B212" s="959"/>
      <c r="C212" s="962"/>
      <c r="D212" s="391" t="s">
        <v>12</v>
      </c>
      <c r="E212" s="388" t="e">
        <f t="shared" si="34"/>
        <v>#VALUE!</v>
      </c>
      <c r="F212" s="388">
        <f t="shared" si="34"/>
        <v>0</v>
      </c>
      <c r="G212" s="388">
        <f t="shared" si="34"/>
        <v>0</v>
      </c>
      <c r="H212" s="388">
        <f t="shared" si="34"/>
        <v>3951.2087326923074</v>
      </c>
      <c r="I212" s="388">
        <f t="shared" si="34"/>
        <v>7976.8799999999992</v>
      </c>
      <c r="J212" s="388">
        <f t="shared" si="34"/>
        <v>153.15999999999997</v>
      </c>
      <c r="K212" s="388" t="e">
        <f t="shared" si="34"/>
        <v>#REF!</v>
      </c>
      <c r="L212" s="388" t="e">
        <f t="shared" si="34"/>
        <v>#VALUE!</v>
      </c>
      <c r="M212" s="388" t="e">
        <f t="shared" si="34"/>
        <v>#VALUE!</v>
      </c>
      <c r="N212" s="388" t="e">
        <f t="shared" si="34"/>
        <v>#VALUE!</v>
      </c>
      <c r="O212" s="388">
        <f t="shared" si="34"/>
        <v>8566.0353846153848</v>
      </c>
      <c r="P212" s="388">
        <f t="shared" si="34"/>
        <v>6907.2307692307695</v>
      </c>
      <c r="Q212" s="388">
        <f t="shared" si="34"/>
        <v>1658.8046153846155</v>
      </c>
      <c r="R212" s="388">
        <f t="shared" si="34"/>
        <v>1.2920000000000003</v>
      </c>
    </row>
    <row r="213" spans="1:18" s="4" customFormat="1" ht="17.25" customHeight="1">
      <c r="A213" s="956"/>
      <c r="B213" s="959"/>
      <c r="C213" s="962"/>
      <c r="D213" s="389" t="s">
        <v>13</v>
      </c>
      <c r="E213" s="388" t="e">
        <f t="shared" si="34"/>
        <v>#VALUE!</v>
      </c>
      <c r="F213" s="388">
        <f t="shared" si="34"/>
        <v>0</v>
      </c>
      <c r="G213" s="388">
        <f t="shared" si="34"/>
        <v>0</v>
      </c>
      <c r="H213" s="388">
        <f t="shared" si="34"/>
        <v>4985.7432198717943</v>
      </c>
      <c r="I213" s="388">
        <f t="shared" si="34"/>
        <v>7976.8799999999992</v>
      </c>
      <c r="J213" s="388">
        <f t="shared" si="34"/>
        <v>153.15999999999997</v>
      </c>
      <c r="K213" s="388" t="e">
        <f t="shared" si="34"/>
        <v>#REF!</v>
      </c>
      <c r="L213" s="388" t="e">
        <f t="shared" si="34"/>
        <v>#VALUE!</v>
      </c>
      <c r="M213" s="388" t="e">
        <f t="shared" si="34"/>
        <v>#VALUE!</v>
      </c>
      <c r="N213" s="388" t="e">
        <f t="shared" si="34"/>
        <v>#VALUE!</v>
      </c>
      <c r="O213" s="388">
        <f t="shared" si="34"/>
        <v>10902.304615384615</v>
      </c>
      <c r="P213" s="388">
        <f t="shared" si="34"/>
        <v>8776.2461538461539</v>
      </c>
      <c r="Q213" s="388">
        <f t="shared" si="34"/>
        <v>2126.0584615384619</v>
      </c>
      <c r="R213" s="388">
        <f t="shared" si="34"/>
        <v>1.6415999999999999</v>
      </c>
    </row>
    <row r="214" spans="1:18" s="4" customFormat="1" ht="17.25" customHeight="1">
      <c r="A214" s="967"/>
      <c r="B214" s="968"/>
      <c r="C214" s="969"/>
      <c r="D214" s="387" t="s">
        <v>14</v>
      </c>
      <c r="E214" s="388" t="e">
        <f t="shared" si="34"/>
        <v>#VALUE!</v>
      </c>
      <c r="F214" s="388">
        <f t="shared" si="34"/>
        <v>0</v>
      </c>
      <c r="G214" s="388">
        <f t="shared" si="34"/>
        <v>0</v>
      </c>
      <c r="H214" s="388">
        <f t="shared" si="34"/>
        <v>459.65483846153842</v>
      </c>
      <c r="I214" s="388">
        <f t="shared" si="34"/>
        <v>7976.8799999999992</v>
      </c>
      <c r="J214" s="388">
        <f t="shared" si="34"/>
        <v>153.15999999999997</v>
      </c>
      <c r="K214" s="388" t="e">
        <f t="shared" si="34"/>
        <v>#REF!</v>
      </c>
      <c r="L214" s="388" t="e">
        <f t="shared" si="34"/>
        <v>#VALUE!</v>
      </c>
      <c r="M214" s="388" t="e">
        <f t="shared" si="34"/>
        <v>#VALUE!</v>
      </c>
      <c r="N214" s="388" t="e">
        <f t="shared" si="34"/>
        <v>#VALUE!</v>
      </c>
      <c r="O214" s="388">
        <f t="shared" si="34"/>
        <v>782.0353846153846</v>
      </c>
      <c r="P214" s="388">
        <f t="shared" si="34"/>
        <v>680.03076923076924</v>
      </c>
      <c r="Q214" s="388">
        <f t="shared" si="34"/>
        <v>102.00461538461539</v>
      </c>
      <c r="R214" s="388">
        <f t="shared" si="34"/>
        <v>0.12720000000000001</v>
      </c>
    </row>
    <row r="215" spans="1:18" s="4" customFormat="1" ht="12" customHeight="1">
      <c r="A215" s="494"/>
      <c r="B215" s="495"/>
      <c r="C215" s="496"/>
      <c r="D215" s="393"/>
      <c r="E215" s="497"/>
      <c r="F215" s="497"/>
      <c r="G215" s="497"/>
      <c r="H215" s="497"/>
      <c r="I215" s="497"/>
      <c r="J215" s="497"/>
      <c r="K215" s="497"/>
      <c r="L215" s="497"/>
      <c r="M215" s="497"/>
      <c r="N215" s="497"/>
      <c r="O215" s="497"/>
      <c r="P215" s="498"/>
      <c r="Q215" s="499"/>
      <c r="R215" s="500"/>
    </row>
    <row r="216" spans="1:18" s="4" customFormat="1" ht="20.100000000000001" customHeight="1">
      <c r="A216" s="956" t="s">
        <v>4</v>
      </c>
      <c r="B216" s="959" t="s">
        <v>391</v>
      </c>
      <c r="C216" s="962" t="s">
        <v>278</v>
      </c>
      <c r="D216" s="387" t="s">
        <v>9</v>
      </c>
      <c r="E216" s="449" t="e">
        <f t="shared" ref="E216:R221" si="35">E158+E165+E175+E$186+E189+E$196+E$199</f>
        <v>#VALUE!</v>
      </c>
      <c r="F216" s="449">
        <f t="shared" si="35"/>
        <v>5567.5</v>
      </c>
      <c r="G216" s="449" t="e">
        <f t="shared" si="35"/>
        <v>#REF!</v>
      </c>
      <c r="H216" s="449" t="e">
        <f t="shared" si="35"/>
        <v>#REF!</v>
      </c>
      <c r="I216" s="449" t="e">
        <f t="shared" si="35"/>
        <v>#REF!</v>
      </c>
      <c r="J216" s="449" t="e">
        <f t="shared" si="35"/>
        <v>#REF!</v>
      </c>
      <c r="K216" s="449" t="e">
        <f t="shared" si="35"/>
        <v>#REF!</v>
      </c>
      <c r="L216" s="449" t="e">
        <f t="shared" si="35"/>
        <v>#VALUE!</v>
      </c>
      <c r="M216" s="449" t="e">
        <f t="shared" si="35"/>
        <v>#VALUE!</v>
      </c>
      <c r="N216" s="449" t="e">
        <f t="shared" si="35"/>
        <v>#VALUE!</v>
      </c>
      <c r="O216" s="449" t="e">
        <f t="shared" si="35"/>
        <v>#REF!</v>
      </c>
      <c r="P216" s="449" t="e">
        <f t="shared" si="35"/>
        <v>#REF!</v>
      </c>
      <c r="Q216" s="449" t="e">
        <f t="shared" si="35"/>
        <v>#REF!</v>
      </c>
      <c r="R216" s="449" t="e">
        <f t="shared" si="35"/>
        <v>#REF!</v>
      </c>
    </row>
    <row r="217" spans="1:18" s="4" customFormat="1" ht="20.100000000000001" customHeight="1">
      <c r="A217" s="956"/>
      <c r="B217" s="959"/>
      <c r="C217" s="962"/>
      <c r="D217" s="389" t="s">
        <v>10</v>
      </c>
      <c r="E217" s="449" t="e">
        <f t="shared" si="35"/>
        <v>#VALUE!</v>
      </c>
      <c r="F217" s="449">
        <f t="shared" si="35"/>
        <v>6694.1</v>
      </c>
      <c r="G217" s="449" t="e">
        <f t="shared" si="35"/>
        <v>#REF!</v>
      </c>
      <c r="H217" s="449" t="e">
        <f t="shared" si="35"/>
        <v>#REF!</v>
      </c>
      <c r="I217" s="449" t="e">
        <f t="shared" si="35"/>
        <v>#REF!</v>
      </c>
      <c r="J217" s="449" t="e">
        <f t="shared" si="35"/>
        <v>#REF!</v>
      </c>
      <c r="K217" s="449" t="e">
        <f t="shared" si="35"/>
        <v>#REF!</v>
      </c>
      <c r="L217" s="449" t="e">
        <f t="shared" si="35"/>
        <v>#VALUE!</v>
      </c>
      <c r="M217" s="449" t="e">
        <f t="shared" si="35"/>
        <v>#VALUE!</v>
      </c>
      <c r="N217" s="449" t="e">
        <f t="shared" si="35"/>
        <v>#VALUE!</v>
      </c>
      <c r="O217" s="449" t="e">
        <f t="shared" si="35"/>
        <v>#REF!</v>
      </c>
      <c r="P217" s="449" t="e">
        <f t="shared" si="35"/>
        <v>#REF!</v>
      </c>
      <c r="Q217" s="449" t="e">
        <f t="shared" si="35"/>
        <v>#REF!</v>
      </c>
      <c r="R217" s="449" t="e">
        <f t="shared" si="35"/>
        <v>#REF!</v>
      </c>
    </row>
    <row r="218" spans="1:18" s="4" customFormat="1" ht="20.100000000000001" customHeight="1">
      <c r="A218" s="956"/>
      <c r="B218" s="959"/>
      <c r="C218" s="962"/>
      <c r="D218" s="389" t="s">
        <v>11</v>
      </c>
      <c r="E218" s="449" t="e">
        <f t="shared" si="35"/>
        <v>#VALUE!</v>
      </c>
      <c r="F218" s="449">
        <f t="shared" si="35"/>
        <v>8017.2</v>
      </c>
      <c r="G218" s="449" t="e">
        <f t="shared" si="35"/>
        <v>#REF!</v>
      </c>
      <c r="H218" s="449" t="e">
        <f t="shared" si="35"/>
        <v>#REF!</v>
      </c>
      <c r="I218" s="449" t="e">
        <f t="shared" si="35"/>
        <v>#REF!</v>
      </c>
      <c r="J218" s="449" t="e">
        <f t="shared" si="35"/>
        <v>#REF!</v>
      </c>
      <c r="K218" s="449" t="e">
        <f t="shared" si="35"/>
        <v>#REF!</v>
      </c>
      <c r="L218" s="449" t="e">
        <f t="shared" si="35"/>
        <v>#VALUE!</v>
      </c>
      <c r="M218" s="449" t="e">
        <f t="shared" si="35"/>
        <v>#VALUE!</v>
      </c>
      <c r="N218" s="449" t="e">
        <f t="shared" si="35"/>
        <v>#VALUE!</v>
      </c>
      <c r="O218" s="449" t="e">
        <f t="shared" si="35"/>
        <v>#REF!</v>
      </c>
      <c r="P218" s="449" t="e">
        <f t="shared" si="35"/>
        <v>#REF!</v>
      </c>
      <c r="Q218" s="449" t="e">
        <f t="shared" si="35"/>
        <v>#REF!</v>
      </c>
      <c r="R218" s="449" t="e">
        <f t="shared" si="35"/>
        <v>#REF!</v>
      </c>
    </row>
    <row r="219" spans="1:18" s="4" customFormat="1" ht="20.100000000000001" customHeight="1">
      <c r="A219" s="956"/>
      <c r="B219" s="959"/>
      <c r="C219" s="962"/>
      <c r="D219" s="391" t="s">
        <v>12</v>
      </c>
      <c r="E219" s="449" t="e">
        <f t="shared" si="35"/>
        <v>#VALUE!</v>
      </c>
      <c r="F219" s="449">
        <f t="shared" si="35"/>
        <v>9628.5</v>
      </c>
      <c r="G219" s="449" t="e">
        <f t="shared" si="35"/>
        <v>#REF!</v>
      </c>
      <c r="H219" s="449" t="e">
        <f t="shared" si="35"/>
        <v>#REF!</v>
      </c>
      <c r="I219" s="449" t="e">
        <f t="shared" si="35"/>
        <v>#REF!</v>
      </c>
      <c r="J219" s="449" t="e">
        <f t="shared" si="35"/>
        <v>#REF!</v>
      </c>
      <c r="K219" s="449" t="e">
        <f t="shared" si="35"/>
        <v>#REF!</v>
      </c>
      <c r="L219" s="449" t="e">
        <f t="shared" si="35"/>
        <v>#VALUE!</v>
      </c>
      <c r="M219" s="449" t="e">
        <f t="shared" si="35"/>
        <v>#VALUE!</v>
      </c>
      <c r="N219" s="449" t="e">
        <f t="shared" si="35"/>
        <v>#VALUE!</v>
      </c>
      <c r="O219" s="449" t="e">
        <f t="shared" si="35"/>
        <v>#REF!</v>
      </c>
      <c r="P219" s="449" t="e">
        <f t="shared" si="35"/>
        <v>#REF!</v>
      </c>
      <c r="Q219" s="449" t="e">
        <f t="shared" si="35"/>
        <v>#REF!</v>
      </c>
      <c r="R219" s="449" t="e">
        <f t="shared" si="35"/>
        <v>#REF!</v>
      </c>
    </row>
    <row r="220" spans="1:18" s="4" customFormat="1" ht="20.100000000000001" customHeight="1">
      <c r="A220" s="956"/>
      <c r="B220" s="959"/>
      <c r="C220" s="962"/>
      <c r="D220" s="389" t="s">
        <v>13</v>
      </c>
      <c r="E220" s="449" t="e">
        <f t="shared" si="35"/>
        <v>#VALUE!</v>
      </c>
      <c r="F220" s="449">
        <f t="shared" si="35"/>
        <v>11554.2</v>
      </c>
      <c r="G220" s="449" t="e">
        <f t="shared" si="35"/>
        <v>#REF!</v>
      </c>
      <c r="H220" s="449" t="e">
        <f t="shared" si="35"/>
        <v>#REF!</v>
      </c>
      <c r="I220" s="449" t="e">
        <f t="shared" si="35"/>
        <v>#REF!</v>
      </c>
      <c r="J220" s="449" t="e">
        <f t="shared" si="35"/>
        <v>#REF!</v>
      </c>
      <c r="K220" s="449" t="e">
        <f t="shared" si="35"/>
        <v>#REF!</v>
      </c>
      <c r="L220" s="449" t="e">
        <f t="shared" si="35"/>
        <v>#VALUE!</v>
      </c>
      <c r="M220" s="449" t="e">
        <f t="shared" si="35"/>
        <v>#VALUE!</v>
      </c>
      <c r="N220" s="449" t="e">
        <f t="shared" si="35"/>
        <v>#VALUE!</v>
      </c>
      <c r="O220" s="449" t="e">
        <f t="shared" si="35"/>
        <v>#REF!</v>
      </c>
      <c r="P220" s="449" t="e">
        <f t="shared" si="35"/>
        <v>#REF!</v>
      </c>
      <c r="Q220" s="449" t="e">
        <f t="shared" si="35"/>
        <v>#REF!</v>
      </c>
      <c r="R220" s="449" t="e">
        <f t="shared" si="35"/>
        <v>#REF!</v>
      </c>
    </row>
    <row r="221" spans="1:18" s="4" customFormat="1" ht="20.100000000000001" customHeight="1">
      <c r="A221" s="957"/>
      <c r="B221" s="960"/>
      <c r="C221" s="963"/>
      <c r="D221" s="393" t="s">
        <v>14</v>
      </c>
      <c r="E221" s="450" t="e">
        <f t="shared" si="35"/>
        <v>#REF!</v>
      </c>
      <c r="F221" s="450" t="e">
        <f t="shared" si="35"/>
        <v>#REF!</v>
      </c>
      <c r="G221" s="450" t="e">
        <f t="shared" si="35"/>
        <v>#REF!</v>
      </c>
      <c r="H221" s="450" t="e">
        <f t="shared" si="35"/>
        <v>#REF!</v>
      </c>
      <c r="I221" s="450" t="e">
        <f t="shared" si="35"/>
        <v>#REF!</v>
      </c>
      <c r="J221" s="450" t="e">
        <f t="shared" si="35"/>
        <v>#REF!</v>
      </c>
      <c r="K221" s="450" t="e">
        <f t="shared" si="35"/>
        <v>#REF!</v>
      </c>
      <c r="L221" s="450" t="e">
        <f t="shared" si="35"/>
        <v>#REF!</v>
      </c>
      <c r="M221" s="450" t="e">
        <f t="shared" si="35"/>
        <v>#REF!</v>
      </c>
      <c r="N221" s="450" t="e">
        <f t="shared" si="35"/>
        <v>#REF!</v>
      </c>
      <c r="O221" s="450" t="e">
        <f t="shared" si="35"/>
        <v>#REF!</v>
      </c>
      <c r="P221" s="450" t="e">
        <f t="shared" si="35"/>
        <v>#REF!</v>
      </c>
      <c r="Q221" s="450" t="e">
        <f t="shared" si="35"/>
        <v>#REF!</v>
      </c>
      <c r="R221" s="450" t="e">
        <f t="shared" si="35"/>
        <v>#REF!</v>
      </c>
    </row>
    <row r="222" spans="1:18" s="4" customFormat="1" ht="4.5" customHeight="1">
      <c r="A222" s="87"/>
      <c r="B222" s="79"/>
      <c r="C222" s="79"/>
      <c r="D222" s="87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2"/>
      <c r="P222" s="111"/>
      <c r="Q222" s="73"/>
      <c r="R222" s="74"/>
    </row>
    <row r="223" spans="1:18" s="4" customFormat="1" ht="25.5" hidden="1" customHeight="1">
      <c r="A223" s="976" t="s">
        <v>400</v>
      </c>
      <c r="B223" s="976"/>
      <c r="C223" s="976"/>
      <c r="D223" s="976"/>
      <c r="E223" s="976"/>
      <c r="F223" s="976"/>
      <c r="G223" s="976"/>
      <c r="H223" s="976"/>
      <c r="I223" s="976"/>
      <c r="J223" s="976"/>
      <c r="K223" s="976"/>
      <c r="L223" s="976"/>
      <c r="M223" s="976"/>
      <c r="N223" s="976"/>
      <c r="O223" s="976"/>
      <c r="P223" s="112"/>
      <c r="Q223" s="75"/>
      <c r="R223" s="76"/>
    </row>
    <row r="224" spans="1:18" s="4" customFormat="1" ht="8.25" hidden="1" customHeight="1">
      <c r="A224" s="319"/>
      <c r="B224" s="85"/>
      <c r="C224" s="84"/>
      <c r="D224" s="320"/>
      <c r="E224" s="187"/>
      <c r="F224" s="187"/>
      <c r="G224" s="187"/>
      <c r="H224" s="187"/>
      <c r="I224" s="187"/>
      <c r="J224" s="187"/>
      <c r="K224" s="187"/>
      <c r="L224" s="187"/>
      <c r="M224" s="321"/>
      <c r="N224" s="187"/>
      <c r="O224" s="322"/>
      <c r="P224" s="82"/>
      <c r="Q224" s="77"/>
      <c r="R224" s="78"/>
    </row>
    <row r="225" spans="1:18" s="4" customFormat="1" ht="18" hidden="1" customHeight="1">
      <c r="A225" s="970" t="s">
        <v>376</v>
      </c>
      <c r="B225" s="972" t="s">
        <v>377</v>
      </c>
      <c r="C225" s="974" t="s">
        <v>378</v>
      </c>
      <c r="D225" s="970" t="s">
        <v>91</v>
      </c>
      <c r="E225" s="964" t="s">
        <v>368</v>
      </c>
      <c r="F225" s="965"/>
      <c r="G225" s="965"/>
      <c r="H225" s="965"/>
      <c r="I225" s="965"/>
      <c r="J225" s="965"/>
      <c r="K225" s="965"/>
      <c r="L225" s="966"/>
      <c r="M225" s="324" t="s">
        <v>63</v>
      </c>
      <c r="N225" s="974" t="s">
        <v>379</v>
      </c>
      <c r="O225" s="323" t="s">
        <v>18</v>
      </c>
      <c r="P225" s="104" t="s">
        <v>19</v>
      </c>
      <c r="Q225" s="57" t="s">
        <v>19</v>
      </c>
      <c r="R225" s="58" t="s">
        <v>16</v>
      </c>
    </row>
    <row r="226" spans="1:18" s="4" customFormat="1" ht="19.5" hidden="1" customHeight="1">
      <c r="A226" s="971"/>
      <c r="B226" s="973"/>
      <c r="C226" s="975"/>
      <c r="D226" s="971"/>
      <c r="E226" s="327" t="s">
        <v>369</v>
      </c>
      <c r="F226" s="326" t="s">
        <v>370</v>
      </c>
      <c r="G226" s="328">
        <v>0</v>
      </c>
      <c r="H226" s="326" t="s">
        <v>257</v>
      </c>
      <c r="I226" s="326" t="s">
        <v>280</v>
      </c>
      <c r="J226" s="326" t="s">
        <v>261</v>
      </c>
      <c r="K226" s="326" t="s">
        <v>371</v>
      </c>
      <c r="L226" s="326" t="s">
        <v>372</v>
      </c>
      <c r="M226" s="326" t="s">
        <v>48</v>
      </c>
      <c r="N226" s="975"/>
      <c r="O226" s="325" t="s">
        <v>20</v>
      </c>
      <c r="P226" s="105" t="s">
        <v>21</v>
      </c>
      <c r="Q226" s="59" t="s">
        <v>22</v>
      </c>
      <c r="R226" s="60" t="s">
        <v>17</v>
      </c>
    </row>
    <row r="227" spans="1:18" s="4" customFormat="1" ht="16.5" hidden="1" customHeight="1">
      <c r="A227" s="329" t="s">
        <v>52</v>
      </c>
      <c r="B227" s="330" t="s">
        <v>53</v>
      </c>
      <c r="C227" s="330" t="s">
        <v>54</v>
      </c>
      <c r="D227" s="331" t="s">
        <v>55</v>
      </c>
      <c r="E227" s="332" t="s">
        <v>56</v>
      </c>
      <c r="F227" s="332" t="s">
        <v>57</v>
      </c>
      <c r="G227" s="332"/>
      <c r="H227" s="332" t="s">
        <v>58</v>
      </c>
      <c r="I227" s="332" t="s">
        <v>59</v>
      </c>
      <c r="J227" s="332" t="s">
        <v>60</v>
      </c>
      <c r="K227" s="332" t="s">
        <v>61</v>
      </c>
      <c r="L227" s="333" t="s">
        <v>373</v>
      </c>
      <c r="M227" s="333" t="s">
        <v>374</v>
      </c>
      <c r="N227" s="334" t="s">
        <v>375</v>
      </c>
      <c r="O227" s="332" t="s">
        <v>62</v>
      </c>
      <c r="P227" s="48"/>
      <c r="Q227" s="48"/>
      <c r="R227" s="49"/>
    </row>
    <row r="228" spans="1:18" s="4" customFormat="1" ht="20.25" hidden="1" customHeight="1">
      <c r="A228" s="335" t="s">
        <v>3</v>
      </c>
      <c r="B228" s="336" t="s">
        <v>380</v>
      </c>
      <c r="C228" s="337"/>
      <c r="D228" s="344"/>
      <c r="E228" s="345"/>
      <c r="F228" s="345"/>
      <c r="G228" s="345"/>
      <c r="H228" s="345"/>
      <c r="I228" s="345"/>
      <c r="J228" s="345"/>
      <c r="K228" s="345"/>
      <c r="L228" s="346"/>
      <c r="M228" s="346"/>
      <c r="N228" s="345"/>
      <c r="O228" s="347"/>
      <c r="P228" s="98"/>
      <c r="Q228" s="48"/>
      <c r="R228" s="49"/>
    </row>
    <row r="229" spans="1:18" s="4" customFormat="1" ht="16.5" hidden="1" customHeight="1">
      <c r="A229" s="315" t="s">
        <v>9</v>
      </c>
      <c r="B229" s="314" t="s">
        <v>73</v>
      </c>
      <c r="C229" s="318" t="s">
        <v>1</v>
      </c>
      <c r="D229" s="351">
        <v>1</v>
      </c>
      <c r="E229" s="352" t="e">
        <f>'NC-CLBD'!M5/100</f>
        <v>#VALUE!</v>
      </c>
      <c r="F229" s="353"/>
      <c r="G229" s="353">
        <f t="shared" ref="G229:G234" si="36">$Q$1*10*P229</f>
        <v>0</v>
      </c>
      <c r="H229" s="353">
        <f>'DCu-CLBD'!N23</f>
        <v>581.97528846153864</v>
      </c>
      <c r="I229" s="353">
        <f>'VL-CLBD'!L16</f>
        <v>750.6</v>
      </c>
      <c r="J229" s="353"/>
      <c r="K229" s="353"/>
      <c r="L229" s="348" t="e">
        <f t="shared" ref="L229:L234" si="37">SUM(E229:K229)</f>
        <v>#VALUE!</v>
      </c>
      <c r="M229" s="348" t="e">
        <f>L229*'He so chung'!$D$16/100</f>
        <v>#VALUE!</v>
      </c>
      <c r="N229" s="349" t="e">
        <f t="shared" ref="N229:N234" si="38">M229+L229</f>
        <v>#VALUE!</v>
      </c>
      <c r="O229" s="354">
        <f>'He so chung'!$D$18*R229</f>
        <v>1558.403846153846</v>
      </c>
      <c r="P229" s="354">
        <f>'He so chung'!$D$19*R229</f>
        <v>1246.7230769230769</v>
      </c>
      <c r="Q229" s="411">
        <f>'He so chung'!$D$20*R229</f>
        <v>311.68076923076927</v>
      </c>
      <c r="R229" s="61">
        <f>'NC-CLBD'!L5/100</f>
        <v>0.23319999999999999</v>
      </c>
    </row>
    <row r="230" spans="1:18" s="4" customFormat="1" ht="16.5" hidden="1" customHeight="1">
      <c r="A230" s="314"/>
      <c r="B230" s="187"/>
      <c r="C230" s="318"/>
      <c r="D230" s="351">
        <v>2</v>
      </c>
      <c r="E230" s="352" t="e">
        <f>'NC-CLBD'!M7/100</f>
        <v>#VALUE!</v>
      </c>
      <c r="F230" s="353"/>
      <c r="G230" s="353">
        <f t="shared" si="36"/>
        <v>0</v>
      </c>
      <c r="H230" s="353">
        <f>'DCu-CLBD'!N24</f>
        <v>727.4691105769233</v>
      </c>
      <c r="I230" s="353">
        <f>$I$229</f>
        <v>750.6</v>
      </c>
      <c r="J230" s="353"/>
      <c r="K230" s="353"/>
      <c r="L230" s="348" t="e">
        <f t="shared" si="37"/>
        <v>#VALUE!</v>
      </c>
      <c r="M230" s="348" t="e">
        <f>L230*'He so chung'!$D$16/100</f>
        <v>#VALUE!</v>
      </c>
      <c r="N230" s="349" t="e">
        <f t="shared" si="38"/>
        <v>#VALUE!</v>
      </c>
      <c r="O230" s="354">
        <f>'He so chung'!$D$18*R230</f>
        <v>1871.1538461538464</v>
      </c>
      <c r="P230" s="354">
        <f>'He so chung'!$D$19*R230</f>
        <v>1496.9230769230769</v>
      </c>
      <c r="Q230" s="411">
        <f>'He so chung'!$D$20*R230</f>
        <v>374.23076923076928</v>
      </c>
      <c r="R230" s="61">
        <f>'NC-CLBD'!L7/100</f>
        <v>0.28000000000000003</v>
      </c>
    </row>
    <row r="231" spans="1:18" s="4" customFormat="1" ht="16.5" hidden="1" customHeight="1">
      <c r="A231" s="315"/>
      <c r="B231" s="314"/>
      <c r="C231" s="318"/>
      <c r="D231" s="351">
        <v>3</v>
      </c>
      <c r="E231" s="352" t="e">
        <f>'NC-CLBD'!M9/100</f>
        <v>#VALUE!</v>
      </c>
      <c r="F231" s="353"/>
      <c r="G231" s="353">
        <f t="shared" si="36"/>
        <v>0</v>
      </c>
      <c r="H231" s="353">
        <f>'DCu-CLBD'!N25</f>
        <v>969.95881410256436</v>
      </c>
      <c r="I231" s="353">
        <f>$I$229</f>
        <v>750.6</v>
      </c>
      <c r="J231" s="353"/>
      <c r="K231" s="353"/>
      <c r="L231" s="348" t="e">
        <f t="shared" si="37"/>
        <v>#VALUE!</v>
      </c>
      <c r="M231" s="348" t="e">
        <f>L231*'He so chung'!$D$16/100</f>
        <v>#VALUE!</v>
      </c>
      <c r="N231" s="349" t="e">
        <f t="shared" si="38"/>
        <v>#VALUE!</v>
      </c>
      <c r="O231" s="354">
        <f>'He so chung'!$D$18*R231</f>
        <v>2245.3846153846157</v>
      </c>
      <c r="P231" s="354">
        <f>'He so chung'!$D$19*R231</f>
        <v>1796.3076923076924</v>
      </c>
      <c r="Q231" s="411">
        <f>'He so chung'!$D$20*R231</f>
        <v>449.07692307692315</v>
      </c>
      <c r="R231" s="61">
        <f>'NC-CLBD'!L9/100</f>
        <v>0.33600000000000002</v>
      </c>
    </row>
    <row r="232" spans="1:18" s="4" customFormat="1" ht="16.5" hidden="1" customHeight="1">
      <c r="A232" s="315"/>
      <c r="B232" s="314"/>
      <c r="C232" s="318"/>
      <c r="D232" s="351">
        <v>4</v>
      </c>
      <c r="E232" s="352" t="e">
        <f>'NC-CLBD'!M11/100</f>
        <v>#VALUE!</v>
      </c>
      <c r="F232" s="353"/>
      <c r="G232" s="353">
        <f t="shared" si="36"/>
        <v>0</v>
      </c>
      <c r="H232" s="353">
        <f>'DCu-CLBD'!N26</f>
        <v>1309.4443990384621</v>
      </c>
      <c r="I232" s="353">
        <f>$I$229</f>
        <v>750.6</v>
      </c>
      <c r="J232" s="353"/>
      <c r="K232" s="353"/>
      <c r="L232" s="348" t="e">
        <f t="shared" si="37"/>
        <v>#VALUE!</v>
      </c>
      <c r="M232" s="348" t="e">
        <f>L232*'He so chung'!$D$16/100</f>
        <v>#VALUE!</v>
      </c>
      <c r="N232" s="349" t="e">
        <f t="shared" si="38"/>
        <v>#VALUE!</v>
      </c>
      <c r="O232" s="354">
        <f>'He so chung'!$D$18*R232</f>
        <v>2694.4615384615386</v>
      </c>
      <c r="P232" s="354">
        <f>'He so chung'!$D$19*R232</f>
        <v>2155.5692307692307</v>
      </c>
      <c r="Q232" s="411">
        <f>'He so chung'!$D$20*R232</f>
        <v>538.89230769230778</v>
      </c>
      <c r="R232" s="61">
        <f>'NC-CLBD'!L11/100</f>
        <v>0.4032</v>
      </c>
    </row>
    <row r="233" spans="1:18" s="4" customFormat="1" ht="16.5" hidden="1" customHeight="1">
      <c r="A233" s="315"/>
      <c r="B233" s="314"/>
      <c r="C233" s="318"/>
      <c r="D233" s="351" t="s">
        <v>13</v>
      </c>
      <c r="E233" s="352" t="e">
        <f>'NC-CLBD'!M13/100</f>
        <v>#VALUE!</v>
      </c>
      <c r="F233" s="353"/>
      <c r="G233" s="353">
        <f t="shared" si="36"/>
        <v>0</v>
      </c>
      <c r="H233" s="353">
        <f>'DCu-CLBD'!N27</f>
        <v>1697.4279246794877</v>
      </c>
      <c r="I233" s="353">
        <f>'VL-CLBD'!L16</f>
        <v>750.6</v>
      </c>
      <c r="J233" s="353"/>
      <c r="K233" s="353"/>
      <c r="L233" s="348" t="e">
        <f t="shared" si="37"/>
        <v>#VALUE!</v>
      </c>
      <c r="M233" s="348" t="e">
        <f>L233*'He so chung'!$D$16/100</f>
        <v>#VALUE!</v>
      </c>
      <c r="N233" s="349" t="e">
        <f t="shared" si="38"/>
        <v>#VALUE!</v>
      </c>
      <c r="O233" s="354">
        <f>'He so chung'!$D$18*R233</f>
        <v>3233.0865384615386</v>
      </c>
      <c r="P233" s="354">
        <f>'He so chung'!$D$19*R233</f>
        <v>2586.4692307692308</v>
      </c>
      <c r="Q233" s="411">
        <f>'He so chung'!$D$20*R233</f>
        <v>646.6173076923078</v>
      </c>
      <c r="R233" s="61">
        <f>'NC-CLBD'!L13/100</f>
        <v>0.48380000000000001</v>
      </c>
    </row>
    <row r="234" spans="1:18" s="4" customFormat="1" ht="16.5" hidden="1" customHeight="1">
      <c r="A234" s="315"/>
      <c r="B234" s="314"/>
      <c r="C234" s="318"/>
      <c r="D234" s="351" t="s">
        <v>14</v>
      </c>
      <c r="E234" s="352">
        <f>'NC-CLBD'!M15/100</f>
        <v>0</v>
      </c>
      <c r="F234" s="353"/>
      <c r="G234" s="353">
        <f t="shared" si="36"/>
        <v>0</v>
      </c>
      <c r="H234" s="353">
        <f>'DCu-CLBD'!N28</f>
        <v>0</v>
      </c>
      <c r="I234" s="353">
        <f>'VL-CLBD'!L16</f>
        <v>750.6</v>
      </c>
      <c r="J234" s="353"/>
      <c r="K234" s="353"/>
      <c r="L234" s="348">
        <f t="shared" si="37"/>
        <v>750.6</v>
      </c>
      <c r="M234" s="348">
        <f>L234*'He so chung'!$D$16/100</f>
        <v>187.65</v>
      </c>
      <c r="N234" s="349">
        <f t="shared" si="38"/>
        <v>938.25</v>
      </c>
      <c r="O234" s="354">
        <f>'He so chung'!$D$18*R234</f>
        <v>0</v>
      </c>
      <c r="P234" s="354">
        <f>'He so chung'!$D$19*R234</f>
        <v>0</v>
      </c>
      <c r="Q234" s="411">
        <f>'He so chung'!$D$20*R234</f>
        <v>0</v>
      </c>
      <c r="R234" s="61">
        <f>'NC-CLBD'!L15/100</f>
        <v>0</v>
      </c>
    </row>
    <row r="235" spans="1:18" s="4" customFormat="1" ht="13.5" hidden="1" customHeight="1">
      <c r="A235" s="315"/>
      <c r="B235" s="314"/>
      <c r="C235" s="338"/>
      <c r="D235" s="351"/>
      <c r="E235" s="352"/>
      <c r="F235" s="353"/>
      <c r="G235" s="353"/>
      <c r="H235" s="353"/>
      <c r="I235" s="353"/>
      <c r="J235" s="353"/>
      <c r="K235" s="353"/>
      <c r="L235" s="348"/>
      <c r="M235" s="348"/>
      <c r="N235" s="349"/>
      <c r="O235" s="354"/>
      <c r="P235" s="354"/>
      <c r="Q235" s="411"/>
      <c r="R235" s="61"/>
    </row>
    <row r="236" spans="1:18" s="4" customFormat="1" ht="16.5" hidden="1" customHeight="1">
      <c r="A236" s="315" t="s">
        <v>10</v>
      </c>
      <c r="B236" s="314" t="s">
        <v>381</v>
      </c>
      <c r="C236" s="318" t="s">
        <v>278</v>
      </c>
      <c r="D236" s="351">
        <v>1</v>
      </c>
      <c r="E236" s="352" t="e">
        <f>'NC-CLBD'!M17/100</f>
        <v>#VALUE!</v>
      </c>
      <c r="F236" s="353"/>
      <c r="G236" s="353">
        <f t="shared" ref="G236:G241" si="39">$Q$1*10*P236</f>
        <v>0</v>
      </c>
      <c r="H236" s="353">
        <f>'DCu-CLBD'!N67</f>
        <v>26.93628605769231</v>
      </c>
      <c r="I236" s="353">
        <f>'VL-CLBD'!L45</f>
        <v>22.769099999999998</v>
      </c>
      <c r="J236" s="353">
        <f>'TBI-CLBD'!I30</f>
        <v>128.12</v>
      </c>
      <c r="K236" s="353" t="e">
        <f>#REF!</f>
        <v>#REF!</v>
      </c>
      <c r="L236" s="348" t="e">
        <f t="shared" ref="L236:L241" si="40">SUM(E236:K236)</f>
        <v>#VALUE!</v>
      </c>
      <c r="M236" s="348" t="e">
        <f>L236*'He so chung'!$D$16/100</f>
        <v>#VALUE!</v>
      </c>
      <c r="N236" s="349" t="e">
        <f t="shared" ref="N236:N241" si="41">M236+L236</f>
        <v>#VALUE!</v>
      </c>
      <c r="O236" s="354">
        <f>'He so chung'!$D$18*R236</f>
        <v>103.58173076923077</v>
      </c>
      <c r="P236" s="354">
        <f>'He so chung'!$D$19*R236</f>
        <v>82.865384615384613</v>
      </c>
      <c r="Q236" s="411">
        <f>'He so chung'!$D$20*R236</f>
        <v>20.716346153846157</v>
      </c>
      <c r="R236" s="61">
        <f>'NC-CLBD'!L17/100</f>
        <v>1.55E-2</v>
      </c>
    </row>
    <row r="237" spans="1:18" s="4" customFormat="1" ht="16.5" hidden="1" customHeight="1">
      <c r="A237" s="314"/>
      <c r="B237" s="187"/>
      <c r="C237" s="318"/>
      <c r="D237" s="351">
        <v>2</v>
      </c>
      <c r="E237" s="352" t="e">
        <f>'NC-CLBD'!M19/100</f>
        <v>#VALUE!</v>
      </c>
      <c r="F237" s="353"/>
      <c r="G237" s="353">
        <f t="shared" si="39"/>
        <v>0</v>
      </c>
      <c r="H237" s="353">
        <f>'DCu-CLBD'!N68</f>
        <v>33.670357572115385</v>
      </c>
      <c r="I237" s="353">
        <f>I236</f>
        <v>22.769099999999998</v>
      </c>
      <c r="J237" s="353">
        <f>'TBI-CLBD'!K30</f>
        <v>168.2</v>
      </c>
      <c r="K237" s="353" t="e">
        <f>#REF!</f>
        <v>#REF!</v>
      </c>
      <c r="L237" s="348" t="e">
        <f t="shared" si="40"/>
        <v>#VALUE!</v>
      </c>
      <c r="M237" s="348" t="e">
        <f>L237*'He so chung'!$D$16/100</f>
        <v>#VALUE!</v>
      </c>
      <c r="N237" s="349" t="e">
        <f t="shared" si="41"/>
        <v>#VALUE!</v>
      </c>
      <c r="O237" s="354">
        <f>'He so chung'!$D$18*R237</f>
        <v>140.33653846153848</v>
      </c>
      <c r="P237" s="354">
        <f>'He so chung'!$D$19*R237</f>
        <v>112.26923076923077</v>
      </c>
      <c r="Q237" s="411">
        <f>'He so chung'!$D$20*R237</f>
        <v>28.067307692307697</v>
      </c>
      <c r="R237" s="61">
        <f>'NC-CLBD'!L19/100</f>
        <v>2.1000000000000001E-2</v>
      </c>
    </row>
    <row r="238" spans="1:18" s="4" customFormat="1" ht="16.5" hidden="1" customHeight="1">
      <c r="A238" s="315"/>
      <c r="B238" s="314"/>
      <c r="C238" s="318"/>
      <c r="D238" s="351">
        <v>3</v>
      </c>
      <c r="E238" s="352" t="e">
        <f>'NC-CLBD'!M21/100</f>
        <v>#VALUE!</v>
      </c>
      <c r="F238" s="353"/>
      <c r="G238" s="353">
        <f t="shared" si="39"/>
        <v>0</v>
      </c>
      <c r="H238" s="353">
        <f>'DCu-CLBD'!N69</f>
        <v>44.89381009615385</v>
      </c>
      <c r="I238" s="353">
        <f>I237</f>
        <v>22.769099999999998</v>
      </c>
      <c r="J238" s="353">
        <f>'TBI-CLBD'!M30</f>
        <v>208.88</v>
      </c>
      <c r="K238" s="353" t="e">
        <f>#REF!</f>
        <v>#REF!</v>
      </c>
      <c r="L238" s="348" t="e">
        <f t="shared" si="40"/>
        <v>#VALUE!</v>
      </c>
      <c r="M238" s="348" t="e">
        <f>L238*'He so chung'!$D$16/100</f>
        <v>#VALUE!</v>
      </c>
      <c r="N238" s="349" t="e">
        <f t="shared" si="41"/>
        <v>#VALUE!</v>
      </c>
      <c r="O238" s="354">
        <f>'He so chung'!$D$18*R238</f>
        <v>173.75</v>
      </c>
      <c r="P238" s="354">
        <f>'He so chung'!$D$19*R238</f>
        <v>139</v>
      </c>
      <c r="Q238" s="411">
        <f>'He so chung'!$D$20*R238</f>
        <v>34.750000000000007</v>
      </c>
      <c r="R238" s="61">
        <f>'NC-CLBD'!L21/100</f>
        <v>2.6000000000000002E-2</v>
      </c>
    </row>
    <row r="239" spans="1:18" s="4" customFormat="1" ht="16.5" hidden="1" customHeight="1">
      <c r="A239" s="315"/>
      <c r="B239" s="314"/>
      <c r="C239" s="318"/>
      <c r="D239" s="351">
        <v>4</v>
      </c>
      <c r="E239" s="352" t="e">
        <f>'NC-CLBD'!M23/100</f>
        <v>#VALUE!</v>
      </c>
      <c r="F239" s="353"/>
      <c r="G239" s="353">
        <f t="shared" si="39"/>
        <v>0</v>
      </c>
      <c r="H239" s="353">
        <f>'DCu-CLBD'!N70</f>
        <v>60.606643629807699</v>
      </c>
      <c r="I239" s="353">
        <f>I238</f>
        <v>22.769099999999998</v>
      </c>
      <c r="J239" s="353">
        <f>'TBI-CLBD'!O30</f>
        <v>262.32</v>
      </c>
      <c r="K239" s="353" t="e">
        <f>#REF!</f>
        <v>#REF!</v>
      </c>
      <c r="L239" s="348" t="e">
        <f t="shared" si="40"/>
        <v>#VALUE!</v>
      </c>
      <c r="M239" s="348" t="e">
        <f>L239*'He so chung'!$D$16/100</f>
        <v>#VALUE!</v>
      </c>
      <c r="N239" s="349" t="e">
        <f t="shared" si="41"/>
        <v>#VALUE!</v>
      </c>
      <c r="O239" s="354">
        <f>'He so chung'!$D$18*R239</f>
        <v>217.1875</v>
      </c>
      <c r="P239" s="354">
        <f>'He so chung'!$D$19*R239</f>
        <v>173.75</v>
      </c>
      <c r="Q239" s="411">
        <f>'He so chung'!$D$20*R239</f>
        <v>43.437500000000007</v>
      </c>
      <c r="R239" s="61">
        <f>'NC-CLBD'!L23/100</f>
        <v>3.2500000000000001E-2</v>
      </c>
    </row>
    <row r="240" spans="1:18" s="4" customFormat="1" ht="16.5" hidden="1" customHeight="1">
      <c r="A240" s="315"/>
      <c r="B240" s="314"/>
      <c r="C240" s="338"/>
      <c r="D240" s="351" t="s">
        <v>13</v>
      </c>
      <c r="E240" s="352" t="e">
        <f>'NC-CLBD'!M25/100</f>
        <v>#VALUE!</v>
      </c>
      <c r="F240" s="353"/>
      <c r="G240" s="353">
        <f t="shared" si="39"/>
        <v>0</v>
      </c>
      <c r="H240" s="353">
        <f>'DCu-CLBD'!N71</f>
        <v>78.564167668269235</v>
      </c>
      <c r="I240" s="353">
        <f>'VL-CLBD'!L45</f>
        <v>22.769099999999998</v>
      </c>
      <c r="J240" s="353">
        <f>'TBI-CLBD'!Q30</f>
        <v>369.8</v>
      </c>
      <c r="K240" s="353" t="e">
        <f>#REF!</f>
        <v>#REF!</v>
      </c>
      <c r="L240" s="348" t="e">
        <f t="shared" si="40"/>
        <v>#VALUE!</v>
      </c>
      <c r="M240" s="348" t="e">
        <f>L240*'He so chung'!$D$16/100</f>
        <v>#VALUE!</v>
      </c>
      <c r="N240" s="349" t="e">
        <f t="shared" si="41"/>
        <v>#VALUE!</v>
      </c>
      <c r="O240" s="354">
        <f>'He so chung'!$D$18*R240</f>
        <v>304.0625</v>
      </c>
      <c r="P240" s="354">
        <f>'He so chung'!$D$19*R240</f>
        <v>243.24999999999997</v>
      </c>
      <c r="Q240" s="411">
        <f>'He so chung'!$D$20*R240</f>
        <v>60.812500000000007</v>
      </c>
      <c r="R240" s="61">
        <f>'NC-CLBD'!L25/100</f>
        <v>4.5499999999999999E-2</v>
      </c>
    </row>
    <row r="241" spans="1:18" s="4" customFormat="1" ht="16.5" hidden="1" customHeight="1">
      <c r="A241" s="315"/>
      <c r="B241" s="314"/>
      <c r="C241" s="318"/>
      <c r="D241" s="351" t="s">
        <v>14</v>
      </c>
      <c r="E241" s="352" t="e">
        <f>'NC-CLBD'!#REF!/100</f>
        <v>#REF!</v>
      </c>
      <c r="F241" s="353"/>
      <c r="G241" s="353" t="e">
        <f t="shared" si="39"/>
        <v>#REF!</v>
      </c>
      <c r="H241" s="353">
        <f>'DCu-CLBD'!N72</f>
        <v>0</v>
      </c>
      <c r="I241" s="353">
        <f>'VL-CLBD'!L45</f>
        <v>22.769099999999998</v>
      </c>
      <c r="J241" s="353" t="e">
        <f>'TBI-CLBD'!#REF!</f>
        <v>#REF!</v>
      </c>
      <c r="K241" s="353" t="e">
        <f>#REF!</f>
        <v>#REF!</v>
      </c>
      <c r="L241" s="348" t="e">
        <f t="shared" si="40"/>
        <v>#REF!</v>
      </c>
      <c r="M241" s="348" t="e">
        <f>L241*'He so chung'!$D$16/100</f>
        <v>#REF!</v>
      </c>
      <c r="N241" s="349" t="e">
        <f t="shared" si="41"/>
        <v>#REF!</v>
      </c>
      <c r="O241" s="354" t="e">
        <f>'He so chung'!$D$18*R241</f>
        <v>#REF!</v>
      </c>
      <c r="P241" s="354" t="e">
        <f>'He so chung'!$D$19*R241</f>
        <v>#REF!</v>
      </c>
      <c r="Q241" s="411" t="e">
        <f>'He so chung'!$D$20*R241</f>
        <v>#REF!</v>
      </c>
      <c r="R241" s="61" t="e">
        <f>'NC-CLBD'!#REF!/100</f>
        <v>#REF!</v>
      </c>
    </row>
    <row r="242" spans="1:18" s="4" customFormat="1" ht="14.25" hidden="1" customHeight="1">
      <c r="A242" s="315"/>
      <c r="B242" s="314"/>
      <c r="C242" s="338"/>
      <c r="D242" s="351"/>
      <c r="E242" s="352"/>
      <c r="F242" s="353"/>
      <c r="G242" s="353"/>
      <c r="H242" s="353"/>
      <c r="I242" s="353"/>
      <c r="J242" s="353"/>
      <c r="K242" s="353"/>
      <c r="L242" s="348"/>
      <c r="M242" s="348"/>
      <c r="N242" s="349"/>
      <c r="O242" s="354"/>
      <c r="P242" s="354"/>
      <c r="Q242" s="411"/>
      <c r="R242" s="61"/>
    </row>
    <row r="243" spans="1:18" s="4" customFormat="1" ht="16.5" hidden="1" customHeight="1">
      <c r="A243" s="315" t="s">
        <v>11</v>
      </c>
      <c r="B243" s="314" t="s">
        <v>77</v>
      </c>
      <c r="C243" s="318" t="s">
        <v>278</v>
      </c>
      <c r="D243" s="351">
        <v>1</v>
      </c>
      <c r="E243" s="352" t="e">
        <f>'NC-CLBD'!M28/100</f>
        <v>#VALUE!</v>
      </c>
      <c r="F243" s="353">
        <f>'NC-CLBD'!M30/100</f>
        <v>7807.6</v>
      </c>
      <c r="G243" s="353">
        <f t="shared" ref="G243:G248" si="42">$Q$1*10*P243</f>
        <v>0</v>
      </c>
      <c r="H243" s="353">
        <f>'DCu-CLBD'!N112</f>
        <v>575.24236538461537</v>
      </c>
      <c r="I243" s="353">
        <f>'VL-CLBD'!L39</f>
        <v>455.38199999999995</v>
      </c>
      <c r="J243" s="353">
        <f>'TBI-CLBD'!I80</f>
        <v>2789.2000000000007</v>
      </c>
      <c r="K243" s="353" t="e">
        <f>#REF!</f>
        <v>#REF!</v>
      </c>
      <c r="L243" s="348" t="e">
        <f t="shared" ref="L243:L248" si="43">SUM(E243:K243)</f>
        <v>#VALUE!</v>
      </c>
      <c r="M243" s="348" t="e">
        <f>L243*'He so chung'!$D$16/100</f>
        <v>#VALUE!</v>
      </c>
      <c r="N243" s="349" t="e">
        <f t="shared" ref="N243:N248" si="44">M243+L243</f>
        <v>#VALUE!</v>
      </c>
      <c r="O243" s="354">
        <f>'He so chung'!$D$18*R243</f>
        <v>2850.1682692307691</v>
      </c>
      <c r="P243" s="354">
        <f>'He so chung'!$D$19*R243</f>
        <v>2280.1346153846152</v>
      </c>
      <c r="Q243" s="411">
        <f>'He so chung'!$D$20*R243</f>
        <v>570.03365384615392</v>
      </c>
      <c r="R243" s="61">
        <f>'NC-CLBD'!L28/100</f>
        <v>0.42649999999999999</v>
      </c>
    </row>
    <row r="244" spans="1:18" s="4" customFormat="1" ht="16.5" hidden="1" customHeight="1">
      <c r="A244" s="315"/>
      <c r="B244" s="314"/>
      <c r="C244" s="318"/>
      <c r="D244" s="351">
        <v>2</v>
      </c>
      <c r="E244" s="352" t="e">
        <f>'NC-CLBD'!M32/100</f>
        <v>#VALUE!</v>
      </c>
      <c r="F244" s="353">
        <f>'NC-CLBD'!M34/100</f>
        <v>9379.6</v>
      </c>
      <c r="G244" s="353">
        <f t="shared" si="42"/>
        <v>0</v>
      </c>
      <c r="H244" s="353">
        <f>'DCu-CLBD'!N113</f>
        <v>719.05295673076921</v>
      </c>
      <c r="I244" s="353">
        <f>I243</f>
        <v>455.38199999999995</v>
      </c>
      <c r="J244" s="353">
        <f>'TBI-CLBD'!K80</f>
        <v>3721.36</v>
      </c>
      <c r="K244" s="353" t="e">
        <f>#REF!</f>
        <v>#REF!</v>
      </c>
      <c r="L244" s="348" t="e">
        <f t="shared" si="43"/>
        <v>#VALUE!</v>
      </c>
      <c r="M244" s="348" t="e">
        <f>L244*'He so chung'!$D$16/100</f>
        <v>#VALUE!</v>
      </c>
      <c r="N244" s="349" t="e">
        <f t="shared" si="44"/>
        <v>#VALUE!</v>
      </c>
      <c r="O244" s="354">
        <f>'He so chung'!$D$18*R244</f>
        <v>3421.5384615384614</v>
      </c>
      <c r="P244" s="354">
        <f>'He so chung'!$D$19*R244</f>
        <v>2737.2307692307691</v>
      </c>
      <c r="Q244" s="411">
        <f>'He so chung'!$D$20*R244</f>
        <v>684.30769230769238</v>
      </c>
      <c r="R244" s="61">
        <f>'NC-CLBD'!L32/100</f>
        <v>0.51200000000000001</v>
      </c>
    </row>
    <row r="245" spans="1:18" s="4" customFormat="1" ht="16.5" hidden="1" customHeight="1">
      <c r="A245" s="315"/>
      <c r="B245" s="314"/>
      <c r="C245" s="318"/>
      <c r="D245" s="351">
        <v>3</v>
      </c>
      <c r="E245" s="352" t="e">
        <f>'NC-CLBD'!M36/100</f>
        <v>#VALUE!</v>
      </c>
      <c r="F245" s="353">
        <f>'NC-CLBD'!M38/100</f>
        <v>11252.9</v>
      </c>
      <c r="G245" s="353">
        <f t="shared" si="42"/>
        <v>0</v>
      </c>
      <c r="H245" s="353">
        <f>'DCu-CLBD'!N114</f>
        <v>958.73727564102558</v>
      </c>
      <c r="I245" s="353">
        <f>I244</f>
        <v>455.38199999999995</v>
      </c>
      <c r="J245" s="353">
        <f>'TBI-CLBD'!M80</f>
        <v>4646.24</v>
      </c>
      <c r="K245" s="353" t="e">
        <f>#REF!</f>
        <v>#REF!</v>
      </c>
      <c r="L245" s="348" t="e">
        <f t="shared" si="43"/>
        <v>#VALUE!</v>
      </c>
      <c r="M245" s="348" t="e">
        <f>L245*'He so chung'!$D$16/100</f>
        <v>#VALUE!</v>
      </c>
      <c r="N245" s="349" t="e">
        <f t="shared" si="44"/>
        <v>#VALUE!</v>
      </c>
      <c r="O245" s="354">
        <f>'He so chung'!$D$18*R245</f>
        <v>4103.1730769230771</v>
      </c>
      <c r="P245" s="354">
        <f>'He so chung'!$D$19*R245</f>
        <v>3282.5384615384614</v>
      </c>
      <c r="Q245" s="411">
        <f>'He so chung'!$D$20*R245</f>
        <v>820.63461538461547</v>
      </c>
      <c r="R245" s="61">
        <f>'NC-CLBD'!L36/100</f>
        <v>0.61399999999999999</v>
      </c>
    </row>
    <row r="246" spans="1:18" s="4" customFormat="1" ht="16.5" hidden="1" customHeight="1">
      <c r="A246" s="315"/>
      <c r="B246" s="314"/>
      <c r="C246" s="318"/>
      <c r="D246" s="351">
        <v>4</v>
      </c>
      <c r="E246" s="352" t="e">
        <f>'NC-CLBD'!M40/100</f>
        <v>#VALUE!</v>
      </c>
      <c r="F246" s="353">
        <f>'NC-CLBD'!M42/100</f>
        <v>13506.1</v>
      </c>
      <c r="G246" s="353">
        <f t="shared" si="42"/>
        <v>0</v>
      </c>
      <c r="H246" s="353">
        <f>'DCu-CLBD'!N115</f>
        <v>1294.2953221153846</v>
      </c>
      <c r="I246" s="353">
        <f>I245</f>
        <v>455.38199999999995</v>
      </c>
      <c r="J246" s="353">
        <f>'TBI-CLBD'!O80</f>
        <v>5811.44</v>
      </c>
      <c r="K246" s="353" t="e">
        <f>#REF!</f>
        <v>#REF!</v>
      </c>
      <c r="L246" s="348" t="e">
        <f t="shared" si="43"/>
        <v>#VALUE!</v>
      </c>
      <c r="M246" s="348" t="e">
        <f>L246*'He so chung'!$D$16/100</f>
        <v>#VALUE!</v>
      </c>
      <c r="N246" s="349" t="e">
        <f t="shared" si="44"/>
        <v>#VALUE!</v>
      </c>
      <c r="O246" s="354">
        <f>'He so chung'!$D$18*R246</f>
        <v>4925.1442307692305</v>
      </c>
      <c r="P246" s="354">
        <f>'He so chung'!$D$19*R246</f>
        <v>3940.1153846153843</v>
      </c>
      <c r="Q246" s="411">
        <f>'He so chung'!$D$20*R246</f>
        <v>985.02884615384619</v>
      </c>
      <c r="R246" s="61">
        <f>'NC-CLBD'!L40/100</f>
        <v>0.73699999999999999</v>
      </c>
    </row>
    <row r="247" spans="1:18" s="4" customFormat="1" ht="16.5" hidden="1" customHeight="1">
      <c r="A247" s="315"/>
      <c r="B247" s="314"/>
      <c r="C247" s="318"/>
      <c r="D247" s="351" t="s">
        <v>13</v>
      </c>
      <c r="E247" s="352" t="e">
        <f>'NC-CLBD'!M44/100</f>
        <v>#VALUE!</v>
      </c>
      <c r="F247" s="353">
        <f>'NC-CLBD'!M46/100</f>
        <v>16204.7</v>
      </c>
      <c r="G247" s="353">
        <f t="shared" si="42"/>
        <v>0</v>
      </c>
      <c r="H247" s="353">
        <f>'DCu-CLBD'!N116</f>
        <v>1677.7902323717947</v>
      </c>
      <c r="I247" s="353">
        <f>'VL-CLBD'!L39</f>
        <v>455.38199999999995</v>
      </c>
      <c r="J247" s="353">
        <f>'TBI-CLBD'!Q80</f>
        <v>7332</v>
      </c>
      <c r="K247" s="353" t="e">
        <f>#REF!</f>
        <v>#REF!</v>
      </c>
      <c r="L247" s="348" t="e">
        <f t="shared" si="43"/>
        <v>#VALUE!</v>
      </c>
      <c r="M247" s="348" t="e">
        <f>L247*'He so chung'!$D$16/100</f>
        <v>#VALUE!</v>
      </c>
      <c r="N247" s="349" t="e">
        <f t="shared" si="44"/>
        <v>#VALUE!</v>
      </c>
      <c r="O247" s="354">
        <f>'He so chung'!$D$18*R247</f>
        <v>5910.8413461538466</v>
      </c>
      <c r="P247" s="354">
        <f>'He so chung'!$D$19*R247</f>
        <v>4728.6730769230771</v>
      </c>
      <c r="Q247" s="411">
        <f>'He so chung'!$D$20*R247</f>
        <v>1182.1682692307695</v>
      </c>
      <c r="R247" s="61">
        <f>'NC-CLBD'!L44/100</f>
        <v>0.88450000000000006</v>
      </c>
    </row>
    <row r="248" spans="1:18" s="4" customFormat="1" ht="16.5" hidden="1" customHeight="1">
      <c r="A248" s="315"/>
      <c r="B248" s="314"/>
      <c r="C248" s="318"/>
      <c r="D248" s="351" t="s">
        <v>14</v>
      </c>
      <c r="E248" s="352" t="e">
        <f>'NC-CLBD'!#REF!/100</f>
        <v>#REF!</v>
      </c>
      <c r="F248" s="353" t="e">
        <f>'NC-CLBD'!#REF!/100</f>
        <v>#REF!</v>
      </c>
      <c r="G248" s="353" t="e">
        <f t="shared" si="42"/>
        <v>#REF!</v>
      </c>
      <c r="H248" s="353">
        <f>'DCu-CLBD'!N117</f>
        <v>0</v>
      </c>
      <c r="I248" s="353">
        <f>'VL-CLBD'!L39</f>
        <v>455.38199999999995</v>
      </c>
      <c r="J248" s="353" t="e">
        <f>'TBI-CLBD'!#REF!</f>
        <v>#REF!</v>
      </c>
      <c r="K248" s="353" t="e">
        <f>#REF!</f>
        <v>#REF!</v>
      </c>
      <c r="L248" s="348" t="e">
        <f t="shared" si="43"/>
        <v>#REF!</v>
      </c>
      <c r="M248" s="348" t="e">
        <f>L248*'He so chung'!$D$16/100</f>
        <v>#REF!</v>
      </c>
      <c r="N248" s="349" t="e">
        <f t="shared" si="44"/>
        <v>#REF!</v>
      </c>
      <c r="O248" s="354" t="e">
        <f>'He so chung'!$D$18*R248</f>
        <v>#REF!</v>
      </c>
      <c r="P248" s="354" t="e">
        <f>'He so chung'!$D$19*R248</f>
        <v>#REF!</v>
      </c>
      <c r="Q248" s="411" t="e">
        <f>'He so chung'!$D$20*R248</f>
        <v>#REF!</v>
      </c>
      <c r="R248" s="61" t="e">
        <f>'NC-CLBD'!#REF!/100</f>
        <v>#REF!</v>
      </c>
    </row>
    <row r="249" spans="1:18" s="4" customFormat="1" ht="14.25" hidden="1" customHeight="1">
      <c r="A249" s="315"/>
      <c r="B249" s="314"/>
      <c r="C249" s="318"/>
      <c r="D249" s="351"/>
      <c r="E249" s="352"/>
      <c r="F249" s="353"/>
      <c r="G249" s="353"/>
      <c r="H249" s="353"/>
      <c r="I249" s="353"/>
      <c r="J249" s="353"/>
      <c r="K249" s="353"/>
      <c r="L249" s="348"/>
      <c r="M249" s="348"/>
      <c r="N249" s="349"/>
      <c r="O249" s="354"/>
      <c r="P249" s="99"/>
      <c r="Q249" s="56"/>
      <c r="R249" s="61"/>
    </row>
    <row r="250" spans="1:18" s="4" customFormat="1" ht="16.5" hidden="1" customHeight="1">
      <c r="A250" s="339" t="s">
        <v>4</v>
      </c>
      <c r="B250" s="340" t="s">
        <v>382</v>
      </c>
      <c r="C250" s="341"/>
      <c r="D250" s="355"/>
      <c r="E250" s="356"/>
      <c r="F250" s="357"/>
      <c r="G250" s="353"/>
      <c r="H250" s="357"/>
      <c r="I250" s="357"/>
      <c r="J250" s="357"/>
      <c r="K250" s="357"/>
      <c r="L250" s="358"/>
      <c r="M250" s="357"/>
      <c r="N250" s="359"/>
      <c r="O250" s="360"/>
      <c r="P250" s="99"/>
      <c r="Q250" s="56"/>
      <c r="R250" s="61"/>
    </row>
    <row r="251" spans="1:18" s="4" customFormat="1" ht="16.5" hidden="1" customHeight="1">
      <c r="A251" s="315" t="s">
        <v>9</v>
      </c>
      <c r="B251" s="314" t="s">
        <v>383</v>
      </c>
      <c r="C251" s="318"/>
      <c r="D251" s="351"/>
      <c r="E251" s="352"/>
      <c r="F251" s="353"/>
      <c r="G251" s="353"/>
      <c r="H251" s="353"/>
      <c r="I251" s="353"/>
      <c r="J251" s="353"/>
      <c r="K251" s="353"/>
      <c r="L251" s="348"/>
      <c r="M251" s="353"/>
      <c r="N251" s="349"/>
      <c r="O251" s="354"/>
      <c r="P251" s="99"/>
      <c r="Q251" s="56"/>
      <c r="R251" s="61"/>
    </row>
    <row r="252" spans="1:18" s="4" customFormat="1" ht="16.5" hidden="1" customHeight="1">
      <c r="A252" s="338"/>
      <c r="B252" s="338"/>
      <c r="C252" s="338"/>
      <c r="D252" s="351"/>
      <c r="E252" s="352"/>
      <c r="F252" s="353"/>
      <c r="G252" s="353"/>
      <c r="H252" s="353"/>
      <c r="I252" s="353"/>
      <c r="J252" s="353"/>
      <c r="K252" s="353"/>
      <c r="L252" s="348"/>
      <c r="M252" s="353"/>
      <c r="N252" s="349"/>
      <c r="O252" s="354"/>
      <c r="P252" s="99"/>
      <c r="Q252" s="56"/>
      <c r="R252" s="61"/>
    </row>
    <row r="253" spans="1:18" s="4" customFormat="1" ht="16.5" hidden="1" customHeight="1">
      <c r="A253" s="315" t="s">
        <v>10</v>
      </c>
      <c r="B253" s="314" t="s">
        <v>80</v>
      </c>
      <c r="C253" s="318" t="s">
        <v>278</v>
      </c>
      <c r="D253" s="351">
        <v>1</v>
      </c>
      <c r="E253" s="352" t="e">
        <f>'NC-CLBD'!#REF!/100</f>
        <v>#REF!</v>
      </c>
      <c r="F253" s="353"/>
      <c r="G253" s="353" t="e">
        <f t="shared" ref="G253:G258" si="45">$Q$1*10*P253</f>
        <v>#REF!</v>
      </c>
      <c r="H253" s="353" t="e">
        <f>'DCu-CLBD'!#REF!*70%</f>
        <v>#REF!</v>
      </c>
      <c r="I253" s="353" t="e">
        <f>'VL-CLBD'!#REF!*70%</f>
        <v>#REF!</v>
      </c>
      <c r="J253" s="353" t="e">
        <f>'TBI-CLBD'!#REF!*70%</f>
        <v>#REF!</v>
      </c>
      <c r="K253" s="353" t="e">
        <f>#REF!*70%</f>
        <v>#REF!</v>
      </c>
      <c r="L253" s="348" t="e">
        <f t="shared" ref="L253:L258" si="46">SUM(E253:K253)</f>
        <v>#REF!</v>
      </c>
      <c r="M253" s="353" t="e">
        <f>L253*'He so chung'!$D$17/100</f>
        <v>#REF!</v>
      </c>
      <c r="N253" s="349" t="e">
        <f t="shared" ref="N253:N258" si="47">M253+L253</f>
        <v>#REF!</v>
      </c>
      <c r="O253" s="354" t="e">
        <f>'He so chung'!$D$21*R253</f>
        <v>#REF!</v>
      </c>
      <c r="P253" s="354" t="e">
        <f>'He so chung'!$D$22*R253</f>
        <v>#REF!</v>
      </c>
      <c r="Q253" s="411" t="e">
        <f>'He so chung'!$D$23*R253</f>
        <v>#REF!</v>
      </c>
      <c r="R253" s="61" t="e">
        <f>'NC-CLBD'!#REF!/100</f>
        <v>#REF!</v>
      </c>
    </row>
    <row r="254" spans="1:18" s="4" customFormat="1" ht="16.5" hidden="1" customHeight="1">
      <c r="A254" s="315"/>
      <c r="B254" s="314"/>
      <c r="C254" s="318"/>
      <c r="D254" s="351">
        <v>2</v>
      </c>
      <c r="E254" s="352" t="e">
        <f>'NC-CLBD'!#REF!/100</f>
        <v>#REF!</v>
      </c>
      <c r="F254" s="353"/>
      <c r="G254" s="353" t="e">
        <f t="shared" si="45"/>
        <v>#REF!</v>
      </c>
      <c r="H254" s="353" t="e">
        <f>'DCu-CLBD'!#REF!*70%</f>
        <v>#REF!</v>
      </c>
      <c r="I254" s="353" t="e">
        <f>I253</f>
        <v>#REF!</v>
      </c>
      <c r="J254" s="353" t="e">
        <f>'TBI-CLBD'!#REF!*70%</f>
        <v>#REF!</v>
      </c>
      <c r="K254" s="353" t="e">
        <f>#REF!*70%</f>
        <v>#REF!</v>
      </c>
      <c r="L254" s="348" t="e">
        <f t="shared" si="46"/>
        <v>#REF!</v>
      </c>
      <c r="M254" s="353" t="e">
        <f>L254*'He so chung'!$D$17/100</f>
        <v>#REF!</v>
      </c>
      <c r="N254" s="349" t="e">
        <f t="shared" si="47"/>
        <v>#REF!</v>
      </c>
      <c r="O254" s="354" t="e">
        <f>'He so chung'!$D$21*R254</f>
        <v>#REF!</v>
      </c>
      <c r="P254" s="354" t="e">
        <f>'He so chung'!$D$22*R254</f>
        <v>#REF!</v>
      </c>
      <c r="Q254" s="411" t="e">
        <f>'He so chung'!$D$23*R254</f>
        <v>#REF!</v>
      </c>
      <c r="R254" s="61" t="e">
        <f>'NC-CLBD'!#REF!/100</f>
        <v>#REF!</v>
      </c>
    </row>
    <row r="255" spans="1:18" s="4" customFormat="1" ht="16.5" hidden="1" customHeight="1">
      <c r="A255" s="315"/>
      <c r="B255" s="314"/>
      <c r="C255" s="318"/>
      <c r="D255" s="351">
        <v>3</v>
      </c>
      <c r="E255" s="352" t="e">
        <f>'NC-CLBD'!#REF!/100</f>
        <v>#REF!</v>
      </c>
      <c r="F255" s="353"/>
      <c r="G255" s="353" t="e">
        <f t="shared" si="45"/>
        <v>#REF!</v>
      </c>
      <c r="H255" s="353" t="e">
        <f>'DCu-CLBD'!#REF!*70%</f>
        <v>#REF!</v>
      </c>
      <c r="I255" s="353" t="e">
        <f>I254</f>
        <v>#REF!</v>
      </c>
      <c r="J255" s="353" t="e">
        <f>'TBI-CLBD'!#REF!*70%</f>
        <v>#REF!</v>
      </c>
      <c r="K255" s="353" t="e">
        <f>#REF!*70%</f>
        <v>#REF!</v>
      </c>
      <c r="L255" s="348" t="e">
        <f t="shared" si="46"/>
        <v>#REF!</v>
      </c>
      <c r="M255" s="353" t="e">
        <f>L255*'He so chung'!$D$17/100</f>
        <v>#REF!</v>
      </c>
      <c r="N255" s="349" t="e">
        <f t="shared" si="47"/>
        <v>#REF!</v>
      </c>
      <c r="O255" s="354" t="e">
        <f>'He so chung'!$D$21*R255</f>
        <v>#REF!</v>
      </c>
      <c r="P255" s="354" t="e">
        <f>'He so chung'!$D$22*R255</f>
        <v>#REF!</v>
      </c>
      <c r="Q255" s="411" t="e">
        <f>'He so chung'!$D$23*R255</f>
        <v>#REF!</v>
      </c>
      <c r="R255" s="61" t="e">
        <f>'NC-CLBD'!#REF!/100</f>
        <v>#REF!</v>
      </c>
    </row>
    <row r="256" spans="1:18" s="4" customFormat="1" ht="16.5" hidden="1" customHeight="1">
      <c r="A256" s="315"/>
      <c r="B256" s="314"/>
      <c r="C256" s="318"/>
      <c r="D256" s="351">
        <v>4</v>
      </c>
      <c r="E256" s="352" t="e">
        <f>'NC-CLBD'!#REF!/100</f>
        <v>#REF!</v>
      </c>
      <c r="F256" s="353"/>
      <c r="G256" s="353" t="e">
        <f t="shared" si="45"/>
        <v>#REF!</v>
      </c>
      <c r="H256" s="353" t="e">
        <f>'DCu-CLBD'!#REF!*70%</f>
        <v>#REF!</v>
      </c>
      <c r="I256" s="353" t="e">
        <f>I255</f>
        <v>#REF!</v>
      </c>
      <c r="J256" s="353" t="e">
        <f>'TBI-CLBD'!#REF!*70%</f>
        <v>#REF!</v>
      </c>
      <c r="K256" s="353" t="e">
        <f>#REF!*70%</f>
        <v>#REF!</v>
      </c>
      <c r="L256" s="348" t="e">
        <f t="shared" si="46"/>
        <v>#REF!</v>
      </c>
      <c r="M256" s="353" t="e">
        <f>L256*'He so chung'!$D$17/100</f>
        <v>#REF!</v>
      </c>
      <c r="N256" s="349" t="e">
        <f t="shared" si="47"/>
        <v>#REF!</v>
      </c>
      <c r="O256" s="354" t="e">
        <f>'He so chung'!$D$21*R256</f>
        <v>#REF!</v>
      </c>
      <c r="P256" s="354" t="e">
        <f>'He so chung'!$D$22*R256</f>
        <v>#REF!</v>
      </c>
      <c r="Q256" s="411" t="e">
        <f>'He so chung'!$D$23*R256</f>
        <v>#REF!</v>
      </c>
      <c r="R256" s="61" t="e">
        <f>'NC-CLBD'!#REF!/100</f>
        <v>#REF!</v>
      </c>
    </row>
    <row r="257" spans="1:18" s="4" customFormat="1" ht="16.5" hidden="1" customHeight="1">
      <c r="A257" s="315"/>
      <c r="B257" s="314"/>
      <c r="C257" s="318"/>
      <c r="D257" s="361" t="s">
        <v>13</v>
      </c>
      <c r="E257" s="362" t="e">
        <f>'NC-CLBD'!#REF!/100</f>
        <v>#REF!</v>
      </c>
      <c r="F257" s="363"/>
      <c r="G257" s="353" t="e">
        <f t="shared" si="45"/>
        <v>#REF!</v>
      </c>
      <c r="H257" s="353" t="e">
        <f>'DCu-CLBD'!#REF!*70%</f>
        <v>#REF!</v>
      </c>
      <c r="I257" s="363" t="e">
        <f>I256</f>
        <v>#REF!</v>
      </c>
      <c r="J257" s="363" t="e">
        <f>'TBI-CLBD'!#REF!*70%</f>
        <v>#REF!</v>
      </c>
      <c r="K257" s="363" t="e">
        <f>#REF!*70%</f>
        <v>#REF!</v>
      </c>
      <c r="L257" s="348" t="e">
        <f t="shared" si="46"/>
        <v>#REF!</v>
      </c>
      <c r="M257" s="353" t="e">
        <f>L257*'He so chung'!$D$17/100</f>
        <v>#REF!</v>
      </c>
      <c r="N257" s="349" t="e">
        <f t="shared" si="47"/>
        <v>#REF!</v>
      </c>
      <c r="O257" s="354" t="e">
        <f>'He so chung'!$D$21*R257</f>
        <v>#REF!</v>
      </c>
      <c r="P257" s="354" t="e">
        <f>'He so chung'!$D$22*R257</f>
        <v>#REF!</v>
      </c>
      <c r="Q257" s="411" t="e">
        <f>'He so chung'!$D$23*R257</f>
        <v>#REF!</v>
      </c>
      <c r="R257" s="61" t="e">
        <f>'NC-CLBD'!#REF!/100</f>
        <v>#REF!</v>
      </c>
    </row>
    <row r="258" spans="1:18" s="4" customFormat="1" ht="16.5" hidden="1" customHeight="1">
      <c r="A258" s="315"/>
      <c r="B258" s="314"/>
      <c r="C258" s="318"/>
      <c r="D258" s="361" t="s">
        <v>14</v>
      </c>
      <c r="E258" s="362" t="e">
        <f>'NC-CLBD'!#REF!/100</f>
        <v>#REF!</v>
      </c>
      <c r="F258" s="363"/>
      <c r="G258" s="353" t="e">
        <f t="shared" si="45"/>
        <v>#REF!</v>
      </c>
      <c r="H258" s="353" t="e">
        <f>'DCu-CLBD'!#REF!*70%</f>
        <v>#REF!</v>
      </c>
      <c r="I258" s="363" t="e">
        <f>I257</f>
        <v>#REF!</v>
      </c>
      <c r="J258" s="363" t="e">
        <f>'TBI-CLBD'!#REF!*70%</f>
        <v>#REF!</v>
      </c>
      <c r="K258" s="363" t="e">
        <f>#REF!*70%</f>
        <v>#REF!</v>
      </c>
      <c r="L258" s="348" t="e">
        <f t="shared" si="46"/>
        <v>#REF!</v>
      </c>
      <c r="M258" s="353" t="e">
        <f>L258*'He so chung'!$D$17/100</f>
        <v>#REF!</v>
      </c>
      <c r="N258" s="349" t="e">
        <f t="shared" si="47"/>
        <v>#REF!</v>
      </c>
      <c r="O258" s="354" t="e">
        <f>'He so chung'!$D$21*R258</f>
        <v>#REF!</v>
      </c>
      <c r="P258" s="354" t="e">
        <f>'He so chung'!$D$22*R258</f>
        <v>#REF!</v>
      </c>
      <c r="Q258" s="411" t="e">
        <f>'He so chung'!$D$23*R258</f>
        <v>#REF!</v>
      </c>
      <c r="R258" s="61" t="e">
        <f>'NC-CLBD'!#REF!/100</f>
        <v>#REF!</v>
      </c>
    </row>
    <row r="259" spans="1:18" s="4" customFormat="1" ht="16.5" hidden="1" customHeight="1">
      <c r="A259" s="338"/>
      <c r="B259" s="338"/>
      <c r="C259" s="338"/>
      <c r="D259" s="361"/>
      <c r="E259" s="362"/>
      <c r="F259" s="363"/>
      <c r="G259" s="363"/>
      <c r="H259" s="363"/>
      <c r="I259" s="363"/>
      <c r="J259" s="363"/>
      <c r="K259" s="363"/>
      <c r="L259" s="364"/>
      <c r="M259" s="363"/>
      <c r="N259" s="365"/>
      <c r="O259" s="366"/>
      <c r="P259" s="99"/>
      <c r="Q259" s="56"/>
      <c r="R259" s="61"/>
    </row>
    <row r="260" spans="1:18" s="4" customFormat="1" ht="17.100000000000001" hidden="1" customHeight="1">
      <c r="A260" s="342"/>
      <c r="B260" s="342"/>
      <c r="C260" s="342"/>
      <c r="D260" s="367"/>
      <c r="E260" s="368"/>
      <c r="F260" s="368"/>
      <c r="G260" s="368"/>
      <c r="H260" s="368"/>
      <c r="I260" s="368"/>
      <c r="J260" s="368"/>
      <c r="K260" s="368"/>
      <c r="L260" s="369"/>
      <c r="M260" s="368"/>
      <c r="N260" s="370"/>
      <c r="O260" s="371"/>
      <c r="P260" s="99"/>
      <c r="Q260" s="56"/>
      <c r="R260" s="61"/>
    </row>
    <row r="261" spans="1:18" s="4" customFormat="1" ht="12" hidden="1" customHeight="1">
      <c r="A261" s="343"/>
      <c r="B261" s="343"/>
      <c r="C261" s="343"/>
      <c r="D261" s="372"/>
      <c r="E261" s="373"/>
      <c r="F261" s="373"/>
      <c r="G261" s="373"/>
      <c r="H261" s="373"/>
      <c r="I261" s="373"/>
      <c r="J261" s="373"/>
      <c r="K261" s="373"/>
      <c r="L261" s="374"/>
      <c r="M261" s="373"/>
      <c r="N261" s="375"/>
      <c r="O261" s="376"/>
      <c r="P261" s="99"/>
      <c r="Q261" s="56"/>
      <c r="R261" s="61"/>
    </row>
    <row r="262" spans="1:18" s="4" customFormat="1" ht="18" hidden="1" customHeight="1">
      <c r="A262" s="970" t="s">
        <v>376</v>
      </c>
      <c r="B262" s="972" t="s">
        <v>377</v>
      </c>
      <c r="C262" s="974" t="s">
        <v>378</v>
      </c>
      <c r="D262" s="970" t="s">
        <v>91</v>
      </c>
      <c r="E262" s="964" t="s">
        <v>368</v>
      </c>
      <c r="F262" s="965"/>
      <c r="G262" s="965"/>
      <c r="H262" s="965"/>
      <c r="I262" s="965"/>
      <c r="J262" s="965"/>
      <c r="K262" s="965"/>
      <c r="L262" s="966"/>
      <c r="M262" s="324" t="s">
        <v>63</v>
      </c>
      <c r="N262" s="974" t="s">
        <v>379</v>
      </c>
      <c r="O262" s="323" t="s">
        <v>18</v>
      </c>
      <c r="P262" s="104" t="s">
        <v>19</v>
      </c>
      <c r="Q262" s="57" t="s">
        <v>19</v>
      </c>
      <c r="R262" s="58" t="s">
        <v>16</v>
      </c>
    </row>
    <row r="263" spans="1:18" s="4" customFormat="1" ht="19.5" hidden="1" customHeight="1">
      <c r="A263" s="971"/>
      <c r="B263" s="973"/>
      <c r="C263" s="975"/>
      <c r="D263" s="971"/>
      <c r="E263" s="327" t="s">
        <v>369</v>
      </c>
      <c r="F263" s="326" t="s">
        <v>370</v>
      </c>
      <c r="G263" s="328">
        <v>0</v>
      </c>
      <c r="H263" s="326" t="s">
        <v>257</v>
      </c>
      <c r="I263" s="326" t="s">
        <v>280</v>
      </c>
      <c r="J263" s="326" t="s">
        <v>261</v>
      </c>
      <c r="K263" s="326" t="s">
        <v>371</v>
      </c>
      <c r="L263" s="326" t="s">
        <v>372</v>
      </c>
      <c r="M263" s="326" t="s">
        <v>48</v>
      </c>
      <c r="N263" s="975"/>
      <c r="O263" s="325" t="s">
        <v>20</v>
      </c>
      <c r="P263" s="105" t="s">
        <v>21</v>
      </c>
      <c r="Q263" s="59" t="s">
        <v>22</v>
      </c>
      <c r="R263" s="60" t="s">
        <v>17</v>
      </c>
    </row>
    <row r="264" spans="1:18" s="4" customFormat="1" ht="14.25" hidden="1" customHeight="1">
      <c r="A264" s="329" t="s">
        <v>52</v>
      </c>
      <c r="B264" s="330" t="s">
        <v>53</v>
      </c>
      <c r="C264" s="330" t="s">
        <v>54</v>
      </c>
      <c r="D264" s="331" t="s">
        <v>55</v>
      </c>
      <c r="E264" s="332" t="s">
        <v>56</v>
      </c>
      <c r="F264" s="332" t="s">
        <v>57</v>
      </c>
      <c r="G264" s="332"/>
      <c r="H264" s="332" t="s">
        <v>58</v>
      </c>
      <c r="I264" s="332" t="s">
        <v>59</v>
      </c>
      <c r="J264" s="332" t="s">
        <v>60</v>
      </c>
      <c r="K264" s="332" t="s">
        <v>61</v>
      </c>
      <c r="L264" s="333" t="s">
        <v>373</v>
      </c>
      <c r="M264" s="333" t="s">
        <v>374</v>
      </c>
      <c r="N264" s="334" t="s">
        <v>375</v>
      </c>
      <c r="O264" s="332" t="s">
        <v>62</v>
      </c>
      <c r="P264" s="48"/>
      <c r="Q264" s="48"/>
      <c r="R264" s="49"/>
    </row>
    <row r="265" spans="1:18" s="4" customFormat="1" ht="16.5" hidden="1" customHeight="1">
      <c r="A265" s="315" t="s">
        <v>11</v>
      </c>
      <c r="B265" s="314" t="s">
        <v>386</v>
      </c>
      <c r="C265" s="318" t="s">
        <v>278</v>
      </c>
      <c r="D265" s="351" t="s">
        <v>8</v>
      </c>
      <c r="E265" s="352" t="e">
        <f>'NC-CLBD'!#REF!/100</f>
        <v>#REF!</v>
      </c>
      <c r="F265" s="353"/>
      <c r="G265" s="353" t="e">
        <f>$Q$1*10*P265</f>
        <v>#REF!</v>
      </c>
      <c r="H265" s="353" t="e">
        <f>'DCu-CLBD'!#REF!*30%</f>
        <v>#REF!</v>
      </c>
      <c r="I265" s="353" t="e">
        <f>'VL-CLBD'!#REF!*30%</f>
        <v>#REF!</v>
      </c>
      <c r="J265" s="353" t="e">
        <f>'TBI-CLBD'!#REF!*30%</f>
        <v>#REF!</v>
      </c>
      <c r="K265" s="353" t="e">
        <f>#REF!*30%</f>
        <v>#REF!</v>
      </c>
      <c r="L265" s="348" t="e">
        <f>SUM(E265:K265)</f>
        <v>#REF!</v>
      </c>
      <c r="M265" s="353" t="e">
        <f>L265*'He so chung'!$D$17/100</f>
        <v>#REF!</v>
      </c>
      <c r="N265" s="349" t="e">
        <f>M265+L265</f>
        <v>#REF!</v>
      </c>
      <c r="O265" s="354" t="e">
        <f>'He so chung'!$D$21*R265</f>
        <v>#REF!</v>
      </c>
      <c r="P265" s="354" t="e">
        <f>'He so chung'!$D$22*R265</f>
        <v>#REF!</v>
      </c>
      <c r="Q265" s="411" t="e">
        <f>'He so chung'!$D$23*R265</f>
        <v>#REF!</v>
      </c>
      <c r="R265" s="61" t="e">
        <f>'NC-CLBD'!#REF!/100</f>
        <v>#REF!</v>
      </c>
    </row>
    <row r="266" spans="1:18" s="4" customFormat="1" ht="16.5" hidden="1" customHeight="1">
      <c r="A266" s="315"/>
      <c r="B266" s="314" t="s">
        <v>387</v>
      </c>
      <c r="C266" s="318"/>
      <c r="D266" s="351"/>
      <c r="E266" s="352"/>
      <c r="F266" s="353"/>
      <c r="G266" s="353"/>
      <c r="H266" s="353"/>
      <c r="I266" s="353"/>
      <c r="J266" s="353"/>
      <c r="K266" s="353"/>
      <c r="L266" s="348"/>
      <c r="M266" s="353"/>
      <c r="N266" s="349"/>
      <c r="O266" s="354"/>
      <c r="P266" s="99"/>
      <c r="Q266" s="56"/>
      <c r="R266" s="61"/>
    </row>
    <row r="267" spans="1:18" s="4" customFormat="1" ht="14.25" hidden="1" customHeight="1">
      <c r="A267" s="315"/>
      <c r="B267" s="314"/>
      <c r="C267" s="318"/>
      <c r="D267" s="351"/>
      <c r="E267" s="352"/>
      <c r="F267" s="353"/>
      <c r="G267" s="353"/>
      <c r="H267" s="353"/>
      <c r="I267" s="353"/>
      <c r="J267" s="353"/>
      <c r="K267" s="353"/>
      <c r="L267" s="348"/>
      <c r="M267" s="353"/>
      <c r="N267" s="349"/>
      <c r="O267" s="354"/>
      <c r="P267" s="99"/>
      <c r="Q267" s="56"/>
      <c r="R267" s="61"/>
    </row>
    <row r="268" spans="1:18" s="4" customFormat="1" ht="16.5" hidden="1" customHeight="1">
      <c r="A268" s="315" t="s">
        <v>12</v>
      </c>
      <c r="B268" s="314" t="s">
        <v>81</v>
      </c>
      <c r="C268" s="318" t="s">
        <v>278</v>
      </c>
      <c r="D268" s="351" t="s">
        <v>9</v>
      </c>
      <c r="E268" s="352" t="e">
        <f>'NC-CLBD'!M54/100</f>
        <v>#VALUE!</v>
      </c>
      <c r="F268" s="353"/>
      <c r="G268" s="353">
        <f t="shared" ref="G268:G273" si="48">$Q$1*10*P268</f>
        <v>0</v>
      </c>
      <c r="H268" s="353">
        <f>'DCu-CLBD'!N156*70%</f>
        <v>81.343481261538471</v>
      </c>
      <c r="I268" s="353">
        <f>'VL-CLBD'!L71*70%</f>
        <v>3928.3271999999997</v>
      </c>
      <c r="J268" s="353">
        <f>'TBI-CLBD'!I128*70%</f>
        <v>104.39324000000001</v>
      </c>
      <c r="K268" s="353" t="e">
        <f>#REF!*70%</f>
        <v>#REF!</v>
      </c>
      <c r="L268" s="348" t="e">
        <f t="shared" ref="L268:L273" si="49">SUM(E268:K268)</f>
        <v>#VALUE!</v>
      </c>
      <c r="M268" s="353" t="e">
        <f>L268*'He so chung'!$D$17/100</f>
        <v>#VALUE!</v>
      </c>
      <c r="N268" s="349" t="e">
        <f t="shared" ref="N268:N273" si="50">M268+L268</f>
        <v>#VALUE!</v>
      </c>
      <c r="O268" s="354">
        <f>'He so chung'!$D$21*R268</f>
        <v>82.384230769230768</v>
      </c>
      <c r="P268" s="354">
        <f>'He so chung'!$D$22*R268</f>
        <v>71.638461538461542</v>
      </c>
      <c r="Q268" s="411">
        <f>'He so chung'!$D$23*R268</f>
        <v>10.745769230769231</v>
      </c>
      <c r="R268" s="61">
        <f>'NC-CLBD'!L54/100</f>
        <v>1.34E-2</v>
      </c>
    </row>
    <row r="269" spans="1:18" s="4" customFormat="1" ht="16.5" hidden="1" customHeight="1">
      <c r="A269" s="315"/>
      <c r="B269" s="314"/>
      <c r="C269" s="318"/>
      <c r="D269" s="351" t="s">
        <v>10</v>
      </c>
      <c r="E269" s="352" t="e">
        <f>'NC-CLBD'!M56/100</f>
        <v>#VALUE!</v>
      </c>
      <c r="F269" s="353"/>
      <c r="G269" s="353">
        <f t="shared" si="48"/>
        <v>0</v>
      </c>
      <c r="H269" s="353">
        <f>'DCu-CLBD'!N157*70%</f>
        <v>101.67935157692308</v>
      </c>
      <c r="I269" s="353">
        <f>I268</f>
        <v>3928.3271999999997</v>
      </c>
      <c r="J269" s="353">
        <f>'TBI-CLBD'!K128*70%</f>
        <v>110.47035999999999</v>
      </c>
      <c r="K269" s="353" t="e">
        <f>#REF!*70%</f>
        <v>#REF!</v>
      </c>
      <c r="L269" s="348" t="e">
        <f t="shared" si="49"/>
        <v>#VALUE!</v>
      </c>
      <c r="M269" s="353" t="e">
        <f>L269*'He so chung'!$D$17/100</f>
        <v>#VALUE!</v>
      </c>
      <c r="N269" s="349" t="e">
        <f t="shared" si="50"/>
        <v>#VALUE!</v>
      </c>
      <c r="O269" s="354">
        <f>'He so chung'!$D$21*R269</f>
        <v>109.43576923076922</v>
      </c>
      <c r="P269" s="354">
        <f>'He so chung'!$D$22*R269</f>
        <v>95.161538461538456</v>
      </c>
      <c r="Q269" s="411">
        <f>'He so chung'!$D$23*R269</f>
        <v>14.274230769230769</v>
      </c>
      <c r="R269" s="61">
        <f>'NC-CLBD'!L56/100</f>
        <v>1.78E-2</v>
      </c>
    </row>
    <row r="270" spans="1:18" s="4" customFormat="1" ht="16.5" hidden="1" customHeight="1">
      <c r="A270" s="315"/>
      <c r="B270" s="314"/>
      <c r="C270" s="318"/>
      <c r="D270" s="351" t="s">
        <v>11</v>
      </c>
      <c r="E270" s="352" t="e">
        <f>'NC-CLBD'!M58/100</f>
        <v>#VALUE!</v>
      </c>
      <c r="F270" s="353"/>
      <c r="G270" s="353">
        <f t="shared" si="48"/>
        <v>0</v>
      </c>
      <c r="H270" s="353">
        <f>'DCu-CLBD'!N158*70%</f>
        <v>135.5724687692308</v>
      </c>
      <c r="I270" s="353">
        <f>I269</f>
        <v>3928.3271999999997</v>
      </c>
      <c r="J270" s="353">
        <f>'TBI-CLBD'!M128*70%</f>
        <v>117.17047999999998</v>
      </c>
      <c r="K270" s="353" t="e">
        <f>#REF!*70%</f>
        <v>#REF!</v>
      </c>
      <c r="L270" s="348" t="e">
        <f t="shared" si="49"/>
        <v>#VALUE!</v>
      </c>
      <c r="M270" s="353" t="e">
        <f>L270*'He so chung'!$D$17/100</f>
        <v>#VALUE!</v>
      </c>
      <c r="N270" s="349" t="e">
        <f t="shared" si="50"/>
        <v>#VALUE!</v>
      </c>
      <c r="O270" s="354">
        <f>'He so chung'!$D$21*R270</f>
        <v>136.4873076923077</v>
      </c>
      <c r="P270" s="354">
        <f>'He so chung'!$D$22*R270</f>
        <v>118.68461538461538</v>
      </c>
      <c r="Q270" s="411">
        <f>'He so chung'!$D$23*R270</f>
        <v>17.802692307692308</v>
      </c>
      <c r="R270" s="61">
        <f>'NC-CLBD'!L58/100</f>
        <v>2.2200000000000001E-2</v>
      </c>
    </row>
    <row r="271" spans="1:18" s="4" customFormat="1" ht="16.5" hidden="1" customHeight="1">
      <c r="A271" s="315"/>
      <c r="B271" s="314"/>
      <c r="C271" s="318"/>
      <c r="D271" s="351" t="s">
        <v>12</v>
      </c>
      <c r="E271" s="352" t="e">
        <f>'NC-CLBD'!M60/100</f>
        <v>#VALUE!</v>
      </c>
      <c r="F271" s="353"/>
      <c r="G271" s="353">
        <f t="shared" si="48"/>
        <v>0</v>
      </c>
      <c r="H271" s="353">
        <f>'DCu-CLBD'!N159*70%</f>
        <v>183.02283283846157</v>
      </c>
      <c r="I271" s="353">
        <f>I270</f>
        <v>3928.3271999999997</v>
      </c>
      <c r="J271" s="353">
        <f>'TBI-CLBD'!O128*70%</f>
        <v>124.71059999999999</v>
      </c>
      <c r="K271" s="353" t="e">
        <f>#REF!*70%</f>
        <v>#REF!</v>
      </c>
      <c r="L271" s="348" t="e">
        <f t="shared" si="49"/>
        <v>#VALUE!</v>
      </c>
      <c r="M271" s="353" t="e">
        <f>L271*'He so chung'!$D$17/100</f>
        <v>#VALUE!</v>
      </c>
      <c r="N271" s="349" t="e">
        <f t="shared" si="50"/>
        <v>#VALUE!</v>
      </c>
      <c r="O271" s="354">
        <f>'He so chung'!$D$21*R271</f>
        <v>170.91653846153844</v>
      </c>
      <c r="P271" s="354">
        <f>'He so chung'!$D$22*R271</f>
        <v>148.62307692307689</v>
      </c>
      <c r="Q271" s="411">
        <f>'He so chung'!$D$23*R271</f>
        <v>22.293461538461536</v>
      </c>
      <c r="R271" s="61">
        <f>'NC-CLBD'!L60/100</f>
        <v>2.7799999999999998E-2</v>
      </c>
    </row>
    <row r="272" spans="1:18" s="4" customFormat="1" ht="16.5" hidden="1" customHeight="1">
      <c r="A272" s="315"/>
      <c r="B272" s="314"/>
      <c r="C272" s="318"/>
      <c r="D272" s="351" t="s">
        <v>13</v>
      </c>
      <c r="E272" s="352" t="e">
        <f>'NC-CLBD'!M62/100</f>
        <v>#VALUE!</v>
      </c>
      <c r="F272" s="353"/>
      <c r="G272" s="353">
        <f t="shared" si="48"/>
        <v>0</v>
      </c>
      <c r="H272" s="353">
        <f>'DCu-CLBD'!N160*70%</f>
        <v>237.25182034615386</v>
      </c>
      <c r="I272" s="353">
        <f>I271</f>
        <v>3928.3271999999997</v>
      </c>
      <c r="J272" s="353">
        <f>'TBI-CLBD'!Q128*70%</f>
        <v>140.40572</v>
      </c>
      <c r="K272" s="353" t="e">
        <f>#REF!*70%</f>
        <v>#REF!</v>
      </c>
      <c r="L272" s="348" t="e">
        <f t="shared" si="49"/>
        <v>#VALUE!</v>
      </c>
      <c r="M272" s="353" t="e">
        <f>L272*'He so chung'!$D$17/100</f>
        <v>#VALUE!</v>
      </c>
      <c r="N272" s="349" t="e">
        <f t="shared" si="50"/>
        <v>#VALUE!</v>
      </c>
      <c r="O272" s="354">
        <f>'He so chung'!$D$21*R272</f>
        <v>238.54538461538462</v>
      </c>
      <c r="P272" s="354">
        <f>'He so chung'!$D$22*R272</f>
        <v>207.43076923076922</v>
      </c>
      <c r="Q272" s="411">
        <f>'He so chung'!$D$23*R272</f>
        <v>31.114615384615384</v>
      </c>
      <c r="R272" s="61">
        <f>'NC-CLBD'!L62/100</f>
        <v>3.8800000000000001E-2</v>
      </c>
    </row>
    <row r="273" spans="1:18" s="4" customFormat="1" ht="16.5" hidden="1" customHeight="1">
      <c r="A273" s="315"/>
      <c r="B273" s="314"/>
      <c r="C273" s="318"/>
      <c r="D273" s="351" t="s">
        <v>14</v>
      </c>
      <c r="E273" s="352" t="e">
        <f>'NC-CLBD'!#REF!/100</f>
        <v>#REF!</v>
      </c>
      <c r="F273" s="353"/>
      <c r="G273" s="353" t="e">
        <f t="shared" si="48"/>
        <v>#REF!</v>
      </c>
      <c r="H273" s="353">
        <f>'DCu-CLBD'!N161*70%</f>
        <v>0</v>
      </c>
      <c r="I273" s="353">
        <f>I272</f>
        <v>3928.3271999999997</v>
      </c>
      <c r="J273" s="353" t="e">
        <f>'TBI-CLBD'!#REF!*70%</f>
        <v>#REF!</v>
      </c>
      <c r="K273" s="353" t="e">
        <f>#REF!*70%</f>
        <v>#REF!</v>
      </c>
      <c r="L273" s="348" t="e">
        <f t="shared" si="49"/>
        <v>#REF!</v>
      </c>
      <c r="M273" s="353" t="e">
        <f>L273*'He so chung'!$D$17/100</f>
        <v>#REF!</v>
      </c>
      <c r="N273" s="349" t="e">
        <f t="shared" si="50"/>
        <v>#REF!</v>
      </c>
      <c r="O273" s="354" t="e">
        <f>'He so chung'!$D$21*R273</f>
        <v>#REF!</v>
      </c>
      <c r="P273" s="354" t="e">
        <f>'He so chung'!$D$22*R273</f>
        <v>#REF!</v>
      </c>
      <c r="Q273" s="411" t="e">
        <f>'He so chung'!$D$23*R273</f>
        <v>#REF!</v>
      </c>
      <c r="R273" s="61" t="e">
        <f>'NC-CLBD'!#REF!/100</f>
        <v>#REF!</v>
      </c>
    </row>
    <row r="274" spans="1:18" s="4" customFormat="1" ht="14.25" hidden="1" customHeight="1">
      <c r="A274" s="88"/>
      <c r="B274" s="89"/>
      <c r="C274" s="90"/>
      <c r="D274" s="351"/>
      <c r="E274" s="352"/>
      <c r="F274" s="353"/>
      <c r="G274" s="353"/>
      <c r="H274" s="353"/>
      <c r="I274" s="353"/>
      <c r="J274" s="353"/>
      <c r="K274" s="353"/>
      <c r="L274" s="348"/>
      <c r="M274" s="353"/>
      <c r="N274" s="349"/>
      <c r="O274" s="354"/>
      <c r="P274" s="354"/>
      <c r="Q274" s="411"/>
      <c r="R274" s="61"/>
    </row>
    <row r="275" spans="1:18" s="4" customFormat="1" ht="16.5" hidden="1" customHeight="1">
      <c r="A275" s="315" t="s">
        <v>13</v>
      </c>
      <c r="B275" s="314" t="s">
        <v>384</v>
      </c>
      <c r="C275" s="318" t="s">
        <v>278</v>
      </c>
      <c r="D275" s="351" t="s">
        <v>8</v>
      </c>
      <c r="E275" s="352" t="e">
        <f>'NC-CLBD'!M64/100</f>
        <v>#VALUE!</v>
      </c>
      <c r="F275" s="353"/>
      <c r="G275" s="353">
        <f>$Q$1*10*P275</f>
        <v>0</v>
      </c>
      <c r="H275" s="353">
        <f>'DCu-CLBD'!N158*30%</f>
        <v>58.102486615384628</v>
      </c>
      <c r="I275" s="353">
        <f>'VL-CLBD'!L71*30%</f>
        <v>1683.5687999999998</v>
      </c>
      <c r="J275" s="353">
        <f>'TBI-CLBD'!M128*30%</f>
        <v>50.21591999999999</v>
      </c>
      <c r="K275" s="353" t="e">
        <f>#REF!*30%</f>
        <v>#REF!</v>
      </c>
      <c r="L275" s="348" t="e">
        <f>SUM(E275:K275)</f>
        <v>#VALUE!</v>
      </c>
      <c r="M275" s="353" t="e">
        <f>L275*'He so chung'!$D$17/100</f>
        <v>#VALUE!</v>
      </c>
      <c r="N275" s="349" t="e">
        <f>M275+L275</f>
        <v>#VALUE!</v>
      </c>
      <c r="O275" s="354">
        <f>'He so chung'!$D$21*R275</f>
        <v>184.44230769230768</v>
      </c>
      <c r="P275" s="354">
        <f>'He so chung'!$D$22*R275</f>
        <v>160.38461538461536</v>
      </c>
      <c r="Q275" s="411">
        <f>'He so chung'!$D$23*R275</f>
        <v>24.057692307692307</v>
      </c>
      <c r="R275" s="61">
        <f>'NC-CLBD'!L64/100</f>
        <v>0.03</v>
      </c>
    </row>
    <row r="276" spans="1:18" s="4" customFormat="1" ht="16.5" hidden="1" customHeight="1">
      <c r="A276" s="315"/>
      <c r="B276" s="314" t="s">
        <v>385</v>
      </c>
      <c r="C276" s="318"/>
      <c r="D276" s="351"/>
      <c r="E276" s="352"/>
      <c r="F276" s="353"/>
      <c r="G276" s="353"/>
      <c r="H276" s="353"/>
      <c r="I276" s="353"/>
      <c r="J276" s="353"/>
      <c r="K276" s="353"/>
      <c r="L276" s="348"/>
      <c r="M276" s="353"/>
      <c r="N276" s="349"/>
      <c r="O276" s="354"/>
      <c r="P276" s="354"/>
      <c r="Q276" s="411"/>
      <c r="R276" s="61"/>
    </row>
    <row r="277" spans="1:18" s="4" customFormat="1" ht="13.5" hidden="1" customHeight="1">
      <c r="A277" s="88"/>
      <c r="B277" s="89"/>
      <c r="C277" s="90"/>
      <c r="D277" s="351"/>
      <c r="E277" s="352"/>
      <c r="F277" s="353"/>
      <c r="G277" s="353"/>
      <c r="H277" s="353"/>
      <c r="I277" s="353"/>
      <c r="J277" s="353"/>
      <c r="K277" s="353"/>
      <c r="L277" s="348"/>
      <c r="M277" s="353"/>
      <c r="N277" s="349"/>
      <c r="O277" s="354"/>
      <c r="P277" s="354"/>
      <c r="Q277" s="411"/>
      <c r="R277" s="61"/>
    </row>
    <row r="278" spans="1:18" s="4" customFormat="1" ht="16.5" hidden="1" customHeight="1">
      <c r="A278" s="315" t="s">
        <v>14</v>
      </c>
      <c r="B278" s="314" t="s">
        <v>363</v>
      </c>
      <c r="C278" s="318" t="s">
        <v>278</v>
      </c>
      <c r="D278" s="351" t="s">
        <v>8</v>
      </c>
      <c r="E278" s="352" t="e">
        <f>'NC-CLBD'!M67/100</f>
        <v>#VALUE!</v>
      </c>
      <c r="F278" s="353"/>
      <c r="G278" s="353">
        <f>$Q$1*10*P278</f>
        <v>0</v>
      </c>
      <c r="H278" s="353">
        <f>'DCu-CLBD'!N186</f>
        <v>184.59746666666666</v>
      </c>
      <c r="I278" s="353">
        <f>'VL-CLBD'!L92</f>
        <v>1232.28</v>
      </c>
      <c r="J278" s="353">
        <f>'TBI-CLBD'!M155</f>
        <v>105.78</v>
      </c>
      <c r="K278" s="353" t="e">
        <f>#REF!</f>
        <v>#REF!</v>
      </c>
      <c r="L278" s="348" t="e">
        <f>SUM(E278:K278)</f>
        <v>#VALUE!</v>
      </c>
      <c r="M278" s="353" t="e">
        <f>L278*'He so chung'!$D$17/100</f>
        <v>#VALUE!</v>
      </c>
      <c r="N278" s="349" t="e">
        <f>M278+L278</f>
        <v>#VALUE!</v>
      </c>
      <c r="O278" s="354">
        <f>'He so chung'!$D$21*R278</f>
        <v>159.85000000000002</v>
      </c>
      <c r="P278" s="354">
        <f>'He so chung'!$D$22*R278</f>
        <v>139</v>
      </c>
      <c r="Q278" s="411">
        <f>'He so chung'!$D$23*R278</f>
        <v>20.85</v>
      </c>
      <c r="R278" s="61">
        <f>'NC-CLBD'!L67/100</f>
        <v>2.6000000000000002E-2</v>
      </c>
    </row>
    <row r="279" spans="1:18" s="4" customFormat="1" ht="14.25" hidden="1" customHeight="1">
      <c r="A279" s="316"/>
      <c r="B279" s="317"/>
      <c r="C279" s="121"/>
      <c r="D279" s="361"/>
      <c r="E279" s="362"/>
      <c r="F279" s="363"/>
      <c r="G279" s="353"/>
      <c r="H279" s="363"/>
      <c r="I279" s="363"/>
      <c r="J279" s="363"/>
      <c r="K279" s="363"/>
      <c r="L279" s="348"/>
      <c r="M279" s="353"/>
      <c r="N279" s="349"/>
      <c r="O279" s="354"/>
      <c r="P279" s="354"/>
      <c r="Q279" s="411"/>
      <c r="R279" s="313"/>
    </row>
    <row r="280" spans="1:18" s="4" customFormat="1" ht="16.5" hidden="1" customHeight="1">
      <c r="A280" s="315" t="s">
        <v>85</v>
      </c>
      <c r="B280" s="314" t="s">
        <v>364</v>
      </c>
      <c r="C280" s="318" t="s">
        <v>1</v>
      </c>
      <c r="D280" s="351" t="s">
        <v>8</v>
      </c>
      <c r="E280" s="362" t="e">
        <f>'NC-CLBD'!M69/100</f>
        <v>#VALUE!</v>
      </c>
      <c r="F280" s="363"/>
      <c r="G280" s="353">
        <f>$Q$1*10*P280</f>
        <v>0</v>
      </c>
      <c r="H280" s="363">
        <f>'DCu-CLBD'!N209*70%</f>
        <v>108.59964387820513</v>
      </c>
      <c r="I280" s="363">
        <f>'VL-CLBD'!L112*70%</f>
        <v>725.75999999999988</v>
      </c>
      <c r="J280" s="363" t="e">
        <f>'TBI-CLBD'!#REF!*70%</f>
        <v>#REF!</v>
      </c>
      <c r="K280" s="363" t="e">
        <f>#REF!*70%</f>
        <v>#REF!</v>
      </c>
      <c r="L280" s="348" t="e">
        <f>SUM(E280:K280)</f>
        <v>#VALUE!</v>
      </c>
      <c r="M280" s="353" t="e">
        <f>L280*'He so chung'!$D$17/100</f>
        <v>#VALUE!</v>
      </c>
      <c r="N280" s="349" t="e">
        <f>M280+L280</f>
        <v>#VALUE!</v>
      </c>
      <c r="O280" s="354">
        <f>'He so chung'!$D$21*R280</f>
        <v>52.258653846153848</v>
      </c>
      <c r="P280" s="354">
        <f>'He so chung'!$D$22*R280</f>
        <v>45.442307692307693</v>
      </c>
      <c r="Q280" s="411">
        <f>'He so chung'!$D$23*R280</f>
        <v>6.8163461538461538</v>
      </c>
      <c r="R280" s="313">
        <f>'NC-CLBD'!N69/100</f>
        <v>8.5000000000000006E-3</v>
      </c>
    </row>
    <row r="281" spans="1:18" s="4" customFormat="1" ht="14.25" hidden="1" customHeight="1">
      <c r="A281" s="102"/>
      <c r="B281" s="103"/>
      <c r="C281" s="121"/>
      <c r="D281" s="361"/>
      <c r="E281" s="362"/>
      <c r="F281" s="363"/>
      <c r="G281" s="353"/>
      <c r="H281" s="363"/>
      <c r="I281" s="363"/>
      <c r="J281" s="363"/>
      <c r="K281" s="363"/>
      <c r="L281" s="348"/>
      <c r="M281" s="353"/>
      <c r="N281" s="349"/>
      <c r="O281" s="354"/>
      <c r="P281" s="354"/>
      <c r="Q281" s="411"/>
      <c r="R281" s="313"/>
    </row>
    <row r="282" spans="1:18" s="4" customFormat="1" ht="16.5" hidden="1" customHeight="1">
      <c r="A282" s="315" t="s">
        <v>87</v>
      </c>
      <c r="B282" s="314" t="s">
        <v>365</v>
      </c>
      <c r="C282" s="318" t="s">
        <v>1</v>
      </c>
      <c r="D282" s="351" t="s">
        <v>8</v>
      </c>
      <c r="E282" s="362" t="e">
        <f>'NC-CLBD'!M71/100</f>
        <v>#VALUE!</v>
      </c>
      <c r="F282" s="363"/>
      <c r="G282" s="353">
        <f>$Q$1*10*P282</f>
        <v>0</v>
      </c>
      <c r="H282" s="363">
        <f>'DCu-CLBD'!N209*15%</f>
        <v>23.271352259615387</v>
      </c>
      <c r="I282" s="363">
        <f>'VL-CLBD'!L112*15%</f>
        <v>155.51999999999998</v>
      </c>
      <c r="J282" s="363" t="e">
        <f>'TBI-CLBD'!#REF!*15%</f>
        <v>#REF!</v>
      </c>
      <c r="K282" s="363" t="e">
        <f>#REF!*15%</f>
        <v>#REF!</v>
      </c>
      <c r="L282" s="348" t="e">
        <f>SUM(E282:K282)</f>
        <v>#VALUE!</v>
      </c>
      <c r="M282" s="353" t="e">
        <f>L282*'He so chung'!$D$17/100</f>
        <v>#VALUE!</v>
      </c>
      <c r="N282" s="349" t="e">
        <f>M282+L282</f>
        <v>#VALUE!</v>
      </c>
      <c r="O282" s="354">
        <f>'He so chung'!$D$21*R282</f>
        <v>104.5173076923077</v>
      </c>
      <c r="P282" s="354">
        <f>'He so chung'!$D$22*R282</f>
        <v>90.884615384615387</v>
      </c>
      <c r="Q282" s="411">
        <f>'He so chung'!$D$23*R282</f>
        <v>13.632692307692308</v>
      </c>
      <c r="R282" s="313">
        <f>'NC-CLBD'!N71/100</f>
        <v>1.7000000000000001E-2</v>
      </c>
    </row>
    <row r="283" spans="1:18" s="4" customFormat="1" ht="14.25" hidden="1" customHeight="1">
      <c r="A283" s="316"/>
      <c r="B283" s="317"/>
      <c r="C283" s="121"/>
      <c r="D283" s="361"/>
      <c r="E283" s="362"/>
      <c r="F283" s="363"/>
      <c r="G283" s="353"/>
      <c r="H283" s="363"/>
      <c r="I283" s="363"/>
      <c r="J283" s="363"/>
      <c r="K283" s="363"/>
      <c r="L283" s="348"/>
      <c r="M283" s="353"/>
      <c r="N283" s="349"/>
      <c r="O283" s="354"/>
      <c r="P283" s="354"/>
      <c r="Q283" s="411"/>
      <c r="R283" s="313"/>
    </row>
    <row r="284" spans="1:18" s="4" customFormat="1" ht="16.5" hidden="1" customHeight="1">
      <c r="A284" s="316" t="s">
        <v>88</v>
      </c>
      <c r="B284" s="317" t="s">
        <v>366</v>
      </c>
      <c r="C284" s="318" t="s">
        <v>1</v>
      </c>
      <c r="D284" s="351" t="s">
        <v>8</v>
      </c>
      <c r="E284" s="362" t="e">
        <f>'NC-CLBD'!M73/100</f>
        <v>#VALUE!</v>
      </c>
      <c r="F284" s="363"/>
      <c r="G284" s="353">
        <f>$Q$1*10*P284</f>
        <v>0</v>
      </c>
      <c r="H284" s="363">
        <f>'DCu-CLBD'!N209*15%</f>
        <v>23.271352259615387</v>
      </c>
      <c r="I284" s="363">
        <f>'VL-CLBD'!L112*15%</f>
        <v>155.51999999999998</v>
      </c>
      <c r="J284" s="363" t="e">
        <f>'TBI-CLBD'!#REF!*15%</f>
        <v>#REF!</v>
      </c>
      <c r="K284" s="363" t="e">
        <f>#REF!*15%</f>
        <v>#REF!</v>
      </c>
      <c r="L284" s="348" t="e">
        <f>SUM(E284:K284)</f>
        <v>#VALUE!</v>
      </c>
      <c r="M284" s="353" t="e">
        <f>L284*'He so chung'!$D$17/100</f>
        <v>#VALUE!</v>
      </c>
      <c r="N284" s="349" t="e">
        <f>M284+L284</f>
        <v>#VALUE!</v>
      </c>
      <c r="O284" s="354">
        <f>'He so chung'!$D$21*R284</f>
        <v>209.03461538461539</v>
      </c>
      <c r="P284" s="354">
        <f>'He so chung'!$D$22*R284</f>
        <v>181.76923076923077</v>
      </c>
      <c r="Q284" s="411">
        <f>'He so chung'!$D$23*R284</f>
        <v>27.265384615384615</v>
      </c>
      <c r="R284" s="313">
        <f>'NC-CLBD'!N73/100</f>
        <v>3.4000000000000002E-2</v>
      </c>
    </row>
    <row r="285" spans="1:18" s="4" customFormat="1" ht="10.5" hidden="1" customHeight="1">
      <c r="A285" s="92"/>
      <c r="B285" s="93"/>
      <c r="C285" s="94"/>
      <c r="D285" s="377"/>
      <c r="E285" s="378"/>
      <c r="F285" s="379"/>
      <c r="G285" s="379"/>
      <c r="H285" s="379"/>
      <c r="I285" s="379"/>
      <c r="J285" s="379"/>
      <c r="K285" s="379"/>
      <c r="L285" s="380"/>
      <c r="M285" s="379"/>
      <c r="N285" s="381"/>
      <c r="O285" s="382"/>
      <c r="P285" s="100"/>
      <c r="Q285" s="55"/>
      <c r="R285" s="62"/>
    </row>
    <row r="286" spans="1:18" s="4" customFormat="1" ht="3.75" hidden="1" customHeight="1">
      <c r="A286" s="101"/>
      <c r="B286" s="91"/>
      <c r="C286" s="91"/>
      <c r="D286" s="383"/>
      <c r="E286" s="187"/>
      <c r="F286" s="187"/>
      <c r="G286" s="84"/>
      <c r="H286" s="187"/>
      <c r="I286" s="187"/>
      <c r="J286" s="187"/>
      <c r="K286" s="187"/>
      <c r="L286" s="187"/>
      <c r="M286" s="187"/>
      <c r="N286" s="187"/>
      <c r="O286" s="322"/>
      <c r="P286" s="82"/>
      <c r="Q286" s="52"/>
      <c r="R286" s="63"/>
    </row>
    <row r="287" spans="1:18" s="4" customFormat="1" ht="18.95" customHeight="1">
      <c r="A287" s="385"/>
      <c r="B287" s="501" t="s">
        <v>422</v>
      </c>
      <c r="C287" s="385"/>
      <c r="D287" s="384"/>
      <c r="E287" s="385"/>
      <c r="F287" s="385"/>
      <c r="G287" s="385"/>
      <c r="H287" s="385"/>
      <c r="I287" s="385"/>
      <c r="J287" s="385"/>
      <c r="K287" s="385"/>
      <c r="L287" s="385"/>
      <c r="M287" s="385"/>
      <c r="N287" s="385"/>
      <c r="O287" s="386"/>
      <c r="P287" s="96"/>
      <c r="Q287" s="53"/>
      <c r="R287" s="64"/>
    </row>
    <row r="288" spans="1:18" s="4" customFormat="1" ht="18.95" customHeight="1">
      <c r="A288" s="955" t="s">
        <v>3</v>
      </c>
      <c r="B288" s="958" t="s">
        <v>390</v>
      </c>
      <c r="C288" s="961" t="s">
        <v>1</v>
      </c>
      <c r="D288" s="387" t="s">
        <v>9</v>
      </c>
      <c r="E288" s="388" t="e">
        <f t="shared" ref="E288:R288" si="51">E229+E280+E282+E284</f>
        <v>#VALUE!</v>
      </c>
      <c r="F288" s="388">
        <f t="shared" si="51"/>
        <v>0</v>
      </c>
      <c r="G288" s="388">
        <f t="shared" si="51"/>
        <v>0</v>
      </c>
      <c r="H288" s="388">
        <f t="shared" si="51"/>
        <v>737.11763685897449</v>
      </c>
      <c r="I288" s="388">
        <f t="shared" si="51"/>
        <v>1787.3999999999999</v>
      </c>
      <c r="J288" s="388" t="e">
        <f t="shared" si="51"/>
        <v>#REF!</v>
      </c>
      <c r="K288" s="388" t="e">
        <f t="shared" si="51"/>
        <v>#REF!</v>
      </c>
      <c r="L288" s="388" t="e">
        <f t="shared" si="51"/>
        <v>#VALUE!</v>
      </c>
      <c r="M288" s="388" t="e">
        <f t="shared" si="51"/>
        <v>#VALUE!</v>
      </c>
      <c r="N288" s="388" t="e">
        <f t="shared" si="51"/>
        <v>#VALUE!</v>
      </c>
      <c r="O288" s="388">
        <f t="shared" si="51"/>
        <v>1924.2144230769229</v>
      </c>
      <c r="P288" s="388">
        <f t="shared" si="51"/>
        <v>1564.8192307692307</v>
      </c>
      <c r="Q288" s="388">
        <f t="shared" si="51"/>
        <v>359.39519230769235</v>
      </c>
      <c r="R288" s="398">
        <f t="shared" si="51"/>
        <v>0.29269999999999996</v>
      </c>
    </row>
    <row r="289" spans="1:18" s="4" customFormat="1" ht="18.95" customHeight="1">
      <c r="A289" s="956"/>
      <c r="B289" s="959"/>
      <c r="C289" s="962"/>
      <c r="D289" s="389" t="s">
        <v>10</v>
      </c>
      <c r="E289" s="390" t="e">
        <f t="shared" ref="E289:R289" si="52">E230+E280+E282+E284</f>
        <v>#VALUE!</v>
      </c>
      <c r="F289" s="390">
        <f t="shared" si="52"/>
        <v>0</v>
      </c>
      <c r="G289" s="390">
        <f t="shared" si="52"/>
        <v>0</v>
      </c>
      <c r="H289" s="390">
        <f t="shared" si="52"/>
        <v>882.61145897435915</v>
      </c>
      <c r="I289" s="390">
        <f t="shared" si="52"/>
        <v>1787.3999999999999</v>
      </c>
      <c r="J289" s="390" t="e">
        <f t="shared" si="52"/>
        <v>#REF!</v>
      </c>
      <c r="K289" s="390" t="e">
        <f t="shared" si="52"/>
        <v>#REF!</v>
      </c>
      <c r="L289" s="390" t="e">
        <f t="shared" si="52"/>
        <v>#VALUE!</v>
      </c>
      <c r="M289" s="390" t="e">
        <f t="shared" si="52"/>
        <v>#VALUE!</v>
      </c>
      <c r="N289" s="390" t="e">
        <f t="shared" si="52"/>
        <v>#VALUE!</v>
      </c>
      <c r="O289" s="390">
        <f t="shared" si="52"/>
        <v>2236.9644230769236</v>
      </c>
      <c r="P289" s="390">
        <f t="shared" si="52"/>
        <v>1815.0192307692307</v>
      </c>
      <c r="Q289" s="390">
        <f t="shared" si="52"/>
        <v>421.94519230769237</v>
      </c>
      <c r="R289" s="399">
        <f t="shared" si="52"/>
        <v>0.33950000000000002</v>
      </c>
    </row>
    <row r="290" spans="1:18" s="4" customFormat="1" ht="18.95" customHeight="1">
      <c r="A290" s="956"/>
      <c r="B290" s="959"/>
      <c r="C290" s="962"/>
      <c r="D290" s="389" t="s">
        <v>11</v>
      </c>
      <c r="E290" s="390" t="e">
        <f t="shared" ref="E290:R290" si="53">E231+E280+E282+E284</f>
        <v>#VALUE!</v>
      </c>
      <c r="F290" s="390">
        <f t="shared" si="53"/>
        <v>0</v>
      </c>
      <c r="G290" s="390">
        <f t="shared" si="53"/>
        <v>0</v>
      </c>
      <c r="H290" s="390">
        <f t="shared" si="53"/>
        <v>1125.1011625000003</v>
      </c>
      <c r="I290" s="390">
        <f t="shared" si="53"/>
        <v>1787.3999999999999</v>
      </c>
      <c r="J290" s="390" t="e">
        <f t="shared" si="53"/>
        <v>#REF!</v>
      </c>
      <c r="K290" s="390" t="e">
        <f t="shared" si="53"/>
        <v>#REF!</v>
      </c>
      <c r="L290" s="390" t="e">
        <f t="shared" si="53"/>
        <v>#VALUE!</v>
      </c>
      <c r="M290" s="390" t="e">
        <f t="shared" si="53"/>
        <v>#VALUE!</v>
      </c>
      <c r="N290" s="390" t="e">
        <f t="shared" si="53"/>
        <v>#VALUE!</v>
      </c>
      <c r="O290" s="390">
        <f t="shared" si="53"/>
        <v>2611.1951923076927</v>
      </c>
      <c r="P290" s="390">
        <f t="shared" si="53"/>
        <v>2114.4038461538462</v>
      </c>
      <c r="Q290" s="390">
        <f t="shared" si="53"/>
        <v>496.79134615384623</v>
      </c>
      <c r="R290" s="399">
        <f t="shared" si="53"/>
        <v>0.39550000000000007</v>
      </c>
    </row>
    <row r="291" spans="1:18" s="4" customFormat="1" ht="18.95" customHeight="1">
      <c r="A291" s="956"/>
      <c r="B291" s="959"/>
      <c r="C291" s="962"/>
      <c r="D291" s="391" t="s">
        <v>12</v>
      </c>
      <c r="E291" s="392" t="e">
        <f t="shared" ref="E291:R291" si="54">E232+E280+E282+E284</f>
        <v>#VALUE!</v>
      </c>
      <c r="F291" s="392">
        <f t="shared" si="54"/>
        <v>0</v>
      </c>
      <c r="G291" s="392">
        <f t="shared" si="54"/>
        <v>0</v>
      </c>
      <c r="H291" s="392">
        <f t="shared" si="54"/>
        <v>1464.5867474358981</v>
      </c>
      <c r="I291" s="392">
        <f t="shared" si="54"/>
        <v>1787.3999999999999</v>
      </c>
      <c r="J291" s="392" t="e">
        <f t="shared" si="54"/>
        <v>#REF!</v>
      </c>
      <c r="K291" s="392" t="e">
        <f t="shared" si="54"/>
        <v>#REF!</v>
      </c>
      <c r="L291" s="392" t="e">
        <f t="shared" si="54"/>
        <v>#VALUE!</v>
      </c>
      <c r="M291" s="392" t="e">
        <f t="shared" si="54"/>
        <v>#VALUE!</v>
      </c>
      <c r="N291" s="392" t="e">
        <f t="shared" si="54"/>
        <v>#VALUE!</v>
      </c>
      <c r="O291" s="392">
        <f t="shared" si="54"/>
        <v>3060.2721153846155</v>
      </c>
      <c r="P291" s="392">
        <f t="shared" si="54"/>
        <v>2473.6653846153845</v>
      </c>
      <c r="Q291" s="392">
        <f t="shared" si="54"/>
        <v>586.60673076923081</v>
      </c>
      <c r="R291" s="400">
        <f t="shared" si="54"/>
        <v>0.4627</v>
      </c>
    </row>
    <row r="292" spans="1:18" s="4" customFormat="1" ht="18.95" customHeight="1">
      <c r="A292" s="956"/>
      <c r="B292" s="959"/>
      <c r="C292" s="962"/>
      <c r="D292" s="389" t="s">
        <v>13</v>
      </c>
      <c r="E292" s="390" t="e">
        <f t="shared" ref="E292:R292" si="55">E233+E280+E282+E284</f>
        <v>#VALUE!</v>
      </c>
      <c r="F292" s="390">
        <f t="shared" si="55"/>
        <v>0</v>
      </c>
      <c r="G292" s="390">
        <f t="shared" si="55"/>
        <v>0</v>
      </c>
      <c r="H292" s="390">
        <f t="shared" si="55"/>
        <v>1852.5702730769237</v>
      </c>
      <c r="I292" s="390">
        <f t="shared" si="55"/>
        <v>1787.3999999999999</v>
      </c>
      <c r="J292" s="390" t="e">
        <f t="shared" si="55"/>
        <v>#REF!</v>
      </c>
      <c r="K292" s="390" t="e">
        <f t="shared" si="55"/>
        <v>#REF!</v>
      </c>
      <c r="L292" s="390" t="e">
        <f t="shared" si="55"/>
        <v>#VALUE!</v>
      </c>
      <c r="M292" s="390" t="e">
        <f t="shared" si="55"/>
        <v>#VALUE!</v>
      </c>
      <c r="N292" s="390" t="e">
        <f t="shared" si="55"/>
        <v>#VALUE!</v>
      </c>
      <c r="O292" s="390">
        <f t="shared" si="55"/>
        <v>3598.8971153846155</v>
      </c>
      <c r="P292" s="390">
        <f t="shared" si="55"/>
        <v>2904.5653846153846</v>
      </c>
      <c r="Q292" s="390">
        <f t="shared" si="55"/>
        <v>694.33173076923083</v>
      </c>
      <c r="R292" s="399">
        <f t="shared" si="55"/>
        <v>0.54330000000000001</v>
      </c>
    </row>
    <row r="293" spans="1:18" s="4" customFormat="1" ht="18.95" customHeight="1">
      <c r="A293" s="967"/>
      <c r="B293" s="968"/>
      <c r="C293" s="969"/>
      <c r="D293" s="387" t="s">
        <v>14</v>
      </c>
      <c r="E293" s="388" t="e">
        <f t="shared" ref="E293:R293" si="56">E234+E280+E282+E284</f>
        <v>#VALUE!</v>
      </c>
      <c r="F293" s="388">
        <f t="shared" si="56"/>
        <v>0</v>
      </c>
      <c r="G293" s="388">
        <f t="shared" si="56"/>
        <v>0</v>
      </c>
      <c r="H293" s="388">
        <f t="shared" si="56"/>
        <v>155.14234839743591</v>
      </c>
      <c r="I293" s="388">
        <f t="shared" si="56"/>
        <v>1787.3999999999999</v>
      </c>
      <c r="J293" s="388" t="e">
        <f t="shared" si="56"/>
        <v>#REF!</v>
      </c>
      <c r="K293" s="388" t="e">
        <f t="shared" si="56"/>
        <v>#REF!</v>
      </c>
      <c r="L293" s="388" t="e">
        <f t="shared" si="56"/>
        <v>#VALUE!</v>
      </c>
      <c r="M293" s="388" t="e">
        <f t="shared" si="56"/>
        <v>#VALUE!</v>
      </c>
      <c r="N293" s="388" t="e">
        <f t="shared" si="56"/>
        <v>#VALUE!</v>
      </c>
      <c r="O293" s="388">
        <f t="shared" si="56"/>
        <v>365.81057692307695</v>
      </c>
      <c r="P293" s="388">
        <f t="shared" si="56"/>
        <v>318.09615384615387</v>
      </c>
      <c r="Q293" s="388">
        <f t="shared" si="56"/>
        <v>47.714423076923076</v>
      </c>
      <c r="R293" s="398">
        <f t="shared" si="56"/>
        <v>5.9500000000000004E-2</v>
      </c>
    </row>
    <row r="294" spans="1:18" s="4" customFormat="1" ht="18.95" customHeight="1">
      <c r="A294" s="395"/>
      <c r="B294" s="396"/>
      <c r="C294" s="397"/>
      <c r="D294" s="387"/>
      <c r="E294" s="388"/>
      <c r="F294" s="388"/>
      <c r="G294" s="388"/>
      <c r="H294" s="388"/>
      <c r="I294" s="388"/>
      <c r="J294" s="388"/>
      <c r="K294" s="388"/>
      <c r="L294" s="388"/>
      <c r="M294" s="388"/>
      <c r="N294" s="388"/>
      <c r="O294" s="388"/>
      <c r="P294" s="97"/>
      <c r="Q294" s="54"/>
      <c r="R294" s="394"/>
    </row>
    <row r="295" spans="1:18" s="4" customFormat="1" ht="18.95" customHeight="1">
      <c r="A295" s="955" t="s">
        <v>4</v>
      </c>
      <c r="B295" s="958" t="s">
        <v>391</v>
      </c>
      <c r="C295" s="961" t="s">
        <v>278</v>
      </c>
      <c r="D295" s="389" t="s">
        <v>9</v>
      </c>
      <c r="E295" s="390" t="e">
        <f t="shared" ref="E295:R300" si="57">E236+E243+E253+E$265+E268+E$275+E$278</f>
        <v>#VALUE!</v>
      </c>
      <c r="F295" s="390">
        <f t="shared" si="57"/>
        <v>7807.6</v>
      </c>
      <c r="G295" s="390" t="e">
        <f t="shared" si="57"/>
        <v>#REF!</v>
      </c>
      <c r="H295" s="390" t="e">
        <f t="shared" si="57"/>
        <v>#REF!</v>
      </c>
      <c r="I295" s="390" t="e">
        <f t="shared" si="57"/>
        <v>#REF!</v>
      </c>
      <c r="J295" s="390" t="e">
        <f t="shared" si="57"/>
        <v>#REF!</v>
      </c>
      <c r="K295" s="390" t="e">
        <f t="shared" si="57"/>
        <v>#REF!</v>
      </c>
      <c r="L295" s="390" t="e">
        <f t="shared" si="57"/>
        <v>#VALUE!</v>
      </c>
      <c r="M295" s="390" t="e">
        <f t="shared" si="57"/>
        <v>#VALUE!</v>
      </c>
      <c r="N295" s="390" t="e">
        <f t="shared" si="57"/>
        <v>#VALUE!</v>
      </c>
      <c r="O295" s="390" t="e">
        <f t="shared" si="57"/>
        <v>#REF!</v>
      </c>
      <c r="P295" s="390" t="e">
        <f t="shared" si="57"/>
        <v>#REF!</v>
      </c>
      <c r="Q295" s="390" t="e">
        <f t="shared" si="57"/>
        <v>#REF!</v>
      </c>
      <c r="R295" s="399" t="e">
        <f t="shared" si="57"/>
        <v>#REF!</v>
      </c>
    </row>
    <row r="296" spans="1:18" s="4" customFormat="1" ht="18.95" customHeight="1">
      <c r="A296" s="956"/>
      <c r="B296" s="959"/>
      <c r="C296" s="962"/>
      <c r="D296" s="389" t="s">
        <v>10</v>
      </c>
      <c r="E296" s="388" t="e">
        <f t="shared" si="57"/>
        <v>#VALUE!</v>
      </c>
      <c r="F296" s="388">
        <f t="shared" si="57"/>
        <v>9379.6</v>
      </c>
      <c r="G296" s="388" t="e">
        <f t="shared" si="57"/>
        <v>#REF!</v>
      </c>
      <c r="H296" s="388" t="e">
        <f t="shared" si="57"/>
        <v>#REF!</v>
      </c>
      <c r="I296" s="388" t="e">
        <f t="shared" si="57"/>
        <v>#REF!</v>
      </c>
      <c r="J296" s="388" t="e">
        <f t="shared" si="57"/>
        <v>#REF!</v>
      </c>
      <c r="K296" s="388" t="e">
        <f t="shared" si="57"/>
        <v>#REF!</v>
      </c>
      <c r="L296" s="388" t="e">
        <f t="shared" si="57"/>
        <v>#VALUE!</v>
      </c>
      <c r="M296" s="388" t="e">
        <f t="shared" si="57"/>
        <v>#VALUE!</v>
      </c>
      <c r="N296" s="388" t="e">
        <f t="shared" si="57"/>
        <v>#VALUE!</v>
      </c>
      <c r="O296" s="388" t="e">
        <f t="shared" si="57"/>
        <v>#REF!</v>
      </c>
      <c r="P296" s="388" t="e">
        <f t="shared" si="57"/>
        <v>#REF!</v>
      </c>
      <c r="Q296" s="388" t="e">
        <f t="shared" si="57"/>
        <v>#REF!</v>
      </c>
      <c r="R296" s="398" t="e">
        <f t="shared" si="57"/>
        <v>#REF!</v>
      </c>
    </row>
    <row r="297" spans="1:18" s="4" customFormat="1" ht="18.95" customHeight="1">
      <c r="A297" s="956"/>
      <c r="B297" s="959"/>
      <c r="C297" s="962"/>
      <c r="D297" s="389" t="s">
        <v>11</v>
      </c>
      <c r="E297" s="388" t="e">
        <f t="shared" si="57"/>
        <v>#VALUE!</v>
      </c>
      <c r="F297" s="388">
        <f t="shared" si="57"/>
        <v>11252.9</v>
      </c>
      <c r="G297" s="388" t="e">
        <f t="shared" si="57"/>
        <v>#REF!</v>
      </c>
      <c r="H297" s="388" t="e">
        <f t="shared" si="57"/>
        <v>#REF!</v>
      </c>
      <c r="I297" s="388" t="e">
        <f t="shared" si="57"/>
        <v>#REF!</v>
      </c>
      <c r="J297" s="388" t="e">
        <f t="shared" si="57"/>
        <v>#REF!</v>
      </c>
      <c r="K297" s="388" t="e">
        <f t="shared" si="57"/>
        <v>#REF!</v>
      </c>
      <c r="L297" s="388" t="e">
        <f t="shared" si="57"/>
        <v>#VALUE!</v>
      </c>
      <c r="M297" s="388" t="e">
        <f t="shared" si="57"/>
        <v>#VALUE!</v>
      </c>
      <c r="N297" s="388" t="e">
        <f t="shared" si="57"/>
        <v>#VALUE!</v>
      </c>
      <c r="O297" s="388" t="e">
        <f t="shared" si="57"/>
        <v>#REF!</v>
      </c>
      <c r="P297" s="388" t="e">
        <f t="shared" si="57"/>
        <v>#REF!</v>
      </c>
      <c r="Q297" s="388" t="e">
        <f t="shared" si="57"/>
        <v>#REF!</v>
      </c>
      <c r="R297" s="398" t="e">
        <f t="shared" si="57"/>
        <v>#REF!</v>
      </c>
    </row>
    <row r="298" spans="1:18" s="4" customFormat="1" ht="18.95" customHeight="1">
      <c r="A298" s="956"/>
      <c r="B298" s="959"/>
      <c r="C298" s="962"/>
      <c r="D298" s="391" t="s">
        <v>12</v>
      </c>
      <c r="E298" s="388" t="e">
        <f t="shared" si="57"/>
        <v>#VALUE!</v>
      </c>
      <c r="F298" s="388">
        <f t="shared" si="57"/>
        <v>13506.1</v>
      </c>
      <c r="G298" s="388" t="e">
        <f t="shared" si="57"/>
        <v>#REF!</v>
      </c>
      <c r="H298" s="388" t="e">
        <f t="shared" si="57"/>
        <v>#REF!</v>
      </c>
      <c r="I298" s="388" t="e">
        <f t="shared" si="57"/>
        <v>#REF!</v>
      </c>
      <c r="J298" s="388" t="e">
        <f t="shared" si="57"/>
        <v>#REF!</v>
      </c>
      <c r="K298" s="388" t="e">
        <f t="shared" si="57"/>
        <v>#REF!</v>
      </c>
      <c r="L298" s="388" t="e">
        <f t="shared" si="57"/>
        <v>#VALUE!</v>
      </c>
      <c r="M298" s="388" t="e">
        <f t="shared" si="57"/>
        <v>#VALUE!</v>
      </c>
      <c r="N298" s="388" t="e">
        <f t="shared" si="57"/>
        <v>#VALUE!</v>
      </c>
      <c r="O298" s="388" t="e">
        <f t="shared" si="57"/>
        <v>#REF!</v>
      </c>
      <c r="P298" s="388" t="e">
        <f t="shared" si="57"/>
        <v>#REF!</v>
      </c>
      <c r="Q298" s="388" t="e">
        <f t="shared" si="57"/>
        <v>#REF!</v>
      </c>
      <c r="R298" s="398" t="e">
        <f t="shared" si="57"/>
        <v>#REF!</v>
      </c>
    </row>
    <row r="299" spans="1:18" s="4" customFormat="1" ht="18.95" customHeight="1">
      <c r="A299" s="956"/>
      <c r="B299" s="959"/>
      <c r="C299" s="962"/>
      <c r="D299" s="389" t="s">
        <v>13</v>
      </c>
      <c r="E299" s="388" t="e">
        <f t="shared" si="57"/>
        <v>#VALUE!</v>
      </c>
      <c r="F299" s="388">
        <f t="shared" si="57"/>
        <v>16204.7</v>
      </c>
      <c r="G299" s="388" t="e">
        <f t="shared" si="57"/>
        <v>#REF!</v>
      </c>
      <c r="H299" s="388" t="e">
        <f t="shared" si="57"/>
        <v>#REF!</v>
      </c>
      <c r="I299" s="388" t="e">
        <f t="shared" si="57"/>
        <v>#REF!</v>
      </c>
      <c r="J299" s="388" t="e">
        <f t="shared" si="57"/>
        <v>#REF!</v>
      </c>
      <c r="K299" s="388" t="e">
        <f t="shared" si="57"/>
        <v>#REF!</v>
      </c>
      <c r="L299" s="388" t="e">
        <f t="shared" si="57"/>
        <v>#VALUE!</v>
      </c>
      <c r="M299" s="388" t="e">
        <f t="shared" si="57"/>
        <v>#VALUE!</v>
      </c>
      <c r="N299" s="388" t="e">
        <f t="shared" si="57"/>
        <v>#VALUE!</v>
      </c>
      <c r="O299" s="388" t="e">
        <f t="shared" si="57"/>
        <v>#REF!</v>
      </c>
      <c r="P299" s="388" t="e">
        <f t="shared" si="57"/>
        <v>#REF!</v>
      </c>
      <c r="Q299" s="388" t="e">
        <f t="shared" si="57"/>
        <v>#REF!</v>
      </c>
      <c r="R299" s="398" t="e">
        <f t="shared" si="57"/>
        <v>#REF!</v>
      </c>
    </row>
    <row r="300" spans="1:18" s="4" customFormat="1" ht="18.95" customHeight="1">
      <c r="A300" s="957"/>
      <c r="B300" s="960"/>
      <c r="C300" s="963"/>
      <c r="D300" s="393" t="s">
        <v>14</v>
      </c>
      <c r="E300" s="458" t="e">
        <f t="shared" si="57"/>
        <v>#REF!</v>
      </c>
      <c r="F300" s="458" t="e">
        <f t="shared" si="57"/>
        <v>#REF!</v>
      </c>
      <c r="G300" s="458" t="e">
        <f t="shared" si="57"/>
        <v>#REF!</v>
      </c>
      <c r="H300" s="458" t="e">
        <f t="shared" si="57"/>
        <v>#REF!</v>
      </c>
      <c r="I300" s="458" t="e">
        <f t="shared" si="57"/>
        <v>#REF!</v>
      </c>
      <c r="J300" s="458" t="e">
        <f t="shared" si="57"/>
        <v>#REF!</v>
      </c>
      <c r="K300" s="458" t="e">
        <f t="shared" si="57"/>
        <v>#REF!</v>
      </c>
      <c r="L300" s="458" t="e">
        <f t="shared" si="57"/>
        <v>#REF!</v>
      </c>
      <c r="M300" s="458" t="e">
        <f t="shared" si="57"/>
        <v>#REF!</v>
      </c>
      <c r="N300" s="458" t="e">
        <f t="shared" si="57"/>
        <v>#REF!</v>
      </c>
      <c r="O300" s="458" t="e">
        <f t="shared" si="57"/>
        <v>#REF!</v>
      </c>
      <c r="P300" s="458" t="e">
        <f t="shared" si="57"/>
        <v>#REF!</v>
      </c>
      <c r="Q300" s="458" t="e">
        <f t="shared" si="57"/>
        <v>#REF!</v>
      </c>
      <c r="R300" s="459" t="e">
        <f t="shared" si="57"/>
        <v>#REF!</v>
      </c>
    </row>
    <row r="301" spans="1:18" s="4" customFormat="1" ht="5.25" customHeight="1">
      <c r="A301" s="79"/>
      <c r="B301" s="79"/>
      <c r="C301" s="79"/>
      <c r="D301" s="87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2"/>
      <c r="P301" s="82"/>
      <c r="Q301" s="52"/>
      <c r="R301" s="63"/>
    </row>
    <row r="302" spans="1:18" s="4" customFormat="1" ht="39" hidden="1" customHeight="1">
      <c r="A302" s="976" t="s">
        <v>401</v>
      </c>
      <c r="B302" s="976"/>
      <c r="C302" s="976"/>
      <c r="D302" s="976"/>
      <c r="E302" s="976"/>
      <c r="F302" s="976"/>
      <c r="G302" s="976"/>
      <c r="H302" s="976"/>
      <c r="I302" s="976"/>
      <c r="J302" s="976"/>
      <c r="K302" s="976"/>
      <c r="L302" s="976"/>
      <c r="M302" s="976"/>
      <c r="N302" s="976"/>
      <c r="O302" s="976"/>
      <c r="P302" s="112"/>
      <c r="Q302" s="75"/>
      <c r="R302" s="76"/>
    </row>
    <row r="303" spans="1:18" s="4" customFormat="1" ht="16.5" hidden="1" customHeight="1">
      <c r="A303" s="107"/>
      <c r="B303" s="80"/>
      <c r="C303" s="81"/>
      <c r="D303" s="86"/>
      <c r="E303" s="108"/>
      <c r="F303" s="108"/>
      <c r="G303" s="108"/>
      <c r="H303" s="108"/>
      <c r="I303" s="108"/>
      <c r="J303" s="108"/>
      <c r="K303" s="108"/>
      <c r="L303" s="108"/>
      <c r="M303" s="109"/>
      <c r="N303" s="108"/>
      <c r="O303" s="82"/>
      <c r="P303" s="82"/>
      <c r="Q303" s="77"/>
      <c r="R303" s="78"/>
    </row>
    <row r="304" spans="1:18" s="4" customFormat="1" ht="28.5" hidden="1" customHeight="1">
      <c r="A304" s="970" t="s">
        <v>376</v>
      </c>
      <c r="B304" s="972" t="s">
        <v>377</v>
      </c>
      <c r="C304" s="974" t="s">
        <v>378</v>
      </c>
      <c r="D304" s="970" t="s">
        <v>91</v>
      </c>
      <c r="E304" s="964" t="s">
        <v>368</v>
      </c>
      <c r="F304" s="965"/>
      <c r="G304" s="965"/>
      <c r="H304" s="965"/>
      <c r="I304" s="965"/>
      <c r="J304" s="965"/>
      <c r="K304" s="965"/>
      <c r="L304" s="966"/>
      <c r="M304" s="324" t="s">
        <v>63</v>
      </c>
      <c r="N304" s="974" t="s">
        <v>379</v>
      </c>
      <c r="O304" s="323" t="s">
        <v>18</v>
      </c>
      <c r="P304" s="104" t="s">
        <v>19</v>
      </c>
      <c r="Q304" s="57" t="s">
        <v>19</v>
      </c>
      <c r="R304" s="58" t="s">
        <v>16</v>
      </c>
    </row>
    <row r="305" spans="1:18" s="4" customFormat="1" ht="27.75" hidden="1" customHeight="1">
      <c r="A305" s="971"/>
      <c r="B305" s="973"/>
      <c r="C305" s="975"/>
      <c r="D305" s="971"/>
      <c r="E305" s="327" t="s">
        <v>369</v>
      </c>
      <c r="F305" s="326" t="s">
        <v>370</v>
      </c>
      <c r="G305" s="328">
        <v>0</v>
      </c>
      <c r="H305" s="326" t="s">
        <v>257</v>
      </c>
      <c r="I305" s="326" t="s">
        <v>280</v>
      </c>
      <c r="J305" s="326" t="s">
        <v>261</v>
      </c>
      <c r="K305" s="326" t="s">
        <v>371</v>
      </c>
      <c r="L305" s="326" t="s">
        <v>372</v>
      </c>
      <c r="M305" s="326" t="s">
        <v>48</v>
      </c>
      <c r="N305" s="975"/>
      <c r="O305" s="325" t="s">
        <v>20</v>
      </c>
      <c r="P305" s="105" t="s">
        <v>21</v>
      </c>
      <c r="Q305" s="59" t="s">
        <v>22</v>
      </c>
      <c r="R305" s="60" t="s">
        <v>17</v>
      </c>
    </row>
    <row r="306" spans="1:18" s="4" customFormat="1" ht="18" hidden="1" customHeight="1">
      <c r="A306" s="329" t="s">
        <v>52</v>
      </c>
      <c r="B306" s="330" t="s">
        <v>53</v>
      </c>
      <c r="C306" s="330" t="s">
        <v>54</v>
      </c>
      <c r="D306" s="331" t="s">
        <v>55</v>
      </c>
      <c r="E306" s="332" t="s">
        <v>56</v>
      </c>
      <c r="F306" s="332" t="s">
        <v>57</v>
      </c>
      <c r="G306" s="332"/>
      <c r="H306" s="332" t="s">
        <v>58</v>
      </c>
      <c r="I306" s="332" t="s">
        <v>59</v>
      </c>
      <c r="J306" s="332" t="s">
        <v>60</v>
      </c>
      <c r="K306" s="332" t="s">
        <v>61</v>
      </c>
      <c r="L306" s="333" t="s">
        <v>373</v>
      </c>
      <c r="M306" s="333" t="s">
        <v>374</v>
      </c>
      <c r="N306" s="334" t="s">
        <v>375</v>
      </c>
      <c r="O306" s="332" t="s">
        <v>62</v>
      </c>
      <c r="P306" s="48"/>
      <c r="Q306" s="48"/>
      <c r="R306" s="49"/>
    </row>
    <row r="307" spans="1:18" s="4" customFormat="1" ht="21.75" hidden="1" customHeight="1">
      <c r="A307" s="335" t="s">
        <v>3</v>
      </c>
      <c r="B307" s="336" t="s">
        <v>380</v>
      </c>
      <c r="C307" s="337"/>
      <c r="D307" s="344"/>
      <c r="E307" s="345"/>
      <c r="F307" s="345"/>
      <c r="G307" s="345"/>
      <c r="H307" s="345"/>
      <c r="I307" s="345"/>
      <c r="J307" s="345"/>
      <c r="K307" s="345"/>
      <c r="L307" s="346"/>
      <c r="M307" s="346"/>
      <c r="N307" s="345"/>
      <c r="O307" s="347"/>
      <c r="P307" s="407"/>
      <c r="Q307" s="408"/>
      <c r="R307" s="409"/>
    </row>
    <row r="308" spans="1:18" s="4" customFormat="1" ht="20.25" hidden="1" customHeight="1">
      <c r="A308" s="315" t="s">
        <v>9</v>
      </c>
      <c r="B308" s="314" t="s">
        <v>73</v>
      </c>
      <c r="C308" s="318" t="s">
        <v>1</v>
      </c>
      <c r="D308" s="351" t="s">
        <v>9</v>
      </c>
      <c r="E308" s="352" t="e">
        <f>'NC-CLBD'!O5/900</f>
        <v>#VALUE!</v>
      </c>
      <c r="F308" s="353"/>
      <c r="G308" s="353">
        <f t="shared" ref="G308:G323" si="58">$Q$1*10*P308</f>
        <v>0</v>
      </c>
      <c r="H308" s="353">
        <f>'DCu-CLBD'!P23</f>
        <v>129.32784188034191</v>
      </c>
      <c r="I308" s="353">
        <f>'VL-CLBD'!N16</f>
        <v>83.4</v>
      </c>
      <c r="J308" s="353"/>
      <c r="K308" s="353"/>
      <c r="L308" s="348" t="e">
        <f>SUM(E308:K308)</f>
        <v>#VALUE!</v>
      </c>
      <c r="M308" s="348" t="e">
        <f>L308*'He so chung'!$D$16/100</f>
        <v>#VALUE!</v>
      </c>
      <c r="N308" s="349" t="e">
        <f>M308+L308</f>
        <v>#VALUE!</v>
      </c>
      <c r="O308" s="354">
        <f>'He so chung'!$D$18*R308</f>
        <v>346.46047008547009</v>
      </c>
      <c r="P308" s="354">
        <f>'He so chung'!$D$19*R308</f>
        <v>277.16837606837606</v>
      </c>
      <c r="Q308" s="411">
        <f>'He so chung'!$D$20*R308</f>
        <v>69.292094017094016</v>
      </c>
      <c r="R308" s="412">
        <f>'NC-CLBD'!N5/900</f>
        <v>5.1844444444444443E-2</v>
      </c>
    </row>
    <row r="309" spans="1:18" s="4" customFormat="1" ht="20.25" hidden="1" customHeight="1">
      <c r="A309" s="314"/>
      <c r="B309" s="187"/>
      <c r="C309" s="318"/>
      <c r="D309" s="351" t="s">
        <v>10</v>
      </c>
      <c r="E309" s="352" t="e">
        <f>'NC-CLBD'!O7/900</f>
        <v>#VALUE!</v>
      </c>
      <c r="F309" s="353"/>
      <c r="G309" s="353">
        <f t="shared" si="58"/>
        <v>0</v>
      </c>
      <c r="H309" s="353">
        <f>'DCu-CLBD'!P24</f>
        <v>161.65980235042741</v>
      </c>
      <c r="I309" s="353">
        <f>I308</f>
        <v>83.4</v>
      </c>
      <c r="J309" s="353"/>
      <c r="K309" s="353"/>
      <c r="L309" s="348" t="e">
        <f>SUM(E309:K309)</f>
        <v>#VALUE!</v>
      </c>
      <c r="M309" s="348" t="e">
        <f>L309*'He so chung'!$D$16/100</f>
        <v>#VALUE!</v>
      </c>
      <c r="N309" s="349" t="e">
        <f>M309+L309</f>
        <v>#VALUE!</v>
      </c>
      <c r="O309" s="354">
        <f>'He so chung'!$D$18*R309</f>
        <v>415.81196581196582</v>
      </c>
      <c r="P309" s="354">
        <f>'He so chung'!$D$19*R309</f>
        <v>332.64957264957263</v>
      </c>
      <c r="Q309" s="411">
        <f>'He so chung'!$D$20*R309</f>
        <v>83.162393162393172</v>
      </c>
      <c r="R309" s="412">
        <f>'NC-CLBD'!N7/900</f>
        <v>6.222222222222222E-2</v>
      </c>
    </row>
    <row r="310" spans="1:18" s="4" customFormat="1" ht="20.25" hidden="1" customHeight="1">
      <c r="A310" s="315"/>
      <c r="B310" s="314"/>
      <c r="C310" s="318"/>
      <c r="D310" s="351" t="s">
        <v>11</v>
      </c>
      <c r="E310" s="352" t="e">
        <f>'NC-CLBD'!O9/900</f>
        <v>#VALUE!</v>
      </c>
      <c r="F310" s="353"/>
      <c r="G310" s="353">
        <f t="shared" si="58"/>
        <v>0</v>
      </c>
      <c r="H310" s="353">
        <f>'DCu-CLBD'!P25</f>
        <v>215.5464031339032</v>
      </c>
      <c r="I310" s="353">
        <f>I309</f>
        <v>83.4</v>
      </c>
      <c r="J310" s="353"/>
      <c r="K310" s="353"/>
      <c r="L310" s="348" t="e">
        <f>SUM(E310:K310)</f>
        <v>#VALUE!</v>
      </c>
      <c r="M310" s="348" t="e">
        <f>L310*'He so chung'!$D$16/100</f>
        <v>#VALUE!</v>
      </c>
      <c r="N310" s="349" t="e">
        <f>M310+L310</f>
        <v>#VALUE!</v>
      </c>
      <c r="O310" s="354">
        <f>'He so chung'!$D$18*R310</f>
        <v>498.97435897435901</v>
      </c>
      <c r="P310" s="354">
        <f>'He so chung'!$D$19*R310</f>
        <v>399.17948717948718</v>
      </c>
      <c r="Q310" s="411">
        <f>'He so chung'!$D$20*R310</f>
        <v>99.79487179487181</v>
      </c>
      <c r="R310" s="412">
        <f>'NC-CLBD'!N9/900</f>
        <v>7.4666666666666673E-2</v>
      </c>
    </row>
    <row r="311" spans="1:18" s="4" customFormat="1" ht="20.25" hidden="1" customHeight="1">
      <c r="A311" s="315"/>
      <c r="B311" s="314"/>
      <c r="C311" s="318"/>
      <c r="D311" s="351" t="s">
        <v>12</v>
      </c>
      <c r="E311" s="352" t="e">
        <f>'NC-CLBD'!O11/900</f>
        <v>#VALUE!</v>
      </c>
      <c r="F311" s="353"/>
      <c r="G311" s="353">
        <f t="shared" si="58"/>
        <v>0</v>
      </c>
      <c r="H311" s="353">
        <f>'DCu-CLBD'!P26</f>
        <v>237.10104344729353</v>
      </c>
      <c r="I311" s="353">
        <f>I310</f>
        <v>83.4</v>
      </c>
      <c r="J311" s="353"/>
      <c r="K311" s="353"/>
      <c r="L311" s="348" t="e">
        <f>SUM(E311:K311)</f>
        <v>#VALUE!</v>
      </c>
      <c r="M311" s="348" t="e">
        <f>L311*'He so chung'!$D$16/100</f>
        <v>#VALUE!</v>
      </c>
      <c r="N311" s="349" t="e">
        <f>M311+L311</f>
        <v>#VALUE!</v>
      </c>
      <c r="O311" s="354">
        <f>'He so chung'!$D$18*R311</f>
        <v>598.76923076923072</v>
      </c>
      <c r="P311" s="354">
        <f>'He so chung'!$D$19*R311</f>
        <v>479.01538461538456</v>
      </c>
      <c r="Q311" s="411">
        <f>'He so chung'!$D$20*R311</f>
        <v>119.75384615384617</v>
      </c>
      <c r="R311" s="412">
        <f>'NC-CLBD'!N11/900</f>
        <v>8.9599999999999999E-2</v>
      </c>
    </row>
    <row r="312" spans="1:18" s="4" customFormat="1" ht="20.25" hidden="1" customHeight="1">
      <c r="A312" s="315"/>
      <c r="B312" s="314"/>
      <c r="C312" s="338"/>
      <c r="D312" s="351"/>
      <c r="E312" s="352"/>
      <c r="F312" s="353"/>
      <c r="G312" s="353">
        <f t="shared" si="58"/>
        <v>0</v>
      </c>
      <c r="H312" s="353"/>
      <c r="I312" s="353"/>
      <c r="J312" s="353"/>
      <c r="K312" s="353"/>
      <c r="L312" s="348"/>
      <c r="M312" s="348"/>
      <c r="N312" s="349"/>
      <c r="O312" s="354"/>
      <c r="P312" s="354"/>
      <c r="Q312" s="411"/>
      <c r="R312" s="412"/>
    </row>
    <row r="313" spans="1:18" s="4" customFormat="1" ht="20.25" hidden="1" customHeight="1">
      <c r="A313" s="315" t="s">
        <v>10</v>
      </c>
      <c r="B313" s="314" t="s">
        <v>381</v>
      </c>
      <c r="C313" s="318" t="s">
        <v>278</v>
      </c>
      <c r="D313" s="351" t="s">
        <v>9</v>
      </c>
      <c r="E313" s="352" t="e">
        <f>'NC-CLBD'!O17/100</f>
        <v>#VALUE!</v>
      </c>
      <c r="F313" s="353"/>
      <c r="G313" s="353">
        <f t="shared" si="58"/>
        <v>0</v>
      </c>
      <c r="H313" s="353">
        <f>'DCu-CLBD'!P67</f>
        <v>64.456622596153849</v>
      </c>
      <c r="I313" s="353">
        <f>'VL-CLBD'!N45</f>
        <v>28.034100000000002</v>
      </c>
      <c r="J313" s="353">
        <f>'TBI-CLBD'!I37</f>
        <v>329.72</v>
      </c>
      <c r="K313" s="353" t="e">
        <f>#REF!</f>
        <v>#REF!</v>
      </c>
      <c r="L313" s="348" t="e">
        <f>SUM(E313:K313)</f>
        <v>#VALUE!</v>
      </c>
      <c r="M313" s="348" t="e">
        <f>L313*'He so chung'!$D$16/100</f>
        <v>#VALUE!</v>
      </c>
      <c r="N313" s="349" t="e">
        <f>M313+L313</f>
        <v>#VALUE!</v>
      </c>
      <c r="O313" s="354">
        <f>'He so chung'!$D$18*R313</f>
        <v>270.64903846153851</v>
      </c>
      <c r="P313" s="354">
        <f>'He so chung'!$D$19*R313</f>
        <v>216.5192307692308</v>
      </c>
      <c r="Q313" s="411">
        <f>'He so chung'!$D$20*R313</f>
        <v>54.129807692307708</v>
      </c>
      <c r="R313" s="412">
        <f>'NC-CLBD'!N17/100</f>
        <v>4.0500000000000008E-2</v>
      </c>
    </row>
    <row r="314" spans="1:18" s="4" customFormat="1" ht="20.25" hidden="1" customHeight="1">
      <c r="A314" s="314"/>
      <c r="B314" s="187"/>
      <c r="C314" s="318"/>
      <c r="D314" s="351" t="s">
        <v>10</v>
      </c>
      <c r="E314" s="352" t="e">
        <f>'NC-CLBD'!O19/100</f>
        <v>#VALUE!</v>
      </c>
      <c r="F314" s="353"/>
      <c r="G314" s="353">
        <f t="shared" si="58"/>
        <v>0</v>
      </c>
      <c r="H314" s="353">
        <f>'DCu-CLBD'!P68</f>
        <v>80.570778245192315</v>
      </c>
      <c r="I314" s="353">
        <f>I313</f>
        <v>28.034100000000002</v>
      </c>
      <c r="J314" s="353">
        <f>'TBI-CLBD'!K37</f>
        <v>377.08</v>
      </c>
      <c r="K314" s="353" t="e">
        <f>#REF!</f>
        <v>#REF!</v>
      </c>
      <c r="L314" s="348" t="e">
        <f>SUM(E314:K314)</f>
        <v>#VALUE!</v>
      </c>
      <c r="M314" s="348" t="e">
        <f>L314*'He so chung'!$D$16/100</f>
        <v>#VALUE!</v>
      </c>
      <c r="N314" s="349" t="e">
        <f>M314+L314</f>
        <v>#VALUE!</v>
      </c>
      <c r="O314" s="354">
        <f>'He so chung'!$D$18*R314</f>
        <v>310.74519230769232</v>
      </c>
      <c r="P314" s="354">
        <f>'He so chung'!$D$19*R314</f>
        <v>248.59615384615387</v>
      </c>
      <c r="Q314" s="411">
        <f>'He so chung'!$D$20*R314</f>
        <v>62.149038461538474</v>
      </c>
      <c r="R314" s="412">
        <f>'NC-CLBD'!N19/100</f>
        <v>4.6500000000000007E-2</v>
      </c>
    </row>
    <row r="315" spans="1:18" s="4" customFormat="1" ht="20.25" hidden="1" customHeight="1">
      <c r="A315" s="315"/>
      <c r="B315" s="314"/>
      <c r="C315" s="318"/>
      <c r="D315" s="351" t="s">
        <v>11</v>
      </c>
      <c r="E315" s="352" t="e">
        <f>'NC-CLBD'!O21/100</f>
        <v>#VALUE!</v>
      </c>
      <c r="F315" s="353"/>
      <c r="G315" s="353">
        <f t="shared" si="58"/>
        <v>0</v>
      </c>
      <c r="H315" s="353">
        <f>'DCu-CLBD'!P69</f>
        <v>107.42770432692309</v>
      </c>
      <c r="I315" s="353">
        <f>I314</f>
        <v>28.034100000000002</v>
      </c>
      <c r="J315" s="353">
        <f>'TBI-CLBD'!M37</f>
        <v>497.92</v>
      </c>
      <c r="K315" s="353" t="e">
        <f>#REF!</f>
        <v>#REF!</v>
      </c>
      <c r="L315" s="348" t="e">
        <f>SUM(E315:K315)</f>
        <v>#VALUE!</v>
      </c>
      <c r="M315" s="348" t="e">
        <f>L315*'He so chung'!$D$16/100</f>
        <v>#VALUE!</v>
      </c>
      <c r="N315" s="349" t="e">
        <f>M315+L315</f>
        <v>#VALUE!</v>
      </c>
      <c r="O315" s="354">
        <f>'He so chung'!$D$18*R315</f>
        <v>414.32692307692309</v>
      </c>
      <c r="P315" s="354">
        <f>'He so chung'!$D$19*R315</f>
        <v>331.46153846153845</v>
      </c>
      <c r="Q315" s="411">
        <f>'He so chung'!$D$20*R315</f>
        <v>82.865384615384627</v>
      </c>
      <c r="R315" s="412">
        <f>'NC-CLBD'!N21/100</f>
        <v>6.2E-2</v>
      </c>
    </row>
    <row r="316" spans="1:18" s="4" customFormat="1" ht="20.25" hidden="1" customHeight="1">
      <c r="A316" s="315"/>
      <c r="B316" s="314"/>
      <c r="C316" s="318"/>
      <c r="D316" s="351" t="s">
        <v>12</v>
      </c>
      <c r="E316" s="352" t="e">
        <f>'NC-CLBD'!O23/100</f>
        <v>#VALUE!</v>
      </c>
      <c r="F316" s="353"/>
      <c r="G316" s="353">
        <f t="shared" si="58"/>
        <v>0</v>
      </c>
      <c r="H316" s="353">
        <f>'DCu-CLBD'!P70</f>
        <v>118.17047475961542</v>
      </c>
      <c r="I316" s="353">
        <f>I315</f>
        <v>28.034100000000002</v>
      </c>
      <c r="J316" s="353">
        <f>'TBI-CLBD'!O37</f>
        <v>551.96</v>
      </c>
      <c r="K316" s="353" t="e">
        <f>#REF!</f>
        <v>#REF!</v>
      </c>
      <c r="L316" s="348" t="e">
        <f>SUM(E316:K316)</f>
        <v>#VALUE!</v>
      </c>
      <c r="M316" s="348" t="e">
        <f>L316*'He so chung'!$D$16/100</f>
        <v>#VALUE!</v>
      </c>
      <c r="N316" s="349" t="e">
        <f>M316+L316</f>
        <v>#VALUE!</v>
      </c>
      <c r="O316" s="354">
        <f>'He so chung'!$D$18*R316</f>
        <v>454.42307692307696</v>
      </c>
      <c r="P316" s="354">
        <f>'He so chung'!$D$19*R316</f>
        <v>363.53846153846155</v>
      </c>
      <c r="Q316" s="411">
        <f>'He so chung'!$D$20*R316</f>
        <v>90.884615384615401</v>
      </c>
      <c r="R316" s="412">
        <f>'NC-CLBD'!N23/100</f>
        <v>6.8000000000000005E-2</v>
      </c>
    </row>
    <row r="317" spans="1:18" s="4" customFormat="1" ht="20.25" hidden="1" customHeight="1">
      <c r="A317" s="315"/>
      <c r="B317" s="314"/>
      <c r="C317" s="338"/>
      <c r="D317" s="351"/>
      <c r="E317" s="352"/>
      <c r="F317" s="353"/>
      <c r="G317" s="353">
        <f t="shared" si="58"/>
        <v>0</v>
      </c>
      <c r="H317" s="353"/>
      <c r="I317" s="353"/>
      <c r="J317" s="353"/>
      <c r="K317" s="353"/>
      <c r="L317" s="348"/>
      <c r="M317" s="348"/>
      <c r="N317" s="349"/>
      <c r="O317" s="354"/>
      <c r="P317" s="354"/>
      <c r="Q317" s="411"/>
      <c r="R317" s="412"/>
    </row>
    <row r="318" spans="1:18" s="4" customFormat="1" ht="20.25" hidden="1" customHeight="1">
      <c r="A318" s="315" t="s">
        <v>11</v>
      </c>
      <c r="B318" s="314" t="s">
        <v>77</v>
      </c>
      <c r="C318" s="318" t="s">
        <v>278</v>
      </c>
      <c r="D318" s="351" t="s">
        <v>9</v>
      </c>
      <c r="E318" s="352" t="e">
        <f>'NC-CLBD'!O28/100</f>
        <v>#VALUE!</v>
      </c>
      <c r="F318" s="353">
        <f>'NC-CLBD'!O30/100</f>
        <v>10951.6</v>
      </c>
      <c r="G318" s="353">
        <f t="shared" si="58"/>
        <v>0</v>
      </c>
      <c r="H318" s="353">
        <f>'DCu-CLBD'!P112</f>
        <v>870.28378365384583</v>
      </c>
      <c r="I318" s="353">
        <f>'VL-CLBD'!N39</f>
        <v>560.68200000000002</v>
      </c>
      <c r="J318" s="353">
        <f>'TBI-CLBD'!I87</f>
        <v>3994</v>
      </c>
      <c r="K318" s="353" t="e">
        <f>#REF!</f>
        <v>#REF!</v>
      </c>
      <c r="L318" s="348" t="e">
        <f>SUM(E318:K318)</f>
        <v>#VALUE!</v>
      </c>
      <c r="M318" s="348" t="e">
        <f>L318*'He so chung'!$D$16/100</f>
        <v>#VALUE!</v>
      </c>
      <c r="N318" s="349" t="e">
        <f>M318+L318</f>
        <v>#VALUE!</v>
      </c>
      <c r="O318" s="354">
        <f>'He so chung'!$D$18*R318</f>
        <v>3992.9086538461538</v>
      </c>
      <c r="P318" s="354">
        <f>'He so chung'!$D$19*R318</f>
        <v>3194.3269230769229</v>
      </c>
      <c r="Q318" s="411">
        <f>'He so chung'!$D$20*R318</f>
        <v>798.58173076923083</v>
      </c>
      <c r="R318" s="412">
        <f>'NC-CLBD'!N28/100</f>
        <v>0.59750000000000003</v>
      </c>
    </row>
    <row r="319" spans="1:18" s="4" customFormat="1" ht="20.25" hidden="1" customHeight="1">
      <c r="A319" s="315"/>
      <c r="B319" s="314"/>
      <c r="C319" s="318"/>
      <c r="D319" s="351" t="s">
        <v>10</v>
      </c>
      <c r="E319" s="352" t="e">
        <f>'NC-CLBD'!O32/100</f>
        <v>#VALUE!</v>
      </c>
      <c r="F319" s="353">
        <f>'NC-CLBD'!O34/100</f>
        <v>13139.3</v>
      </c>
      <c r="G319" s="353">
        <f t="shared" si="58"/>
        <v>0</v>
      </c>
      <c r="H319" s="353">
        <f>'DCu-CLBD'!P113</f>
        <v>1087.8547295673072</v>
      </c>
      <c r="I319" s="353">
        <f>I318</f>
        <v>560.68200000000002</v>
      </c>
      <c r="J319" s="353">
        <f>'TBI-CLBD'!K87</f>
        <v>4606.6400000000003</v>
      </c>
      <c r="K319" s="353" t="e">
        <f>#REF!</f>
        <v>#REF!</v>
      </c>
      <c r="L319" s="348" t="e">
        <f>SUM(E319:K319)</f>
        <v>#VALUE!</v>
      </c>
      <c r="M319" s="348" t="e">
        <f>L319*'He so chung'!$D$16/100</f>
        <v>#VALUE!</v>
      </c>
      <c r="N319" s="349" t="e">
        <f>M319+L319</f>
        <v>#VALUE!</v>
      </c>
      <c r="O319" s="354">
        <f>'He so chung'!$D$18*R319</f>
        <v>4791.4903846153848</v>
      </c>
      <c r="P319" s="354">
        <f>'He so chung'!$D$19*R319</f>
        <v>3833.1923076923076</v>
      </c>
      <c r="Q319" s="411">
        <f>'He so chung'!$D$20*R319</f>
        <v>958.29807692307713</v>
      </c>
      <c r="R319" s="412">
        <f>'NC-CLBD'!N32/100</f>
        <v>0.71700000000000008</v>
      </c>
    </row>
    <row r="320" spans="1:18" s="4" customFormat="1" ht="20.25" hidden="1" customHeight="1">
      <c r="A320" s="315"/>
      <c r="B320" s="314"/>
      <c r="C320" s="318"/>
      <c r="D320" s="351" t="s">
        <v>11</v>
      </c>
      <c r="E320" s="352" t="e">
        <f>'NC-CLBD'!O36/100</f>
        <v>#VALUE!</v>
      </c>
      <c r="F320" s="353">
        <f>'NC-CLBD'!O38/100</f>
        <v>15759.3</v>
      </c>
      <c r="G320" s="353">
        <f t="shared" si="58"/>
        <v>0</v>
      </c>
      <c r="H320" s="353">
        <f>'DCu-CLBD'!P114</f>
        <v>1450.4729727564097</v>
      </c>
      <c r="I320" s="353">
        <f>I319</f>
        <v>560.68200000000002</v>
      </c>
      <c r="J320" s="353">
        <f>'TBI-CLBD'!M87</f>
        <v>6144.16</v>
      </c>
      <c r="K320" s="353" t="e">
        <f>#REF!</f>
        <v>#REF!</v>
      </c>
      <c r="L320" s="348" t="e">
        <f>SUM(E320:K320)</f>
        <v>#VALUE!</v>
      </c>
      <c r="M320" s="348" t="e">
        <f>L320*'He so chung'!$D$16/100</f>
        <v>#VALUE!</v>
      </c>
      <c r="N320" s="349" t="e">
        <f>M320+L320</f>
        <v>#VALUE!</v>
      </c>
      <c r="O320" s="354">
        <f>'He so chung'!$D$18*R320</f>
        <v>5750.4567307692314</v>
      </c>
      <c r="P320" s="354">
        <f>'He so chung'!$D$19*R320</f>
        <v>4600.3653846153848</v>
      </c>
      <c r="Q320" s="411">
        <f>'He so chung'!$D$20*R320</f>
        <v>1150.0913461538464</v>
      </c>
      <c r="R320" s="412">
        <f>'NC-CLBD'!N36/100</f>
        <v>0.86050000000000015</v>
      </c>
    </row>
    <row r="321" spans="1:18" s="4" customFormat="1" ht="20.25" hidden="1" customHeight="1">
      <c r="A321" s="315"/>
      <c r="B321" s="314"/>
      <c r="C321" s="318"/>
      <c r="D321" s="351" t="s">
        <v>12</v>
      </c>
      <c r="E321" s="352" t="e">
        <f>'NC-CLBD'!O40/100</f>
        <v>#VALUE!</v>
      </c>
      <c r="F321" s="353">
        <f>'NC-CLBD'!O42/100</f>
        <v>18916.400000000001</v>
      </c>
      <c r="G321" s="353">
        <f t="shared" si="58"/>
        <v>0</v>
      </c>
      <c r="H321" s="353">
        <f>'DCu-CLBD'!P115</f>
        <v>1595.5202700320508</v>
      </c>
      <c r="I321" s="353">
        <f>I320</f>
        <v>560.68200000000002</v>
      </c>
      <c r="J321" s="353">
        <f>'TBI-CLBD'!O87</f>
        <v>6763.4</v>
      </c>
      <c r="K321" s="353" t="e">
        <f>#REF!</f>
        <v>#REF!</v>
      </c>
      <c r="L321" s="348" t="e">
        <f>SUM(E321:K321)</f>
        <v>#VALUE!</v>
      </c>
      <c r="M321" s="348" t="e">
        <f>L321*'He so chung'!$D$16/100</f>
        <v>#VALUE!</v>
      </c>
      <c r="N321" s="349" t="e">
        <f>M321+L321</f>
        <v>#VALUE!</v>
      </c>
      <c r="O321" s="354">
        <f>'He so chung'!$D$18*R321</f>
        <v>6899.8798076923076</v>
      </c>
      <c r="P321" s="354">
        <f>'He so chung'!$D$19*R321</f>
        <v>5519.9038461538457</v>
      </c>
      <c r="Q321" s="411">
        <f>'He so chung'!$D$20*R321</f>
        <v>1379.9759615384617</v>
      </c>
      <c r="R321" s="412">
        <f>'NC-CLBD'!N40/100</f>
        <v>1.0325</v>
      </c>
    </row>
    <row r="322" spans="1:18" s="4" customFormat="1" ht="21" hidden="1" customHeight="1">
      <c r="A322" s="315"/>
      <c r="B322" s="314"/>
      <c r="C322" s="318"/>
      <c r="D322" s="351"/>
      <c r="E322" s="352"/>
      <c r="F322" s="353"/>
      <c r="G322" s="353">
        <f t="shared" si="58"/>
        <v>0</v>
      </c>
      <c r="H322" s="353"/>
      <c r="I322" s="353"/>
      <c r="J322" s="353"/>
      <c r="K322" s="353"/>
      <c r="L322" s="348"/>
      <c r="M322" s="348"/>
      <c r="N322" s="349"/>
      <c r="O322" s="354"/>
      <c r="P322" s="354"/>
      <c r="Q322" s="411"/>
      <c r="R322" s="412"/>
    </row>
    <row r="323" spans="1:18" s="4" customFormat="1" ht="22.5" hidden="1" customHeight="1">
      <c r="A323" s="339" t="s">
        <v>4</v>
      </c>
      <c r="B323" s="340" t="s">
        <v>382</v>
      </c>
      <c r="C323" s="341"/>
      <c r="D323" s="355"/>
      <c r="E323" s="356"/>
      <c r="F323" s="357"/>
      <c r="G323" s="353">
        <f t="shared" si="58"/>
        <v>0</v>
      </c>
      <c r="H323" s="357"/>
      <c r="I323" s="357"/>
      <c r="J323" s="357"/>
      <c r="K323" s="357"/>
      <c r="L323" s="358"/>
      <c r="M323" s="357"/>
      <c r="N323" s="359"/>
      <c r="O323" s="360"/>
      <c r="P323" s="354"/>
      <c r="Q323" s="411"/>
      <c r="R323" s="412"/>
    </row>
    <row r="324" spans="1:18" s="4" customFormat="1" ht="22.5" hidden="1" customHeight="1">
      <c r="A324" s="315" t="s">
        <v>9</v>
      </c>
      <c r="B324" s="314" t="s">
        <v>383</v>
      </c>
      <c r="C324" s="318"/>
      <c r="D324" s="351"/>
      <c r="E324" s="352"/>
      <c r="F324" s="353"/>
      <c r="G324" s="353"/>
      <c r="H324" s="353"/>
      <c r="I324" s="353"/>
      <c r="J324" s="353"/>
      <c r="K324" s="353"/>
      <c r="L324" s="348"/>
      <c r="M324" s="353"/>
      <c r="N324" s="349"/>
      <c r="O324" s="354"/>
      <c r="P324" s="354"/>
      <c r="Q324" s="411"/>
      <c r="R324" s="412"/>
    </row>
    <row r="325" spans="1:18" s="4" customFormat="1" ht="16.5" hidden="1" customHeight="1">
      <c r="A325" s="338"/>
      <c r="B325" s="338"/>
      <c r="C325" s="338"/>
      <c r="D325" s="351"/>
      <c r="E325" s="352"/>
      <c r="F325" s="353"/>
      <c r="G325" s="353"/>
      <c r="H325" s="353"/>
      <c r="I325" s="353"/>
      <c r="J325" s="353"/>
      <c r="K325" s="353"/>
      <c r="L325" s="348"/>
      <c r="M325" s="353"/>
      <c r="N325" s="349"/>
      <c r="O325" s="354"/>
      <c r="P325" s="354"/>
      <c r="Q325" s="411"/>
      <c r="R325" s="412"/>
    </row>
    <row r="326" spans="1:18" s="4" customFormat="1" ht="20.25" hidden="1" customHeight="1">
      <c r="A326" s="315" t="s">
        <v>10</v>
      </c>
      <c r="B326" s="314" t="s">
        <v>80</v>
      </c>
      <c r="C326" s="318" t="s">
        <v>278</v>
      </c>
      <c r="D326" s="351" t="s">
        <v>9</v>
      </c>
      <c r="E326" s="352" t="e">
        <f>'NC-CLBD'!#REF!/100</f>
        <v>#REF!</v>
      </c>
      <c r="F326" s="353"/>
      <c r="G326" s="353" t="e">
        <f>$Q$1*10*P326</f>
        <v>#REF!</v>
      </c>
      <c r="H326" s="353" t="e">
        <f>'DCu-CLBD'!#REF!</f>
        <v>#REF!</v>
      </c>
      <c r="I326" s="353" t="e">
        <f>'VL-CLBD'!#REF!</f>
        <v>#REF!</v>
      </c>
      <c r="J326" s="353" t="e">
        <f>'TBI-CLBD'!#REF!</f>
        <v>#REF!</v>
      </c>
      <c r="K326" s="353" t="e">
        <f>#REF!</f>
        <v>#REF!</v>
      </c>
      <c r="L326" s="348" t="e">
        <f>SUM(E326:K326)</f>
        <v>#REF!</v>
      </c>
      <c r="M326" s="353" t="e">
        <f>L326*'He so chung'!$D$17/100</f>
        <v>#REF!</v>
      </c>
      <c r="N326" s="349" t="e">
        <f>M326+L326</f>
        <v>#REF!</v>
      </c>
      <c r="O326" s="354" t="e">
        <f>'He so chung'!$D$21*R326</f>
        <v>#REF!</v>
      </c>
      <c r="P326" s="354" t="e">
        <f>'He so chung'!$D$22*R326</f>
        <v>#REF!</v>
      </c>
      <c r="Q326" s="411" t="e">
        <f>'He so chung'!$D$23*R326</f>
        <v>#REF!</v>
      </c>
      <c r="R326" s="412" t="e">
        <f>'NC-CLBD'!#REF!/100</f>
        <v>#REF!</v>
      </c>
    </row>
    <row r="327" spans="1:18" s="4" customFormat="1" ht="20.25" hidden="1" customHeight="1">
      <c r="A327" s="315"/>
      <c r="B327" s="314"/>
      <c r="C327" s="318"/>
      <c r="D327" s="351" t="s">
        <v>10</v>
      </c>
      <c r="E327" s="352" t="e">
        <f>'NC-CLBD'!#REF!/100</f>
        <v>#REF!</v>
      </c>
      <c r="F327" s="353"/>
      <c r="G327" s="353" t="e">
        <f>$Q$1*10*P327</f>
        <v>#REF!</v>
      </c>
      <c r="H327" s="353" t="e">
        <f>'DCu-CLBD'!#REF!</f>
        <v>#REF!</v>
      </c>
      <c r="I327" s="353" t="e">
        <f>I326</f>
        <v>#REF!</v>
      </c>
      <c r="J327" s="353" t="e">
        <f>'TBI-CLBD'!#REF!</f>
        <v>#REF!</v>
      </c>
      <c r="K327" s="353" t="e">
        <f>#REF!</f>
        <v>#REF!</v>
      </c>
      <c r="L327" s="348" t="e">
        <f>SUM(E327:K327)</f>
        <v>#REF!</v>
      </c>
      <c r="M327" s="353" t="e">
        <f>L327*'He so chung'!$D$17/100</f>
        <v>#REF!</v>
      </c>
      <c r="N327" s="349" t="e">
        <f>M327+L327</f>
        <v>#REF!</v>
      </c>
      <c r="O327" s="354" t="e">
        <f>'He so chung'!$D$21*R327</f>
        <v>#REF!</v>
      </c>
      <c r="P327" s="354" t="e">
        <f>'He so chung'!$D$22*R327</f>
        <v>#REF!</v>
      </c>
      <c r="Q327" s="411" t="e">
        <f>'He so chung'!$D$23*R327</f>
        <v>#REF!</v>
      </c>
      <c r="R327" s="412" t="e">
        <f>'NC-CLBD'!#REF!/100</f>
        <v>#REF!</v>
      </c>
    </row>
    <row r="328" spans="1:18" s="4" customFormat="1" ht="20.25" hidden="1" customHeight="1">
      <c r="A328" s="315"/>
      <c r="B328" s="314"/>
      <c r="C328" s="318"/>
      <c r="D328" s="351" t="s">
        <v>11</v>
      </c>
      <c r="E328" s="352" t="e">
        <f>'NC-CLBD'!#REF!/100</f>
        <v>#REF!</v>
      </c>
      <c r="F328" s="353"/>
      <c r="G328" s="353" t="e">
        <f>$Q$1*10*P328</f>
        <v>#REF!</v>
      </c>
      <c r="H328" s="353" t="e">
        <f>'DCu-CLBD'!#REF!</f>
        <v>#REF!</v>
      </c>
      <c r="I328" s="353" t="e">
        <f>I327</f>
        <v>#REF!</v>
      </c>
      <c r="J328" s="353" t="e">
        <f>'TBI-CLBD'!#REF!</f>
        <v>#REF!</v>
      </c>
      <c r="K328" s="353" t="e">
        <f>#REF!</f>
        <v>#REF!</v>
      </c>
      <c r="L328" s="348" t="e">
        <f>SUM(E328:K328)</f>
        <v>#REF!</v>
      </c>
      <c r="M328" s="353" t="e">
        <f>L328*'He so chung'!$D$17/100</f>
        <v>#REF!</v>
      </c>
      <c r="N328" s="349" t="e">
        <f>M328+L328</f>
        <v>#REF!</v>
      </c>
      <c r="O328" s="354" t="e">
        <f>'He so chung'!$D$21*R328</f>
        <v>#REF!</v>
      </c>
      <c r="P328" s="354" t="e">
        <f>'He so chung'!$D$22*R328</f>
        <v>#REF!</v>
      </c>
      <c r="Q328" s="411" t="e">
        <f>'He so chung'!$D$23*R328</f>
        <v>#REF!</v>
      </c>
      <c r="R328" s="412" t="e">
        <f>'NC-CLBD'!#REF!/100</f>
        <v>#REF!</v>
      </c>
    </row>
    <row r="329" spans="1:18" s="4" customFormat="1" ht="20.25" hidden="1" customHeight="1">
      <c r="A329" s="315"/>
      <c r="B329" s="314"/>
      <c r="C329" s="318"/>
      <c r="D329" s="351" t="s">
        <v>12</v>
      </c>
      <c r="E329" s="352" t="e">
        <f>'NC-CLBD'!#REF!/100</f>
        <v>#REF!</v>
      </c>
      <c r="F329" s="353"/>
      <c r="G329" s="353" t="e">
        <f>$Q$1*10*P329</f>
        <v>#REF!</v>
      </c>
      <c r="H329" s="353" t="e">
        <f>'DCu-CLBD'!#REF!</f>
        <v>#REF!</v>
      </c>
      <c r="I329" s="353" t="e">
        <f>I328</f>
        <v>#REF!</v>
      </c>
      <c r="J329" s="353" t="e">
        <f>'TBI-CLBD'!#REF!</f>
        <v>#REF!</v>
      </c>
      <c r="K329" s="353" t="e">
        <f>#REF!</f>
        <v>#REF!</v>
      </c>
      <c r="L329" s="348" t="e">
        <f>SUM(E329:K329)</f>
        <v>#REF!</v>
      </c>
      <c r="M329" s="353" t="e">
        <f>L329*'He so chung'!$D$17/100</f>
        <v>#REF!</v>
      </c>
      <c r="N329" s="349" t="e">
        <f>M329+L329</f>
        <v>#REF!</v>
      </c>
      <c r="O329" s="354" t="e">
        <f>'He so chung'!$D$21*R329</f>
        <v>#REF!</v>
      </c>
      <c r="P329" s="354" t="e">
        <f>'He so chung'!$D$22*R329</f>
        <v>#REF!</v>
      </c>
      <c r="Q329" s="411" t="e">
        <f>'He so chung'!$D$23*R329</f>
        <v>#REF!</v>
      </c>
      <c r="R329" s="412" t="e">
        <f>'NC-CLBD'!#REF!/100</f>
        <v>#REF!</v>
      </c>
    </row>
    <row r="330" spans="1:18" s="4" customFormat="1" ht="17.25" hidden="1" customHeight="1">
      <c r="A330" s="338"/>
      <c r="B330" s="338"/>
      <c r="C330" s="338"/>
      <c r="D330" s="361"/>
      <c r="E330" s="362"/>
      <c r="F330" s="363"/>
      <c r="G330" s="363"/>
      <c r="H330" s="363"/>
      <c r="I330" s="363"/>
      <c r="J330" s="363"/>
      <c r="K330" s="363"/>
      <c r="L330" s="364"/>
      <c r="M330" s="363"/>
      <c r="N330" s="365"/>
      <c r="O330" s="366"/>
      <c r="P330" s="354"/>
      <c r="Q330" s="411"/>
      <c r="R330" s="412"/>
    </row>
    <row r="331" spans="1:18" s="4" customFormat="1" ht="21" hidden="1" customHeight="1">
      <c r="A331" s="342"/>
      <c r="B331" s="342"/>
      <c r="C331" s="342"/>
      <c r="D331" s="367"/>
      <c r="E331" s="368"/>
      <c r="F331" s="368"/>
      <c r="G331" s="368"/>
      <c r="H331" s="368"/>
      <c r="I331" s="368"/>
      <c r="J331" s="368"/>
      <c r="K331" s="368"/>
      <c r="L331" s="369"/>
      <c r="M331" s="368"/>
      <c r="N331" s="370"/>
      <c r="O331" s="371"/>
      <c r="P331" s="354"/>
      <c r="Q331" s="411"/>
      <c r="R331" s="412"/>
    </row>
    <row r="332" spans="1:18" s="4" customFormat="1" ht="20.25" hidden="1" customHeight="1">
      <c r="A332" s="343"/>
      <c r="B332" s="343"/>
      <c r="C332" s="343"/>
      <c r="D332" s="372"/>
      <c r="E332" s="373"/>
      <c r="F332" s="373"/>
      <c r="G332" s="373"/>
      <c r="H332" s="373"/>
      <c r="I332" s="373"/>
      <c r="J332" s="373"/>
      <c r="K332" s="373"/>
      <c r="L332" s="374"/>
      <c r="M332" s="373"/>
      <c r="N332" s="375"/>
      <c r="O332" s="376"/>
      <c r="P332" s="354"/>
      <c r="Q332" s="411"/>
      <c r="R332" s="412"/>
    </row>
    <row r="333" spans="1:18" s="4" customFormat="1" ht="18" hidden="1" customHeight="1">
      <c r="A333" s="970" t="s">
        <v>376</v>
      </c>
      <c r="B333" s="972" t="s">
        <v>377</v>
      </c>
      <c r="C333" s="974" t="s">
        <v>378</v>
      </c>
      <c r="D333" s="970" t="s">
        <v>91</v>
      </c>
      <c r="E333" s="964" t="s">
        <v>368</v>
      </c>
      <c r="F333" s="965"/>
      <c r="G333" s="965"/>
      <c r="H333" s="965"/>
      <c r="I333" s="965"/>
      <c r="J333" s="965"/>
      <c r="K333" s="965"/>
      <c r="L333" s="966"/>
      <c r="M333" s="324" t="s">
        <v>63</v>
      </c>
      <c r="N333" s="974" t="s">
        <v>379</v>
      </c>
      <c r="O333" s="323" t="s">
        <v>18</v>
      </c>
      <c r="P333" s="418" t="s">
        <v>19</v>
      </c>
      <c r="Q333" s="419" t="s">
        <v>19</v>
      </c>
      <c r="R333" s="420" t="s">
        <v>16</v>
      </c>
    </row>
    <row r="334" spans="1:18" s="4" customFormat="1" ht="19.5" hidden="1" customHeight="1">
      <c r="A334" s="971"/>
      <c r="B334" s="973"/>
      <c r="C334" s="975"/>
      <c r="D334" s="971"/>
      <c r="E334" s="327" t="s">
        <v>369</v>
      </c>
      <c r="F334" s="326" t="s">
        <v>370</v>
      </c>
      <c r="G334" s="328">
        <v>0</v>
      </c>
      <c r="H334" s="326" t="s">
        <v>257</v>
      </c>
      <c r="I334" s="326" t="s">
        <v>280</v>
      </c>
      <c r="J334" s="326" t="s">
        <v>261</v>
      </c>
      <c r="K334" s="326" t="s">
        <v>371</v>
      </c>
      <c r="L334" s="326" t="s">
        <v>372</v>
      </c>
      <c r="M334" s="326" t="s">
        <v>48</v>
      </c>
      <c r="N334" s="975"/>
      <c r="O334" s="325" t="s">
        <v>20</v>
      </c>
      <c r="P334" s="325" t="s">
        <v>21</v>
      </c>
      <c r="Q334" s="421" t="s">
        <v>22</v>
      </c>
      <c r="R334" s="422" t="s">
        <v>17</v>
      </c>
    </row>
    <row r="335" spans="1:18" s="4" customFormat="1" ht="14.25" hidden="1" customHeight="1">
      <c r="A335" s="329" t="s">
        <v>52</v>
      </c>
      <c r="B335" s="330" t="s">
        <v>53</v>
      </c>
      <c r="C335" s="330" t="s">
        <v>54</v>
      </c>
      <c r="D335" s="331" t="s">
        <v>55</v>
      </c>
      <c r="E335" s="332" t="s">
        <v>56</v>
      </c>
      <c r="F335" s="332" t="s">
        <v>57</v>
      </c>
      <c r="G335" s="332"/>
      <c r="H335" s="332" t="s">
        <v>58</v>
      </c>
      <c r="I335" s="332" t="s">
        <v>59</v>
      </c>
      <c r="J335" s="332" t="s">
        <v>60</v>
      </c>
      <c r="K335" s="332" t="s">
        <v>61</v>
      </c>
      <c r="L335" s="333" t="s">
        <v>373</v>
      </c>
      <c r="M335" s="333" t="s">
        <v>374</v>
      </c>
      <c r="N335" s="334" t="s">
        <v>375</v>
      </c>
      <c r="O335" s="332" t="s">
        <v>62</v>
      </c>
      <c r="P335" s="408"/>
      <c r="Q335" s="408"/>
      <c r="R335" s="409"/>
    </row>
    <row r="336" spans="1:18" s="4" customFormat="1" ht="20.25" hidden="1" customHeight="1">
      <c r="A336" s="315" t="s">
        <v>11</v>
      </c>
      <c r="B336" s="402" t="s">
        <v>392</v>
      </c>
      <c r="C336" s="318" t="s">
        <v>278</v>
      </c>
      <c r="D336" s="351" t="s">
        <v>15</v>
      </c>
      <c r="E336" s="352" t="e">
        <f>'NC-CLBD'!#REF!/100</f>
        <v>#REF!</v>
      </c>
      <c r="F336" s="353"/>
      <c r="G336" s="353" t="e">
        <f>$Q$1*10*P336</f>
        <v>#REF!</v>
      </c>
      <c r="H336" s="353"/>
      <c r="I336" s="353"/>
      <c r="J336" s="353"/>
      <c r="K336" s="353"/>
      <c r="L336" s="348" t="e">
        <f>SUM(E336:K336)</f>
        <v>#REF!</v>
      </c>
      <c r="M336" s="353" t="e">
        <f>L336*'He so chung'!$D$17/100</f>
        <v>#REF!</v>
      </c>
      <c r="N336" s="349" t="e">
        <f>M336+L336</f>
        <v>#REF!</v>
      </c>
      <c r="O336" s="354" t="e">
        <f>'He so chung'!$D$21*R336</f>
        <v>#REF!</v>
      </c>
      <c r="P336" s="354" t="e">
        <f>'He so chung'!$D$22*R336</f>
        <v>#REF!</v>
      </c>
      <c r="Q336" s="411" t="e">
        <f>'He so chung'!$D$23*R336</f>
        <v>#REF!</v>
      </c>
      <c r="R336" s="457" t="e">
        <f>'NC-CLBD'!#REF!/100</f>
        <v>#REF!</v>
      </c>
    </row>
    <row r="337" spans="1:18" s="4" customFormat="1" ht="17.25" hidden="1" customHeight="1">
      <c r="A337" s="315"/>
      <c r="B337" s="402" t="s">
        <v>393</v>
      </c>
      <c r="C337" s="318"/>
      <c r="D337" s="351"/>
      <c r="E337" s="352"/>
      <c r="F337" s="353"/>
      <c r="G337" s="353"/>
      <c r="H337" s="353"/>
      <c r="I337" s="353"/>
      <c r="J337" s="353"/>
      <c r="K337" s="353"/>
      <c r="L337" s="348"/>
      <c r="M337" s="353"/>
      <c r="N337" s="349"/>
      <c r="O337" s="354"/>
      <c r="P337" s="354"/>
      <c r="Q337" s="411"/>
      <c r="R337" s="412"/>
    </row>
    <row r="338" spans="1:18" s="4" customFormat="1" ht="18" hidden="1" customHeight="1">
      <c r="A338" s="315"/>
      <c r="B338" s="314"/>
      <c r="C338" s="318"/>
      <c r="D338" s="351"/>
      <c r="E338" s="352"/>
      <c r="F338" s="353"/>
      <c r="G338" s="353">
        <f t="shared" ref="G338:G353" si="59">$Q$1*10*P338</f>
        <v>0</v>
      </c>
      <c r="H338" s="353"/>
      <c r="I338" s="353"/>
      <c r="J338" s="353"/>
      <c r="K338" s="353"/>
      <c r="L338" s="348"/>
      <c r="M338" s="353"/>
      <c r="N338" s="349"/>
      <c r="O338" s="354"/>
      <c r="P338" s="354"/>
      <c r="Q338" s="411"/>
      <c r="R338" s="412"/>
    </row>
    <row r="339" spans="1:18" s="4" customFormat="1" ht="20.25" hidden="1" customHeight="1">
      <c r="A339" s="315" t="s">
        <v>12</v>
      </c>
      <c r="B339" s="314" t="s">
        <v>81</v>
      </c>
      <c r="C339" s="318" t="s">
        <v>278</v>
      </c>
      <c r="D339" s="351" t="s">
        <v>9</v>
      </c>
      <c r="E339" s="352" t="e">
        <f>'NC-CLBD'!O54/100</f>
        <v>#VALUE!</v>
      </c>
      <c r="F339" s="353"/>
      <c r="G339" s="353">
        <f t="shared" si="59"/>
        <v>0</v>
      </c>
      <c r="H339" s="353">
        <f>'DCu-CLBD'!P156</f>
        <v>152.08208669230774</v>
      </c>
      <c r="I339" s="353">
        <f>'VL-CLBD'!N71</f>
        <v>5618.5919999999996</v>
      </c>
      <c r="J339" s="353">
        <f>'TBI-CLBD'!I134</f>
        <v>178.73480000000001</v>
      </c>
      <c r="K339" s="353" t="e">
        <f>#REF!</f>
        <v>#REF!</v>
      </c>
      <c r="L339" s="348" t="e">
        <f>SUM(E339:K339)</f>
        <v>#VALUE!</v>
      </c>
      <c r="M339" s="353" t="e">
        <f>L339*'He so chung'!$D$17/100</f>
        <v>#VALUE!</v>
      </c>
      <c r="N339" s="349" t="e">
        <f>M339+L339</f>
        <v>#VALUE!</v>
      </c>
      <c r="O339" s="354">
        <f>'He so chung'!$D$21*R339</f>
        <v>172.14615384615382</v>
      </c>
      <c r="P339" s="354">
        <f>'He so chung'!$D$22*R339</f>
        <v>149.69230769230768</v>
      </c>
      <c r="Q339" s="411">
        <f>'He so chung'!$D$23*R339</f>
        <v>22.45384615384615</v>
      </c>
      <c r="R339" s="412">
        <f>'NC-CLBD'!N54/100</f>
        <v>2.7999999999999997E-2</v>
      </c>
    </row>
    <row r="340" spans="1:18" s="4" customFormat="1" ht="20.25" hidden="1" customHeight="1">
      <c r="A340" s="315"/>
      <c r="B340" s="314"/>
      <c r="C340" s="318"/>
      <c r="D340" s="351" t="s">
        <v>10</v>
      </c>
      <c r="E340" s="352" t="e">
        <f>'NC-CLBD'!O56/100</f>
        <v>#VALUE!</v>
      </c>
      <c r="F340" s="353"/>
      <c r="G340" s="353">
        <f t="shared" si="59"/>
        <v>0</v>
      </c>
      <c r="H340" s="353">
        <f>'DCu-CLBD'!P157</f>
        <v>190.10260836538467</v>
      </c>
      <c r="I340" s="353">
        <f>I339</f>
        <v>5618.5919999999996</v>
      </c>
      <c r="J340" s="353">
        <f>'TBI-CLBD'!K134</f>
        <v>187.7064</v>
      </c>
      <c r="K340" s="353" t="e">
        <f>#REF!</f>
        <v>#REF!</v>
      </c>
      <c r="L340" s="348" t="e">
        <f>SUM(E340:K340)</f>
        <v>#VALUE!</v>
      </c>
      <c r="M340" s="353" t="e">
        <f>L340*'He so chung'!$D$17/100</f>
        <v>#VALUE!</v>
      </c>
      <c r="N340" s="349" t="e">
        <f>M340+L340</f>
        <v>#VALUE!</v>
      </c>
      <c r="O340" s="354">
        <f>'He so chung'!$D$21*R340</f>
        <v>199.19769230769234</v>
      </c>
      <c r="P340" s="354">
        <f>'He so chung'!$D$22*R340</f>
        <v>173.21538461538464</v>
      </c>
      <c r="Q340" s="411">
        <f>'He so chung'!$D$23*R340</f>
        <v>25.982307692307696</v>
      </c>
      <c r="R340" s="412">
        <f>'NC-CLBD'!N56/100</f>
        <v>3.2400000000000005E-2</v>
      </c>
    </row>
    <row r="341" spans="1:18" s="4" customFormat="1" ht="20.25" hidden="1" customHeight="1">
      <c r="A341" s="315"/>
      <c r="B341" s="314"/>
      <c r="C341" s="318"/>
      <c r="D341" s="351" t="s">
        <v>11</v>
      </c>
      <c r="E341" s="352" t="e">
        <f>'NC-CLBD'!O58/100</f>
        <v>#VALUE!</v>
      </c>
      <c r="F341" s="353"/>
      <c r="G341" s="353">
        <f t="shared" si="59"/>
        <v>0</v>
      </c>
      <c r="H341" s="353">
        <f>'DCu-CLBD'!P158</f>
        <v>253.47014448717957</v>
      </c>
      <c r="I341" s="353">
        <f>I340</f>
        <v>5618.5919999999996</v>
      </c>
      <c r="J341" s="353">
        <f>'TBI-CLBD'!M134</f>
        <v>210.12799999999999</v>
      </c>
      <c r="K341" s="353" t="e">
        <f>#REF!</f>
        <v>#REF!</v>
      </c>
      <c r="L341" s="348" t="e">
        <f>SUM(E341:K341)</f>
        <v>#VALUE!</v>
      </c>
      <c r="M341" s="353" t="e">
        <f>L341*'He so chung'!$D$17/100</f>
        <v>#VALUE!</v>
      </c>
      <c r="N341" s="349" t="e">
        <f>M341+L341</f>
        <v>#VALUE!</v>
      </c>
      <c r="O341" s="354">
        <f>'He so chung'!$D$21*R341</f>
        <v>265.59692307692308</v>
      </c>
      <c r="P341" s="354">
        <f>'He so chung'!$D$22*R341</f>
        <v>230.95384615384614</v>
      </c>
      <c r="Q341" s="411">
        <f>'He so chung'!$D$23*R341</f>
        <v>34.643076923076926</v>
      </c>
      <c r="R341" s="412">
        <f>'NC-CLBD'!N58/100</f>
        <v>4.3200000000000002E-2</v>
      </c>
    </row>
    <row r="342" spans="1:18" s="4" customFormat="1" ht="20.25" hidden="1" customHeight="1">
      <c r="A342" s="315"/>
      <c r="B342" s="314"/>
      <c r="C342" s="318"/>
      <c r="D342" s="351" t="s">
        <v>12</v>
      </c>
      <c r="E342" s="352" t="e">
        <f>'NC-CLBD'!O60/100</f>
        <v>#VALUE!</v>
      </c>
      <c r="F342" s="353"/>
      <c r="G342" s="353">
        <f t="shared" si="59"/>
        <v>0</v>
      </c>
      <c r="H342" s="353">
        <f>'DCu-CLBD'!P159</f>
        <v>278.81715893589757</v>
      </c>
      <c r="I342" s="353">
        <f>I341</f>
        <v>5618.5919999999996</v>
      </c>
      <c r="J342" s="353">
        <f>'TBI-CLBD'!O134</f>
        <v>218.798</v>
      </c>
      <c r="K342" s="353" t="e">
        <f>#REF!</f>
        <v>#REF!</v>
      </c>
      <c r="L342" s="348" t="e">
        <f>SUM(E342:K342)</f>
        <v>#VALUE!</v>
      </c>
      <c r="M342" s="353" t="e">
        <f>L342*'He so chung'!$D$17/100</f>
        <v>#VALUE!</v>
      </c>
      <c r="N342" s="349" t="e">
        <f>M342+L342</f>
        <v>#VALUE!</v>
      </c>
      <c r="O342" s="354">
        <f>'He so chung'!$D$21*R342</f>
        <v>292.6484615384615</v>
      </c>
      <c r="P342" s="354">
        <f>'He so chung'!$D$22*R342</f>
        <v>254.47692307692304</v>
      </c>
      <c r="Q342" s="411">
        <f>'He so chung'!$D$23*R342</f>
        <v>38.171538461538461</v>
      </c>
      <c r="R342" s="412">
        <f>'NC-CLBD'!N60/100</f>
        <v>4.7599999999999996E-2</v>
      </c>
    </row>
    <row r="343" spans="1:18" s="4" customFormat="1" ht="16.5" hidden="1" customHeight="1">
      <c r="A343" s="315"/>
      <c r="B343" s="314"/>
      <c r="C343" s="318"/>
      <c r="D343" s="351"/>
      <c r="E343" s="352"/>
      <c r="F343" s="353"/>
      <c r="G343" s="353">
        <f t="shared" si="59"/>
        <v>0</v>
      </c>
      <c r="H343" s="353"/>
      <c r="I343" s="353"/>
      <c r="J343" s="353"/>
      <c r="K343" s="353"/>
      <c r="L343" s="348"/>
      <c r="M343" s="353"/>
      <c r="N343" s="349"/>
      <c r="O343" s="354"/>
      <c r="P343" s="354"/>
      <c r="Q343" s="411"/>
      <c r="R343" s="412"/>
    </row>
    <row r="344" spans="1:18" s="4" customFormat="1" ht="20.25" hidden="1" customHeight="1">
      <c r="A344" s="315" t="s">
        <v>13</v>
      </c>
      <c r="B344" s="314" t="s">
        <v>384</v>
      </c>
      <c r="C344" s="318" t="s">
        <v>278</v>
      </c>
      <c r="D344" s="351" t="s">
        <v>15</v>
      </c>
      <c r="E344" s="352" t="e">
        <f>'NC-CLBD'!O64/100</f>
        <v>#VALUE!</v>
      </c>
      <c r="F344" s="353"/>
      <c r="G344" s="353">
        <f t="shared" si="59"/>
        <v>0</v>
      </c>
      <c r="H344" s="353"/>
      <c r="I344" s="353"/>
      <c r="J344" s="353"/>
      <c r="K344" s="353"/>
      <c r="L344" s="348" t="e">
        <f>SUM(E344:K344)</f>
        <v>#VALUE!</v>
      </c>
      <c r="M344" s="353" t="e">
        <f>L344*'He so chung'!$D$17/100</f>
        <v>#VALUE!</v>
      </c>
      <c r="N344" s="349" t="e">
        <f>M344+L344</f>
        <v>#VALUE!</v>
      </c>
      <c r="O344" s="354">
        <f>'He so chung'!$D$21*R344</f>
        <v>184.44230769230768</v>
      </c>
      <c r="P344" s="354">
        <f>'He so chung'!$D$22*R344</f>
        <v>160.38461538461536</v>
      </c>
      <c r="Q344" s="411">
        <f>'He so chung'!$D$23*R344</f>
        <v>24.057692307692307</v>
      </c>
      <c r="R344" s="412">
        <f>'NC-CLBD'!N64/100</f>
        <v>0.03</v>
      </c>
    </row>
    <row r="345" spans="1:18" s="4" customFormat="1" ht="20.25" hidden="1" customHeight="1">
      <c r="A345" s="315"/>
      <c r="B345" s="314" t="s">
        <v>385</v>
      </c>
      <c r="C345" s="318"/>
      <c r="D345" s="351"/>
      <c r="E345" s="352"/>
      <c r="F345" s="353"/>
      <c r="G345" s="353">
        <f t="shared" si="59"/>
        <v>0</v>
      </c>
      <c r="H345" s="353"/>
      <c r="I345" s="353"/>
      <c r="J345" s="353"/>
      <c r="K345" s="353"/>
      <c r="L345" s="348"/>
      <c r="M345" s="353"/>
      <c r="N345" s="349"/>
      <c r="O345" s="354"/>
      <c r="P345" s="354"/>
      <c r="Q345" s="411"/>
      <c r="R345" s="412"/>
    </row>
    <row r="346" spans="1:18" s="4" customFormat="1" ht="16.5" hidden="1" customHeight="1">
      <c r="A346" s="315"/>
      <c r="B346" s="314"/>
      <c r="C346" s="318"/>
      <c r="D346" s="351"/>
      <c r="E346" s="352"/>
      <c r="F346" s="353"/>
      <c r="G346" s="353">
        <f t="shared" si="59"/>
        <v>0</v>
      </c>
      <c r="H346" s="353"/>
      <c r="I346" s="353"/>
      <c r="J346" s="353"/>
      <c r="K346" s="353"/>
      <c r="L346" s="348"/>
      <c r="M346" s="353"/>
      <c r="N346" s="349"/>
      <c r="O346" s="354"/>
      <c r="P346" s="354"/>
      <c r="Q346" s="411"/>
      <c r="R346" s="412"/>
    </row>
    <row r="347" spans="1:18" s="4" customFormat="1" ht="20.25" hidden="1" customHeight="1">
      <c r="A347" s="315" t="s">
        <v>14</v>
      </c>
      <c r="B347" s="314" t="s">
        <v>363</v>
      </c>
      <c r="C347" s="318" t="s">
        <v>278</v>
      </c>
      <c r="D347" s="351" t="s">
        <v>15</v>
      </c>
      <c r="E347" s="352" t="e">
        <f>'NC-CLBD'!O67/100</f>
        <v>#VALUE!</v>
      </c>
      <c r="F347" s="353"/>
      <c r="G347" s="353">
        <f t="shared" si="59"/>
        <v>0</v>
      </c>
      <c r="H347" s="353">
        <f>'DCu-CLBD'!P186</f>
        <v>184.59746666666666</v>
      </c>
      <c r="I347" s="353">
        <f>'VL-CLBD'!N92</f>
        <v>1232.28</v>
      </c>
      <c r="J347" s="353">
        <f>'TBI-CLBD'!I155</f>
        <v>105.78</v>
      </c>
      <c r="K347" s="353" t="e">
        <f>#REF!</f>
        <v>#REF!</v>
      </c>
      <c r="L347" s="348" t="e">
        <f>SUM(E347:K347)</f>
        <v>#VALUE!</v>
      </c>
      <c r="M347" s="353" t="e">
        <f>L347*'He so chung'!$D$17/100</f>
        <v>#VALUE!</v>
      </c>
      <c r="N347" s="349" t="e">
        <f>M347+L347</f>
        <v>#VALUE!</v>
      </c>
      <c r="O347" s="354">
        <f>'He so chung'!$D$21*R347</f>
        <v>159.85000000000002</v>
      </c>
      <c r="P347" s="354">
        <f>'He so chung'!$D$22*R347</f>
        <v>139</v>
      </c>
      <c r="Q347" s="411">
        <f>'He so chung'!$D$23*R347</f>
        <v>20.85</v>
      </c>
      <c r="R347" s="412">
        <f>'NC-CLBD'!N67/100</f>
        <v>2.6000000000000002E-2</v>
      </c>
    </row>
    <row r="348" spans="1:18" s="4" customFormat="1" ht="17.25" hidden="1" customHeight="1">
      <c r="A348" s="316"/>
      <c r="B348" s="317"/>
      <c r="C348" s="405"/>
      <c r="D348" s="361"/>
      <c r="E348" s="362"/>
      <c r="F348" s="363"/>
      <c r="G348" s="353">
        <f t="shared" si="59"/>
        <v>0</v>
      </c>
      <c r="H348" s="363"/>
      <c r="I348" s="363"/>
      <c r="J348" s="363"/>
      <c r="K348" s="363"/>
      <c r="L348" s="348"/>
      <c r="M348" s="353"/>
      <c r="N348" s="349"/>
      <c r="O348" s="354"/>
      <c r="P348" s="354"/>
      <c r="Q348" s="411"/>
      <c r="R348" s="425"/>
    </row>
    <row r="349" spans="1:18" s="4" customFormat="1" ht="20.25" hidden="1" customHeight="1">
      <c r="A349" s="315" t="s">
        <v>85</v>
      </c>
      <c r="B349" s="314" t="s">
        <v>364</v>
      </c>
      <c r="C349" s="318" t="s">
        <v>1</v>
      </c>
      <c r="D349" s="351" t="s">
        <v>15</v>
      </c>
      <c r="E349" s="362" t="e">
        <f>'NC-CLBD'!O69/900</f>
        <v>#VALUE!</v>
      </c>
      <c r="F349" s="363"/>
      <c r="G349" s="353">
        <f t="shared" si="59"/>
        <v>0</v>
      </c>
      <c r="H349" s="363">
        <f>'DCu-CLBD'!P209*70%</f>
        <v>16.398279622507122</v>
      </c>
      <c r="I349" s="363">
        <f>'VL-CLBD'!N112*70%</f>
        <v>64.554000000000002</v>
      </c>
      <c r="J349" s="363">
        <f>'TBI-CLBD'!I192*70%</f>
        <v>3.5124444444444443</v>
      </c>
      <c r="K349" s="363" t="e">
        <f>#REF!*70%</f>
        <v>#REF!</v>
      </c>
      <c r="L349" s="348" t="e">
        <f>SUM(E349:K349)</f>
        <v>#VALUE!</v>
      </c>
      <c r="M349" s="353" t="e">
        <f>L349*'He so chung'!$D$17/100</f>
        <v>#VALUE!</v>
      </c>
      <c r="N349" s="349" t="e">
        <f>M349+L349</f>
        <v>#VALUE!</v>
      </c>
      <c r="O349" s="354">
        <f>'He so chung'!$D$21*R349</f>
        <v>5.8065170940170932</v>
      </c>
      <c r="P349" s="354">
        <f>'He so chung'!$D$22*R349</f>
        <v>5.0491452991452981</v>
      </c>
      <c r="Q349" s="479">
        <f>'He so chung'!$D$23*R349</f>
        <v>0.75737179487179485</v>
      </c>
      <c r="R349" s="425">
        <f>'NC-CLBD'!N69/900</f>
        <v>9.4444444444444437E-4</v>
      </c>
    </row>
    <row r="350" spans="1:18" s="4" customFormat="1" ht="17.25" hidden="1" customHeight="1">
      <c r="A350" s="316"/>
      <c r="B350" s="317"/>
      <c r="C350" s="405"/>
      <c r="D350" s="361"/>
      <c r="E350" s="362"/>
      <c r="F350" s="363"/>
      <c r="G350" s="353">
        <f t="shared" si="59"/>
        <v>0</v>
      </c>
      <c r="H350" s="363"/>
      <c r="I350" s="363"/>
      <c r="J350" s="363"/>
      <c r="K350" s="363"/>
      <c r="L350" s="348"/>
      <c r="M350" s="353"/>
      <c r="N350" s="349"/>
      <c r="O350" s="354"/>
      <c r="P350" s="354"/>
      <c r="Q350" s="479"/>
      <c r="R350" s="425"/>
    </row>
    <row r="351" spans="1:18" s="4" customFormat="1" ht="20.25" hidden="1" customHeight="1">
      <c r="A351" s="315" t="s">
        <v>87</v>
      </c>
      <c r="B351" s="314" t="s">
        <v>365</v>
      </c>
      <c r="C351" s="318" t="s">
        <v>1</v>
      </c>
      <c r="D351" s="351" t="s">
        <v>15</v>
      </c>
      <c r="E351" s="362" t="e">
        <f>'NC-CLBD'!O71/900</f>
        <v>#VALUE!</v>
      </c>
      <c r="F351" s="363"/>
      <c r="G351" s="353">
        <f t="shared" si="59"/>
        <v>0</v>
      </c>
      <c r="H351" s="363">
        <f>'DCu-CLBD'!P209*20%</f>
        <v>4.6852227492877487</v>
      </c>
      <c r="I351" s="363">
        <f>'VL-CLBD'!N112*15%</f>
        <v>13.833</v>
      </c>
      <c r="J351" s="363">
        <f>'TBI-CLBD'!I192*20%</f>
        <v>1.0035555555555555</v>
      </c>
      <c r="K351" s="363" t="e">
        <f>#REF!*15%</f>
        <v>#REF!</v>
      </c>
      <c r="L351" s="348" t="e">
        <f>SUM(E351:K351)</f>
        <v>#VALUE!</v>
      </c>
      <c r="M351" s="353" t="e">
        <f>L351*'He so chung'!$D$17/100</f>
        <v>#VALUE!</v>
      </c>
      <c r="N351" s="349" t="e">
        <f>M351+L351</f>
        <v>#VALUE!</v>
      </c>
      <c r="O351" s="354">
        <f>'He so chung'!$D$21*R351</f>
        <v>11.613034188034186</v>
      </c>
      <c r="P351" s="354">
        <f>'He so chung'!$D$22*R351</f>
        <v>10.098290598290596</v>
      </c>
      <c r="Q351" s="411">
        <f>'He so chung'!$D$23*R351</f>
        <v>1.5147435897435897</v>
      </c>
      <c r="R351" s="425">
        <f>'NC-CLBD'!N71/900</f>
        <v>1.8888888888888887E-3</v>
      </c>
    </row>
    <row r="352" spans="1:18" s="4" customFormat="1" ht="20.25" hidden="1" customHeight="1">
      <c r="A352" s="316"/>
      <c r="B352" s="317"/>
      <c r="C352" s="405"/>
      <c r="D352" s="361"/>
      <c r="E352" s="362"/>
      <c r="F352" s="363"/>
      <c r="G352" s="353">
        <f t="shared" si="59"/>
        <v>0</v>
      </c>
      <c r="H352" s="363"/>
      <c r="I352" s="363"/>
      <c r="J352" s="363"/>
      <c r="K352" s="363"/>
      <c r="L352" s="348"/>
      <c r="M352" s="353"/>
      <c r="N352" s="349"/>
      <c r="O352" s="354"/>
      <c r="P352" s="354"/>
      <c r="Q352" s="411"/>
      <c r="R352" s="425"/>
    </row>
    <row r="353" spans="1:18" s="4" customFormat="1" ht="20.25" hidden="1" customHeight="1">
      <c r="A353" s="316" t="s">
        <v>88</v>
      </c>
      <c r="B353" s="317" t="s">
        <v>366</v>
      </c>
      <c r="C353" s="405" t="s">
        <v>1</v>
      </c>
      <c r="D353" s="361" t="s">
        <v>15</v>
      </c>
      <c r="E353" s="362" t="e">
        <f>'NC-CLBD'!O73/900</f>
        <v>#VALUE!</v>
      </c>
      <c r="F353" s="363"/>
      <c r="G353" s="353">
        <f t="shared" si="59"/>
        <v>0</v>
      </c>
      <c r="H353" s="363">
        <f>'DCu-CLBD'!P209*10%</f>
        <v>2.3426113746438744</v>
      </c>
      <c r="I353" s="363">
        <f>'VL-CLBD'!N112*15%</f>
        <v>13.833</v>
      </c>
      <c r="J353" s="363">
        <f>'TBI-CLBD'!I192*10%</f>
        <v>0.50177777777777777</v>
      </c>
      <c r="K353" s="363" t="e">
        <f>#REF!*15%</f>
        <v>#REF!</v>
      </c>
      <c r="L353" s="348" t="e">
        <f>SUM(E353:K353)</f>
        <v>#VALUE!</v>
      </c>
      <c r="M353" s="353" t="e">
        <f>L353*'He so chung'!$D$17/100</f>
        <v>#VALUE!</v>
      </c>
      <c r="N353" s="349" t="e">
        <f>M353+L353</f>
        <v>#VALUE!</v>
      </c>
      <c r="O353" s="354">
        <f>'He so chung'!$D$21*R353</f>
        <v>23.226068376068373</v>
      </c>
      <c r="P353" s="354">
        <f>'He so chung'!$D$22*R353</f>
        <v>20.196581196581192</v>
      </c>
      <c r="Q353" s="411">
        <f>'He so chung'!$D$23*R353</f>
        <v>3.0294871794871794</v>
      </c>
      <c r="R353" s="425">
        <f>'NC-CLBD'!N73/900</f>
        <v>3.7777777777777775E-3</v>
      </c>
    </row>
    <row r="354" spans="1:18" s="4" customFormat="1" ht="12.75" hidden="1" customHeight="1">
      <c r="A354" s="403"/>
      <c r="B354" s="401"/>
      <c r="C354" s="404"/>
      <c r="D354" s="377"/>
      <c r="E354" s="378"/>
      <c r="F354" s="379"/>
      <c r="G354" s="379"/>
      <c r="H354" s="379"/>
      <c r="I354" s="379"/>
      <c r="J354" s="379"/>
      <c r="K354" s="379"/>
      <c r="L354" s="380"/>
      <c r="M354" s="379"/>
      <c r="N354" s="381"/>
      <c r="O354" s="382"/>
      <c r="P354" s="382"/>
      <c r="Q354" s="423"/>
      <c r="R354" s="424"/>
    </row>
    <row r="355" spans="1:18" s="4" customFormat="1" ht="5.25" hidden="1" customHeight="1">
      <c r="A355" s="383"/>
      <c r="B355" s="338"/>
      <c r="C355" s="338"/>
      <c r="D355" s="383"/>
      <c r="E355" s="187"/>
      <c r="F355" s="187"/>
      <c r="G355" s="84"/>
      <c r="H355" s="187"/>
      <c r="I355" s="187"/>
      <c r="J355" s="187"/>
      <c r="K355" s="187"/>
      <c r="L355" s="187"/>
      <c r="M355" s="187"/>
      <c r="N355" s="187"/>
      <c r="O355" s="322"/>
      <c r="P355" s="322"/>
      <c r="Q355" s="426"/>
      <c r="R355" s="427"/>
    </row>
    <row r="356" spans="1:18" s="4" customFormat="1" ht="18.95" customHeight="1">
      <c r="A356" s="385"/>
      <c r="B356" s="501" t="s">
        <v>423</v>
      </c>
      <c r="C356" s="385"/>
      <c r="D356" s="384"/>
      <c r="E356" s="385"/>
      <c r="F356" s="385"/>
      <c r="G356" s="385"/>
      <c r="H356" s="385"/>
      <c r="I356" s="385"/>
      <c r="J356" s="385"/>
      <c r="K356" s="385"/>
      <c r="L356" s="385"/>
      <c r="M356" s="385"/>
      <c r="N356" s="385"/>
      <c r="O356" s="386"/>
      <c r="P356" s="428"/>
      <c r="Q356" s="429"/>
      <c r="R356" s="430"/>
    </row>
    <row r="357" spans="1:18" s="4" customFormat="1" ht="18.95" customHeight="1">
      <c r="A357" s="955" t="s">
        <v>3</v>
      </c>
      <c r="B357" s="958" t="s">
        <v>390</v>
      </c>
      <c r="C357" s="961" t="s">
        <v>1</v>
      </c>
      <c r="D357" s="387">
        <v>1</v>
      </c>
      <c r="E357" s="388" t="e">
        <f t="shared" ref="E357:R360" si="60">E308+E$349+E$351+E$353</f>
        <v>#VALUE!</v>
      </c>
      <c r="F357" s="388">
        <f t="shared" si="60"/>
        <v>0</v>
      </c>
      <c r="G357" s="388">
        <f t="shared" si="60"/>
        <v>0</v>
      </c>
      <c r="H357" s="388">
        <f t="shared" si="60"/>
        <v>152.75395562678065</v>
      </c>
      <c r="I357" s="388">
        <f t="shared" si="60"/>
        <v>175.62</v>
      </c>
      <c r="J357" s="388">
        <f t="shared" si="60"/>
        <v>5.0177777777777779</v>
      </c>
      <c r="K357" s="388" t="e">
        <f t="shared" si="60"/>
        <v>#REF!</v>
      </c>
      <c r="L357" s="388" t="e">
        <f t="shared" si="60"/>
        <v>#VALUE!</v>
      </c>
      <c r="M357" s="388" t="e">
        <f t="shared" si="60"/>
        <v>#VALUE!</v>
      </c>
      <c r="N357" s="388" t="e">
        <f t="shared" si="60"/>
        <v>#VALUE!</v>
      </c>
      <c r="O357" s="388">
        <f t="shared" si="60"/>
        <v>387.10608974358973</v>
      </c>
      <c r="P357" s="388">
        <f t="shared" si="60"/>
        <v>312.51239316239315</v>
      </c>
      <c r="Q357" s="388">
        <f t="shared" si="60"/>
        <v>74.593696581196582</v>
      </c>
      <c r="R357" s="388">
        <f t="shared" si="60"/>
        <v>5.8455555555555552E-2</v>
      </c>
    </row>
    <row r="358" spans="1:18" s="4" customFormat="1" ht="18.95" customHeight="1">
      <c r="A358" s="956"/>
      <c r="B358" s="959"/>
      <c r="C358" s="962"/>
      <c r="D358" s="389">
        <v>2</v>
      </c>
      <c r="E358" s="388" t="e">
        <f t="shared" si="60"/>
        <v>#VALUE!</v>
      </c>
      <c r="F358" s="388">
        <f t="shared" si="60"/>
        <v>0</v>
      </c>
      <c r="G358" s="388">
        <f t="shared" si="60"/>
        <v>0</v>
      </c>
      <c r="H358" s="388">
        <f t="shared" si="60"/>
        <v>185.08591609686616</v>
      </c>
      <c r="I358" s="388">
        <f t="shared" si="60"/>
        <v>175.62</v>
      </c>
      <c r="J358" s="388">
        <f t="shared" si="60"/>
        <v>5.0177777777777779</v>
      </c>
      <c r="K358" s="388" t="e">
        <f t="shared" si="60"/>
        <v>#REF!</v>
      </c>
      <c r="L358" s="388" t="e">
        <f t="shared" si="60"/>
        <v>#VALUE!</v>
      </c>
      <c r="M358" s="388" t="e">
        <f t="shared" si="60"/>
        <v>#VALUE!</v>
      </c>
      <c r="N358" s="388" t="e">
        <f t="shared" si="60"/>
        <v>#VALUE!</v>
      </c>
      <c r="O358" s="388">
        <f t="shared" si="60"/>
        <v>456.45758547008546</v>
      </c>
      <c r="P358" s="388">
        <f t="shared" si="60"/>
        <v>367.99358974358972</v>
      </c>
      <c r="Q358" s="388">
        <f t="shared" si="60"/>
        <v>88.463995726495739</v>
      </c>
      <c r="R358" s="388">
        <f t="shared" si="60"/>
        <v>6.883333333333333E-2</v>
      </c>
    </row>
    <row r="359" spans="1:18" s="4" customFormat="1" ht="18.95" customHeight="1">
      <c r="A359" s="956"/>
      <c r="B359" s="959"/>
      <c r="C359" s="962"/>
      <c r="D359" s="389">
        <v>3</v>
      </c>
      <c r="E359" s="388" t="e">
        <f t="shared" si="60"/>
        <v>#VALUE!</v>
      </c>
      <c r="F359" s="388">
        <f t="shared" si="60"/>
        <v>0</v>
      </c>
      <c r="G359" s="388">
        <f t="shared" si="60"/>
        <v>0</v>
      </c>
      <c r="H359" s="388">
        <f t="shared" si="60"/>
        <v>238.97251688034194</v>
      </c>
      <c r="I359" s="388">
        <f t="shared" si="60"/>
        <v>175.62</v>
      </c>
      <c r="J359" s="388">
        <f t="shared" si="60"/>
        <v>5.0177777777777779</v>
      </c>
      <c r="K359" s="388" t="e">
        <f t="shared" si="60"/>
        <v>#REF!</v>
      </c>
      <c r="L359" s="388" t="e">
        <f t="shared" si="60"/>
        <v>#VALUE!</v>
      </c>
      <c r="M359" s="388" t="e">
        <f t="shared" si="60"/>
        <v>#VALUE!</v>
      </c>
      <c r="N359" s="388" t="e">
        <f t="shared" si="60"/>
        <v>#VALUE!</v>
      </c>
      <c r="O359" s="388">
        <f t="shared" si="60"/>
        <v>539.61997863247859</v>
      </c>
      <c r="P359" s="388">
        <f t="shared" si="60"/>
        <v>434.52350427350427</v>
      </c>
      <c r="Q359" s="388">
        <f t="shared" si="60"/>
        <v>105.09647435897438</v>
      </c>
      <c r="R359" s="388">
        <f t="shared" si="60"/>
        <v>8.1277777777777782E-2</v>
      </c>
    </row>
    <row r="360" spans="1:18" s="4" customFormat="1" ht="18.95" customHeight="1">
      <c r="A360" s="967"/>
      <c r="B360" s="968"/>
      <c r="C360" s="969"/>
      <c r="D360" s="391">
        <v>4</v>
      </c>
      <c r="E360" s="388" t="e">
        <f t="shared" si="60"/>
        <v>#VALUE!</v>
      </c>
      <c r="F360" s="388">
        <f t="shared" si="60"/>
        <v>0</v>
      </c>
      <c r="G360" s="388">
        <f t="shared" si="60"/>
        <v>0</v>
      </c>
      <c r="H360" s="388">
        <f t="shared" si="60"/>
        <v>260.52715719373225</v>
      </c>
      <c r="I360" s="388">
        <f t="shared" si="60"/>
        <v>175.62</v>
      </c>
      <c r="J360" s="388">
        <f t="shared" si="60"/>
        <v>5.0177777777777779</v>
      </c>
      <c r="K360" s="388" t="e">
        <f t="shared" si="60"/>
        <v>#REF!</v>
      </c>
      <c r="L360" s="388" t="e">
        <f t="shared" si="60"/>
        <v>#VALUE!</v>
      </c>
      <c r="M360" s="388" t="e">
        <f t="shared" si="60"/>
        <v>#VALUE!</v>
      </c>
      <c r="N360" s="388" t="e">
        <f t="shared" si="60"/>
        <v>#VALUE!</v>
      </c>
      <c r="O360" s="388">
        <f t="shared" si="60"/>
        <v>639.4148504273503</v>
      </c>
      <c r="P360" s="388">
        <f t="shared" si="60"/>
        <v>514.35940170940171</v>
      </c>
      <c r="Q360" s="388">
        <f t="shared" si="60"/>
        <v>125.05544871794874</v>
      </c>
      <c r="R360" s="388">
        <f t="shared" si="60"/>
        <v>9.6211111111111108E-2</v>
      </c>
    </row>
    <row r="361" spans="1:18" s="4" customFormat="1" ht="18.95" customHeight="1">
      <c r="A361" s="115"/>
      <c r="B361" s="116"/>
      <c r="C361" s="406"/>
      <c r="D361" s="389"/>
      <c r="E361" s="390"/>
      <c r="F361" s="390"/>
      <c r="G361" s="390"/>
      <c r="H361" s="390"/>
      <c r="I361" s="390"/>
      <c r="J361" s="390"/>
      <c r="K361" s="390"/>
      <c r="L361" s="390"/>
      <c r="M361" s="390"/>
      <c r="N361" s="390"/>
      <c r="O361" s="390"/>
      <c r="P361" s="431"/>
      <c r="Q361" s="432"/>
      <c r="R361" s="433"/>
    </row>
    <row r="362" spans="1:18" s="4" customFormat="1" ht="18.95" customHeight="1">
      <c r="A362" s="955" t="s">
        <v>4</v>
      </c>
      <c r="B362" s="958" t="s">
        <v>391</v>
      </c>
      <c r="C362" s="961" t="s">
        <v>278</v>
      </c>
      <c r="D362" s="387">
        <v>1</v>
      </c>
      <c r="E362" s="448" t="e">
        <f t="shared" ref="E362:R365" si="61">E313+E318+E326+E$336+E339+E$344+E$347</f>
        <v>#VALUE!</v>
      </c>
      <c r="F362" s="448">
        <f t="shared" si="61"/>
        <v>10951.6</v>
      </c>
      <c r="G362" s="448" t="e">
        <f t="shared" si="61"/>
        <v>#REF!</v>
      </c>
      <c r="H362" s="448" t="e">
        <f t="shared" si="61"/>
        <v>#REF!</v>
      </c>
      <c r="I362" s="448" t="e">
        <f t="shared" si="61"/>
        <v>#REF!</v>
      </c>
      <c r="J362" s="448" t="e">
        <f t="shared" si="61"/>
        <v>#REF!</v>
      </c>
      <c r="K362" s="448" t="e">
        <f t="shared" si="61"/>
        <v>#REF!</v>
      </c>
      <c r="L362" s="448" t="e">
        <f t="shared" si="61"/>
        <v>#VALUE!</v>
      </c>
      <c r="M362" s="448" t="e">
        <f t="shared" si="61"/>
        <v>#VALUE!</v>
      </c>
      <c r="N362" s="448" t="e">
        <f t="shared" si="61"/>
        <v>#VALUE!</v>
      </c>
      <c r="O362" s="448" t="e">
        <f t="shared" si="61"/>
        <v>#REF!</v>
      </c>
      <c r="P362" s="448" t="e">
        <f t="shared" si="61"/>
        <v>#REF!</v>
      </c>
      <c r="Q362" s="448" t="e">
        <f t="shared" si="61"/>
        <v>#REF!</v>
      </c>
      <c r="R362" s="448" t="e">
        <f t="shared" si="61"/>
        <v>#REF!</v>
      </c>
    </row>
    <row r="363" spans="1:18" s="4" customFormat="1" ht="18.95" customHeight="1">
      <c r="A363" s="956"/>
      <c r="B363" s="959"/>
      <c r="C363" s="962"/>
      <c r="D363" s="389">
        <v>2</v>
      </c>
      <c r="E363" s="449" t="e">
        <f t="shared" si="61"/>
        <v>#VALUE!</v>
      </c>
      <c r="F363" s="449">
        <f t="shared" si="61"/>
        <v>13139.3</v>
      </c>
      <c r="G363" s="449" t="e">
        <f t="shared" si="61"/>
        <v>#REF!</v>
      </c>
      <c r="H363" s="449" t="e">
        <f t="shared" si="61"/>
        <v>#REF!</v>
      </c>
      <c r="I363" s="449" t="e">
        <f t="shared" si="61"/>
        <v>#REF!</v>
      </c>
      <c r="J363" s="449" t="e">
        <f t="shared" si="61"/>
        <v>#REF!</v>
      </c>
      <c r="K363" s="449" t="e">
        <f t="shared" si="61"/>
        <v>#REF!</v>
      </c>
      <c r="L363" s="449" t="e">
        <f t="shared" si="61"/>
        <v>#VALUE!</v>
      </c>
      <c r="M363" s="449" t="e">
        <f t="shared" si="61"/>
        <v>#VALUE!</v>
      </c>
      <c r="N363" s="449" t="e">
        <f t="shared" si="61"/>
        <v>#VALUE!</v>
      </c>
      <c r="O363" s="449" t="e">
        <f t="shared" si="61"/>
        <v>#REF!</v>
      </c>
      <c r="P363" s="449" t="e">
        <f t="shared" si="61"/>
        <v>#REF!</v>
      </c>
      <c r="Q363" s="449" t="e">
        <f t="shared" si="61"/>
        <v>#REF!</v>
      </c>
      <c r="R363" s="449" t="e">
        <f t="shared" si="61"/>
        <v>#REF!</v>
      </c>
    </row>
    <row r="364" spans="1:18" s="4" customFormat="1" ht="18.95" customHeight="1">
      <c r="A364" s="956"/>
      <c r="B364" s="959"/>
      <c r="C364" s="962"/>
      <c r="D364" s="389">
        <v>3</v>
      </c>
      <c r="E364" s="449" t="e">
        <f t="shared" si="61"/>
        <v>#VALUE!</v>
      </c>
      <c r="F364" s="449">
        <f t="shared" si="61"/>
        <v>15759.3</v>
      </c>
      <c r="G364" s="449" t="e">
        <f t="shared" si="61"/>
        <v>#REF!</v>
      </c>
      <c r="H364" s="449" t="e">
        <f t="shared" si="61"/>
        <v>#REF!</v>
      </c>
      <c r="I364" s="449" t="e">
        <f t="shared" si="61"/>
        <v>#REF!</v>
      </c>
      <c r="J364" s="449" t="e">
        <f t="shared" si="61"/>
        <v>#REF!</v>
      </c>
      <c r="K364" s="449" t="e">
        <f t="shared" si="61"/>
        <v>#REF!</v>
      </c>
      <c r="L364" s="449" t="e">
        <f t="shared" si="61"/>
        <v>#VALUE!</v>
      </c>
      <c r="M364" s="449" t="e">
        <f t="shared" si="61"/>
        <v>#VALUE!</v>
      </c>
      <c r="N364" s="449" t="e">
        <f t="shared" si="61"/>
        <v>#VALUE!</v>
      </c>
      <c r="O364" s="449" t="e">
        <f t="shared" si="61"/>
        <v>#REF!</v>
      </c>
      <c r="P364" s="449" t="e">
        <f t="shared" si="61"/>
        <v>#REF!</v>
      </c>
      <c r="Q364" s="449" t="e">
        <f t="shared" si="61"/>
        <v>#REF!</v>
      </c>
      <c r="R364" s="449" t="e">
        <f t="shared" si="61"/>
        <v>#REF!</v>
      </c>
    </row>
    <row r="365" spans="1:18" s="4" customFormat="1" ht="18.95" customHeight="1">
      <c r="A365" s="957"/>
      <c r="B365" s="960"/>
      <c r="C365" s="963"/>
      <c r="D365" s="393">
        <v>4</v>
      </c>
      <c r="E365" s="450" t="e">
        <f t="shared" si="61"/>
        <v>#VALUE!</v>
      </c>
      <c r="F365" s="450">
        <f t="shared" si="61"/>
        <v>18916.400000000001</v>
      </c>
      <c r="G365" s="450" t="e">
        <f t="shared" si="61"/>
        <v>#REF!</v>
      </c>
      <c r="H365" s="450" t="e">
        <f t="shared" si="61"/>
        <v>#REF!</v>
      </c>
      <c r="I365" s="450" t="e">
        <f t="shared" si="61"/>
        <v>#REF!</v>
      </c>
      <c r="J365" s="450" t="e">
        <f t="shared" si="61"/>
        <v>#REF!</v>
      </c>
      <c r="K365" s="450" t="e">
        <f t="shared" si="61"/>
        <v>#REF!</v>
      </c>
      <c r="L365" s="450" t="e">
        <f t="shared" si="61"/>
        <v>#VALUE!</v>
      </c>
      <c r="M365" s="450" t="e">
        <f t="shared" si="61"/>
        <v>#VALUE!</v>
      </c>
      <c r="N365" s="450" t="e">
        <f t="shared" si="61"/>
        <v>#VALUE!</v>
      </c>
      <c r="O365" s="450" t="e">
        <f t="shared" si="61"/>
        <v>#REF!</v>
      </c>
      <c r="P365" s="450" t="e">
        <f t="shared" si="61"/>
        <v>#REF!</v>
      </c>
      <c r="Q365" s="450" t="e">
        <f t="shared" si="61"/>
        <v>#REF!</v>
      </c>
      <c r="R365" s="450" t="e">
        <f t="shared" si="61"/>
        <v>#REF!</v>
      </c>
    </row>
    <row r="366" spans="1:18" s="4" customFormat="1" ht="14.25">
      <c r="A366" s="84"/>
      <c r="B366" s="84"/>
      <c r="C366" s="84"/>
      <c r="D366" s="320"/>
      <c r="E366" s="187"/>
      <c r="F366" s="187"/>
      <c r="G366" s="187"/>
      <c r="H366" s="187"/>
      <c r="I366" s="187"/>
      <c r="J366" s="187"/>
      <c r="K366" s="187"/>
      <c r="L366" s="187"/>
      <c r="M366" s="187"/>
      <c r="N366" s="187"/>
      <c r="O366" s="322"/>
      <c r="P366" s="322"/>
      <c r="Q366" s="426"/>
      <c r="R366" s="427"/>
    </row>
    <row r="367" spans="1:18" s="4" customFormat="1" ht="14.25">
      <c r="A367" s="84"/>
      <c r="B367" s="84"/>
      <c r="C367" s="84"/>
      <c r="D367" s="320"/>
      <c r="E367" s="187"/>
      <c r="F367" s="187"/>
      <c r="G367" s="187"/>
      <c r="H367" s="187"/>
      <c r="I367" s="187"/>
      <c r="J367" s="187"/>
      <c r="K367" s="187"/>
      <c r="L367" s="187"/>
      <c r="M367" s="187"/>
      <c r="N367" s="187"/>
      <c r="O367" s="322"/>
      <c r="P367" s="322"/>
      <c r="Q367" s="426"/>
      <c r="R367" s="427"/>
    </row>
    <row r="368" spans="1:18" s="4" customFormat="1" ht="14.25">
      <c r="A368" s="84"/>
      <c r="B368" s="84"/>
      <c r="C368" s="84"/>
      <c r="D368" s="320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322"/>
      <c r="P368" s="322"/>
      <c r="Q368" s="426"/>
      <c r="R368" s="427"/>
    </row>
    <row r="369" spans="1:18" s="4" customFormat="1" ht="12.75">
      <c r="A369" s="65"/>
      <c r="B369" s="66"/>
      <c r="C369" s="66"/>
      <c r="D369" s="65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2"/>
      <c r="P369" s="52"/>
      <c r="Q369" s="52"/>
      <c r="R369" s="63"/>
    </row>
    <row r="370" spans="1:18" s="4" customFormat="1" ht="12.75">
      <c r="A370" s="65"/>
      <c r="B370" s="66"/>
      <c r="C370" s="66"/>
      <c r="D370" s="65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2"/>
      <c r="P370" s="52"/>
      <c r="Q370" s="52"/>
      <c r="R370" s="63"/>
    </row>
    <row r="371" spans="1:18" s="4" customFormat="1" ht="12.75">
      <c r="A371" s="65"/>
      <c r="B371" s="66"/>
      <c r="C371" s="66"/>
      <c r="D371" s="65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2"/>
      <c r="P371" s="52"/>
      <c r="Q371" s="52"/>
      <c r="R371" s="63"/>
    </row>
    <row r="372" spans="1:18" s="4" customFormat="1" ht="12.75">
      <c r="A372" s="65"/>
      <c r="B372" s="66"/>
      <c r="C372" s="66"/>
      <c r="D372" s="65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2"/>
      <c r="P372" s="52"/>
      <c r="Q372" s="52"/>
      <c r="R372" s="63"/>
    </row>
    <row r="373" spans="1:18" s="4" customFormat="1" ht="12.75">
      <c r="A373" s="65"/>
      <c r="B373" s="66"/>
      <c r="C373" s="66"/>
      <c r="D373" s="65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2"/>
      <c r="P373" s="52"/>
      <c r="Q373" s="52"/>
      <c r="R373" s="63"/>
    </row>
    <row r="374" spans="1:18" s="4" customFormat="1" ht="12.75">
      <c r="A374" s="65"/>
      <c r="B374" s="66"/>
      <c r="C374" s="66"/>
      <c r="D374" s="65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2"/>
      <c r="P374" s="52"/>
      <c r="Q374" s="52"/>
      <c r="R374" s="63"/>
    </row>
    <row r="375" spans="1:18" s="4" customFormat="1" ht="12.75">
      <c r="A375" s="65"/>
      <c r="B375" s="66"/>
      <c r="C375" s="66"/>
      <c r="D375" s="65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2"/>
      <c r="P375" s="52"/>
      <c r="Q375" s="52"/>
      <c r="R375" s="63"/>
    </row>
    <row r="376" spans="1:18" s="4" customFormat="1" ht="12.75">
      <c r="A376" s="65"/>
      <c r="B376" s="66"/>
      <c r="C376" s="66"/>
      <c r="D376" s="65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2"/>
      <c r="P376" s="52"/>
      <c r="Q376" s="52"/>
      <c r="R376" s="63"/>
    </row>
    <row r="377" spans="1:18" s="4" customFormat="1" ht="12.75">
      <c r="A377" s="65"/>
      <c r="B377" s="66"/>
      <c r="C377" s="66"/>
      <c r="D377" s="65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2"/>
      <c r="P377" s="52"/>
      <c r="Q377" s="52"/>
      <c r="R377" s="63"/>
    </row>
    <row r="378" spans="1:18" s="4" customFormat="1" ht="12.75">
      <c r="A378" s="65"/>
      <c r="B378" s="66"/>
      <c r="C378" s="66"/>
      <c r="D378" s="65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2"/>
      <c r="P378" s="52"/>
      <c r="Q378" s="52"/>
      <c r="R378" s="63"/>
    </row>
    <row r="379" spans="1:18" s="4" customFormat="1" ht="12.75">
      <c r="A379" s="65"/>
      <c r="B379" s="66"/>
      <c r="C379" s="66"/>
      <c r="D379" s="65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2"/>
      <c r="P379" s="52"/>
      <c r="Q379" s="52"/>
      <c r="R379" s="63"/>
    </row>
    <row r="380" spans="1:18" s="4" customFormat="1" ht="12.75">
      <c r="A380" s="65"/>
      <c r="B380" s="66"/>
      <c r="C380" s="66"/>
      <c r="D380" s="65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2"/>
      <c r="P380" s="52"/>
      <c r="Q380" s="52"/>
      <c r="R380" s="63"/>
    </row>
    <row r="381" spans="1:18" s="4" customFormat="1" ht="12.75">
      <c r="A381" s="65"/>
      <c r="B381" s="66"/>
      <c r="C381" s="66"/>
      <c r="D381" s="65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2"/>
      <c r="P381" s="52"/>
      <c r="Q381" s="52"/>
      <c r="R381" s="63"/>
    </row>
    <row r="382" spans="1:18" s="4" customFormat="1" ht="12.75">
      <c r="A382" s="65"/>
      <c r="B382" s="66"/>
      <c r="C382" s="66"/>
      <c r="D382" s="65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2"/>
      <c r="P382" s="52"/>
      <c r="Q382" s="52"/>
      <c r="R382" s="63"/>
    </row>
    <row r="383" spans="1:18" s="4" customFormat="1" ht="12.75">
      <c r="A383" s="65"/>
      <c r="B383" s="66"/>
      <c r="C383" s="66"/>
      <c r="D383" s="65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2"/>
      <c r="P383" s="52"/>
      <c r="Q383" s="52"/>
      <c r="R383" s="63"/>
    </row>
    <row r="384" spans="1:18" s="4" customFormat="1" ht="12.75">
      <c r="A384" s="65"/>
      <c r="B384" s="66"/>
      <c r="C384" s="66"/>
      <c r="D384" s="65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2"/>
      <c r="P384" s="52"/>
      <c r="Q384" s="52"/>
      <c r="R384" s="63"/>
    </row>
    <row r="385" spans="1:18" s="4" customFormat="1" ht="12.75">
      <c r="A385" s="65"/>
      <c r="B385" s="66"/>
      <c r="C385" s="66"/>
      <c r="D385" s="65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2"/>
      <c r="P385" s="52"/>
      <c r="Q385" s="52"/>
      <c r="R385" s="63"/>
    </row>
    <row r="386" spans="1:18" s="4" customFormat="1" ht="12.75">
      <c r="A386" s="65"/>
      <c r="B386" s="66"/>
      <c r="C386" s="66"/>
      <c r="D386" s="65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2"/>
      <c r="P386" s="52"/>
      <c r="Q386" s="52"/>
      <c r="R386" s="63"/>
    </row>
    <row r="387" spans="1:18" s="4" customFormat="1" ht="12.75">
      <c r="A387" s="65"/>
      <c r="B387" s="66"/>
      <c r="C387" s="66"/>
      <c r="D387" s="65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2"/>
      <c r="P387" s="52"/>
      <c r="Q387" s="52"/>
      <c r="R387" s="63"/>
    </row>
    <row r="388" spans="1:18" s="4" customFormat="1" ht="12.75">
      <c r="A388" s="65"/>
      <c r="B388" s="66"/>
      <c r="C388" s="66"/>
      <c r="D388" s="65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2"/>
      <c r="P388" s="52"/>
      <c r="Q388" s="52"/>
      <c r="R388" s="63"/>
    </row>
    <row r="389" spans="1:18" s="4" customFormat="1" ht="12.75">
      <c r="A389" s="65"/>
      <c r="B389" s="66"/>
      <c r="C389" s="66"/>
      <c r="D389" s="65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2"/>
      <c r="P389" s="52"/>
      <c r="Q389" s="52"/>
      <c r="R389" s="63"/>
    </row>
    <row r="390" spans="1:18" s="4" customFormat="1" ht="12.75">
      <c r="A390" s="65"/>
      <c r="B390" s="66"/>
      <c r="C390" s="66"/>
      <c r="D390" s="65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2"/>
      <c r="P390" s="52"/>
      <c r="Q390" s="52"/>
      <c r="R390" s="63"/>
    </row>
    <row r="391" spans="1:18" s="4" customFormat="1" ht="12.75">
      <c r="A391" s="65"/>
      <c r="B391" s="66"/>
      <c r="C391" s="66"/>
      <c r="D391" s="65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2"/>
      <c r="P391" s="52"/>
      <c r="Q391" s="52"/>
      <c r="R391" s="63"/>
    </row>
    <row r="392" spans="1:18" s="4" customFormat="1" ht="12.75">
      <c r="A392" s="65"/>
      <c r="B392" s="66"/>
      <c r="C392" s="66"/>
      <c r="D392" s="65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2"/>
      <c r="P392" s="52"/>
      <c r="Q392" s="52"/>
      <c r="R392" s="63"/>
    </row>
    <row r="393" spans="1:18" s="4" customFormat="1" ht="12.75">
      <c r="A393" s="65"/>
      <c r="B393" s="66"/>
      <c r="C393" s="66"/>
      <c r="D393" s="65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2"/>
      <c r="P393" s="52"/>
      <c r="Q393" s="52"/>
      <c r="R393" s="63"/>
    </row>
    <row r="394" spans="1:18" s="4" customFormat="1" ht="12.75">
      <c r="A394" s="65"/>
      <c r="B394" s="66"/>
      <c r="C394" s="66"/>
      <c r="D394" s="65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2"/>
      <c r="P394" s="52"/>
      <c r="Q394" s="52"/>
      <c r="R394" s="63"/>
    </row>
    <row r="395" spans="1:18" s="4" customFormat="1" ht="12.75">
      <c r="A395" s="65"/>
      <c r="B395" s="66"/>
      <c r="C395" s="66"/>
      <c r="D395" s="65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2"/>
      <c r="P395" s="52"/>
      <c r="Q395" s="52"/>
      <c r="R395" s="63"/>
    </row>
    <row r="396" spans="1:18" s="4" customFormat="1" ht="12.75">
      <c r="A396" s="65"/>
      <c r="B396" s="66"/>
      <c r="C396" s="66"/>
      <c r="D396" s="65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2"/>
      <c r="P396" s="52"/>
      <c r="Q396" s="52"/>
      <c r="R396" s="63"/>
    </row>
    <row r="397" spans="1:18" s="4" customFormat="1" ht="12.75">
      <c r="A397" s="65"/>
      <c r="B397" s="66"/>
      <c r="C397" s="66"/>
      <c r="D397" s="65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2"/>
      <c r="P397" s="52"/>
      <c r="Q397" s="52"/>
      <c r="R397" s="63"/>
    </row>
    <row r="398" spans="1:18" s="4" customFormat="1" ht="12.75">
      <c r="A398" s="65"/>
      <c r="B398" s="66"/>
      <c r="C398" s="66"/>
      <c r="D398" s="65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2"/>
      <c r="P398" s="52"/>
      <c r="Q398" s="52"/>
      <c r="R398" s="63"/>
    </row>
    <row r="399" spans="1:18" s="4" customFormat="1" ht="12.75">
      <c r="A399" s="65"/>
      <c r="B399" s="66"/>
      <c r="C399" s="66"/>
      <c r="D399" s="65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2"/>
      <c r="P399" s="52"/>
      <c r="Q399" s="52"/>
      <c r="R399" s="63"/>
    </row>
    <row r="400" spans="1:18" s="4" customFormat="1" ht="12.75">
      <c r="A400" s="65"/>
      <c r="B400" s="66"/>
      <c r="C400" s="66"/>
      <c r="D400" s="65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2"/>
      <c r="P400" s="52"/>
      <c r="Q400" s="52"/>
      <c r="R400" s="63"/>
    </row>
    <row r="401" spans="1:18" s="4" customFormat="1" ht="12.75">
      <c r="A401" s="65"/>
      <c r="B401" s="66"/>
      <c r="C401" s="66"/>
      <c r="D401" s="65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2"/>
      <c r="P401" s="52"/>
      <c r="Q401" s="52"/>
      <c r="R401" s="63"/>
    </row>
    <row r="402" spans="1:18" s="4" customFormat="1" ht="12.75">
      <c r="A402" s="65"/>
      <c r="B402" s="66"/>
      <c r="C402" s="66"/>
      <c r="D402" s="65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2"/>
      <c r="P402" s="52"/>
      <c r="Q402" s="52"/>
      <c r="R402" s="63"/>
    </row>
    <row r="403" spans="1:18" s="4" customFormat="1" ht="12.75">
      <c r="A403" s="65"/>
      <c r="B403" s="66"/>
      <c r="C403" s="66"/>
      <c r="D403" s="65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2"/>
      <c r="P403" s="52"/>
      <c r="Q403" s="52"/>
      <c r="R403" s="63"/>
    </row>
    <row r="404" spans="1:18" s="4" customFormat="1" ht="12.75">
      <c r="A404" s="65"/>
      <c r="B404" s="66"/>
      <c r="C404" s="66"/>
      <c r="D404" s="65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2"/>
      <c r="P404" s="52"/>
      <c r="Q404" s="52"/>
      <c r="R404" s="63"/>
    </row>
    <row r="405" spans="1:18" s="4" customFormat="1" ht="12.75">
      <c r="A405" s="65"/>
      <c r="B405" s="66"/>
      <c r="C405" s="66"/>
      <c r="D405" s="65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2"/>
      <c r="P405" s="52"/>
      <c r="Q405" s="52"/>
      <c r="R405" s="63"/>
    </row>
    <row r="406" spans="1:18" s="4" customFormat="1" ht="12.75">
      <c r="A406" s="65"/>
      <c r="B406" s="66"/>
      <c r="C406" s="66"/>
      <c r="D406" s="65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2"/>
      <c r="P406" s="52"/>
      <c r="Q406" s="52"/>
      <c r="R406" s="63"/>
    </row>
    <row r="407" spans="1:18" s="4" customFormat="1" ht="12.75">
      <c r="A407" s="65"/>
      <c r="B407" s="66"/>
      <c r="C407" s="66"/>
      <c r="D407" s="65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2"/>
      <c r="P407" s="52"/>
      <c r="Q407" s="52"/>
      <c r="R407" s="63"/>
    </row>
    <row r="408" spans="1:18" s="4" customFormat="1" ht="12.75">
      <c r="A408" s="65"/>
      <c r="B408" s="66"/>
      <c r="C408" s="66"/>
      <c r="D408" s="65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2"/>
      <c r="P408" s="52"/>
      <c r="Q408" s="52"/>
      <c r="R408" s="63"/>
    </row>
    <row r="409" spans="1:18" s="4" customFormat="1" ht="12.75">
      <c r="A409" s="65"/>
      <c r="B409" s="66"/>
      <c r="C409" s="66"/>
      <c r="D409" s="65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2"/>
      <c r="P409" s="52"/>
      <c r="Q409" s="52"/>
      <c r="R409" s="63"/>
    </row>
    <row r="410" spans="1:18" s="4" customFormat="1" ht="12.75">
      <c r="A410" s="65"/>
      <c r="B410" s="66"/>
      <c r="C410" s="66"/>
      <c r="D410" s="65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2"/>
      <c r="P410" s="52"/>
      <c r="Q410" s="52"/>
      <c r="R410" s="63"/>
    </row>
    <row r="411" spans="1:18" s="4" customFormat="1" ht="12.75">
      <c r="A411" s="65"/>
      <c r="B411" s="66"/>
      <c r="C411" s="66"/>
      <c r="D411" s="65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2"/>
      <c r="P411" s="52"/>
      <c r="Q411" s="52"/>
      <c r="R411" s="63"/>
    </row>
    <row r="412" spans="1:18" s="4" customFormat="1" ht="12.75">
      <c r="A412" s="65"/>
      <c r="B412" s="66"/>
      <c r="C412" s="66"/>
      <c r="D412" s="65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2"/>
      <c r="P412" s="52"/>
      <c r="Q412" s="52"/>
      <c r="R412" s="63"/>
    </row>
    <row r="413" spans="1:18" s="4" customFormat="1" ht="12.75">
      <c r="A413" s="65"/>
      <c r="B413" s="66"/>
      <c r="C413" s="66"/>
      <c r="D413" s="65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2"/>
      <c r="P413" s="52"/>
      <c r="Q413" s="52"/>
      <c r="R413" s="63"/>
    </row>
    <row r="414" spans="1:18" s="4" customFormat="1" ht="12.75">
      <c r="A414" s="65"/>
      <c r="B414" s="66"/>
      <c r="C414" s="66"/>
      <c r="D414" s="65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2"/>
      <c r="P414" s="52"/>
      <c r="Q414" s="52"/>
      <c r="R414" s="63"/>
    </row>
    <row r="415" spans="1:18" s="4" customFormat="1" ht="12.75">
      <c r="A415" s="65"/>
      <c r="B415" s="66"/>
      <c r="C415" s="66"/>
      <c r="D415" s="65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2"/>
      <c r="P415" s="52"/>
      <c r="Q415" s="52"/>
      <c r="R415" s="63"/>
    </row>
    <row r="416" spans="1:18" s="4" customFormat="1" ht="12.75">
      <c r="A416" s="65"/>
      <c r="B416" s="66"/>
      <c r="C416" s="66"/>
      <c r="D416" s="65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2"/>
      <c r="P416" s="52"/>
      <c r="Q416" s="52"/>
      <c r="R416" s="63"/>
    </row>
    <row r="417" spans="1:18" s="4" customFormat="1" ht="12.75">
      <c r="A417" s="65"/>
      <c r="B417" s="66"/>
      <c r="C417" s="66"/>
      <c r="D417" s="65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2"/>
      <c r="P417" s="52"/>
      <c r="Q417" s="52"/>
      <c r="R417" s="63"/>
    </row>
    <row r="418" spans="1:18" s="4" customFormat="1" ht="12.75">
      <c r="A418" s="65"/>
      <c r="B418" s="66"/>
      <c r="C418" s="66"/>
      <c r="D418" s="65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2"/>
      <c r="P418" s="52"/>
      <c r="Q418" s="52"/>
      <c r="R418" s="63"/>
    </row>
    <row r="419" spans="1:18" s="4" customFormat="1" ht="12.75">
      <c r="A419" s="65"/>
      <c r="B419" s="66"/>
      <c r="C419" s="66"/>
      <c r="D419" s="65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2"/>
      <c r="P419" s="52"/>
      <c r="Q419" s="52"/>
      <c r="R419" s="63"/>
    </row>
    <row r="420" spans="1:18" s="4" customFormat="1" ht="12.75">
      <c r="A420" s="65"/>
      <c r="B420" s="66"/>
      <c r="C420" s="66"/>
      <c r="D420" s="65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2"/>
      <c r="P420" s="52"/>
      <c r="Q420" s="52"/>
      <c r="R420" s="63"/>
    </row>
    <row r="421" spans="1:18" s="4" customFormat="1" ht="12.75">
      <c r="A421" s="65"/>
      <c r="B421" s="66"/>
      <c r="C421" s="66"/>
      <c r="D421" s="65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2"/>
      <c r="P421" s="52"/>
      <c r="Q421" s="52"/>
      <c r="R421" s="63"/>
    </row>
    <row r="422" spans="1:18" s="4" customFormat="1" ht="12.75">
      <c r="A422" s="65"/>
      <c r="B422" s="66"/>
      <c r="C422" s="66"/>
      <c r="D422" s="65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2"/>
      <c r="P422" s="52"/>
      <c r="Q422" s="52"/>
      <c r="R422" s="63"/>
    </row>
    <row r="423" spans="1:18" s="4" customFormat="1" ht="12.75">
      <c r="A423" s="65"/>
      <c r="B423" s="66"/>
      <c r="C423" s="66"/>
      <c r="D423" s="65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2"/>
      <c r="P423" s="52"/>
      <c r="Q423" s="52"/>
      <c r="R423" s="63"/>
    </row>
    <row r="424" spans="1:18" s="4" customFormat="1" ht="12.75">
      <c r="A424" s="65"/>
      <c r="B424" s="66"/>
      <c r="C424" s="66"/>
      <c r="D424" s="65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2"/>
      <c r="P424" s="52"/>
      <c r="Q424" s="52"/>
      <c r="R424" s="63"/>
    </row>
    <row r="425" spans="1:18" s="4" customFormat="1" ht="12.75">
      <c r="A425" s="65"/>
      <c r="B425" s="66"/>
      <c r="C425" s="66"/>
      <c r="D425" s="65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2"/>
      <c r="P425" s="52"/>
      <c r="Q425" s="52"/>
      <c r="R425" s="63"/>
    </row>
    <row r="426" spans="1:18" s="4" customFormat="1" ht="12.75">
      <c r="A426" s="65"/>
      <c r="B426" s="66"/>
      <c r="C426" s="66"/>
      <c r="D426" s="65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2"/>
      <c r="P426" s="52"/>
      <c r="Q426" s="52"/>
      <c r="R426" s="63"/>
    </row>
    <row r="427" spans="1:18" s="4" customFormat="1" ht="12.75">
      <c r="A427" s="65"/>
      <c r="B427" s="66"/>
      <c r="C427" s="66"/>
      <c r="D427" s="65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2"/>
      <c r="P427" s="52"/>
      <c r="Q427" s="52"/>
      <c r="R427" s="63"/>
    </row>
    <row r="428" spans="1:18" s="4" customFormat="1" ht="12.75">
      <c r="A428" s="65"/>
      <c r="B428" s="66"/>
      <c r="C428" s="66"/>
      <c r="D428" s="65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2"/>
      <c r="P428" s="52"/>
      <c r="Q428" s="52"/>
      <c r="R428" s="63"/>
    </row>
    <row r="429" spans="1:18" s="4" customFormat="1" ht="12.75">
      <c r="A429" s="65"/>
      <c r="B429" s="66"/>
      <c r="C429" s="66"/>
      <c r="D429" s="65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2"/>
      <c r="P429" s="52"/>
      <c r="Q429" s="52"/>
      <c r="R429" s="63"/>
    </row>
    <row r="430" spans="1:18" s="4" customFormat="1" ht="12.75">
      <c r="A430" s="65"/>
      <c r="B430" s="66"/>
      <c r="C430" s="66"/>
      <c r="D430" s="65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2"/>
      <c r="P430" s="52"/>
      <c r="Q430" s="52"/>
      <c r="R430" s="63"/>
    </row>
    <row r="431" spans="1:18" s="4" customFormat="1" ht="12.75">
      <c r="A431" s="65"/>
      <c r="B431" s="66"/>
      <c r="C431" s="66"/>
      <c r="D431" s="65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2"/>
      <c r="P431" s="52"/>
      <c r="Q431" s="52"/>
      <c r="R431" s="63"/>
    </row>
    <row r="432" spans="1:18" s="4" customFormat="1" ht="12.75">
      <c r="A432" s="65"/>
      <c r="B432" s="66"/>
      <c r="C432" s="66"/>
      <c r="D432" s="65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2"/>
      <c r="P432" s="52"/>
      <c r="Q432" s="52"/>
      <c r="R432" s="63"/>
    </row>
    <row r="433" spans="1:18" s="4" customFormat="1" ht="12.75">
      <c r="A433" s="65"/>
      <c r="B433" s="66"/>
      <c r="C433" s="66"/>
      <c r="D433" s="65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2"/>
      <c r="P433" s="52"/>
      <c r="Q433" s="52"/>
      <c r="R433" s="63"/>
    </row>
    <row r="434" spans="1:18" s="4" customFormat="1" ht="12.75">
      <c r="A434" s="65"/>
      <c r="B434" s="66"/>
      <c r="C434" s="66"/>
      <c r="D434" s="65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2"/>
      <c r="P434" s="52"/>
      <c r="Q434" s="52"/>
      <c r="R434" s="63"/>
    </row>
    <row r="435" spans="1:18" s="4" customFormat="1" ht="12.75">
      <c r="A435" s="65"/>
      <c r="B435" s="66"/>
      <c r="C435" s="66"/>
      <c r="D435" s="65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2"/>
      <c r="P435" s="52"/>
      <c r="Q435" s="52"/>
      <c r="R435" s="63"/>
    </row>
    <row r="436" spans="1:18" s="4" customFormat="1" ht="12.75">
      <c r="A436" s="65"/>
      <c r="B436" s="66"/>
      <c r="C436" s="66"/>
      <c r="D436" s="65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2"/>
      <c r="P436" s="52"/>
      <c r="Q436" s="52"/>
      <c r="R436" s="63"/>
    </row>
    <row r="437" spans="1:18" s="4" customFormat="1" ht="12.75">
      <c r="A437" s="65"/>
      <c r="B437" s="66"/>
      <c r="C437" s="66"/>
      <c r="D437" s="65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2"/>
      <c r="P437" s="52"/>
      <c r="Q437" s="52"/>
      <c r="R437" s="63"/>
    </row>
    <row r="438" spans="1:18" s="4" customFormat="1" ht="12.75">
      <c r="A438" s="65"/>
      <c r="B438" s="66"/>
      <c r="C438" s="66"/>
      <c r="D438" s="65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2"/>
      <c r="P438" s="52"/>
      <c r="Q438" s="52"/>
      <c r="R438" s="63"/>
    </row>
    <row r="439" spans="1:18" s="4" customFormat="1" ht="12.75">
      <c r="A439" s="65"/>
      <c r="B439" s="66"/>
      <c r="C439" s="66"/>
      <c r="D439" s="65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2"/>
      <c r="P439" s="52"/>
      <c r="Q439" s="52"/>
      <c r="R439" s="63"/>
    </row>
    <row r="440" spans="1:18" s="4" customFormat="1" ht="12.75">
      <c r="A440" s="65"/>
      <c r="B440" s="66"/>
      <c r="C440" s="66"/>
      <c r="D440" s="65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2"/>
      <c r="P440" s="52"/>
      <c r="Q440" s="52"/>
      <c r="R440" s="63"/>
    </row>
    <row r="441" spans="1:18" s="4" customFormat="1" ht="12.75">
      <c r="A441" s="65"/>
      <c r="B441" s="66"/>
      <c r="C441" s="66"/>
      <c r="D441" s="65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2"/>
      <c r="P441" s="52"/>
      <c r="Q441" s="52"/>
      <c r="R441" s="63"/>
    </row>
    <row r="442" spans="1:18" s="4" customFormat="1" ht="12.75">
      <c r="A442" s="65"/>
      <c r="B442" s="66"/>
      <c r="C442" s="66"/>
      <c r="D442" s="65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2"/>
      <c r="P442" s="52"/>
      <c r="Q442" s="52"/>
      <c r="R442" s="63"/>
    </row>
    <row r="443" spans="1:18" s="4" customFormat="1" ht="12.75">
      <c r="A443" s="65"/>
      <c r="B443" s="66"/>
      <c r="C443" s="66"/>
      <c r="D443" s="65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2"/>
      <c r="P443" s="52"/>
      <c r="Q443" s="52"/>
      <c r="R443" s="63"/>
    </row>
    <row r="444" spans="1:18" s="4" customFormat="1" ht="12.75">
      <c r="A444" s="65"/>
      <c r="B444" s="66"/>
      <c r="C444" s="66"/>
      <c r="D444" s="65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2"/>
      <c r="P444" s="52"/>
      <c r="Q444" s="52"/>
      <c r="R444" s="63"/>
    </row>
    <row r="445" spans="1:18" s="4" customFormat="1" ht="12.75">
      <c r="A445" s="65"/>
      <c r="B445" s="66"/>
      <c r="C445" s="66"/>
      <c r="D445" s="65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2"/>
      <c r="P445" s="52"/>
      <c r="Q445" s="52"/>
      <c r="R445" s="63"/>
    </row>
    <row r="446" spans="1:18" s="4" customFormat="1" ht="12.75">
      <c r="A446" s="65"/>
      <c r="B446" s="66"/>
      <c r="C446" s="66"/>
      <c r="D446" s="65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2"/>
      <c r="P446" s="52"/>
      <c r="Q446" s="52"/>
      <c r="R446" s="63"/>
    </row>
    <row r="447" spans="1:18" s="4" customFormat="1" ht="12.75">
      <c r="A447" s="65"/>
      <c r="B447" s="66"/>
      <c r="C447" s="66"/>
      <c r="D447" s="65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2"/>
      <c r="P447" s="52"/>
      <c r="Q447" s="52"/>
      <c r="R447" s="63"/>
    </row>
    <row r="448" spans="1:18" s="4" customFormat="1" ht="12.75">
      <c r="A448" s="65"/>
      <c r="B448" s="66"/>
      <c r="C448" s="66"/>
      <c r="D448" s="65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2"/>
      <c r="P448" s="52"/>
      <c r="Q448" s="52"/>
      <c r="R448" s="63"/>
    </row>
    <row r="449" spans="1:18" s="4" customFormat="1" ht="12.75">
      <c r="A449" s="65"/>
      <c r="B449" s="66"/>
      <c r="C449" s="66"/>
      <c r="D449" s="65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2"/>
      <c r="P449" s="52"/>
      <c r="Q449" s="52"/>
      <c r="R449" s="63"/>
    </row>
    <row r="450" spans="1:18" s="4" customFormat="1" ht="12.75">
      <c r="A450" s="65"/>
      <c r="B450" s="66"/>
      <c r="C450" s="66"/>
      <c r="D450" s="65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2"/>
      <c r="P450" s="52"/>
      <c r="Q450" s="52"/>
      <c r="R450" s="63"/>
    </row>
    <row r="451" spans="1:18" s="4" customFormat="1" ht="12.75">
      <c r="A451" s="65"/>
      <c r="B451" s="66"/>
      <c r="C451" s="66"/>
      <c r="D451" s="65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2"/>
      <c r="P451" s="52"/>
      <c r="Q451" s="52"/>
      <c r="R451" s="63"/>
    </row>
    <row r="452" spans="1:18" s="4" customFormat="1" ht="12.75">
      <c r="A452" s="65"/>
      <c r="B452" s="66"/>
      <c r="C452" s="66"/>
      <c r="D452" s="65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2"/>
      <c r="P452" s="52"/>
      <c r="Q452" s="52"/>
      <c r="R452" s="63"/>
    </row>
    <row r="453" spans="1:18" s="4" customFormat="1" ht="12.75">
      <c r="A453" s="65"/>
      <c r="B453" s="66"/>
      <c r="C453" s="66"/>
      <c r="D453" s="65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2"/>
      <c r="P453" s="52"/>
      <c r="Q453" s="52"/>
      <c r="R453" s="63"/>
    </row>
    <row r="454" spans="1:18" s="4" customFormat="1" ht="12.75">
      <c r="A454" s="65"/>
      <c r="B454" s="66"/>
      <c r="C454" s="66"/>
      <c r="D454" s="65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2"/>
      <c r="P454" s="52"/>
      <c r="Q454" s="52"/>
      <c r="R454" s="63"/>
    </row>
    <row r="455" spans="1:18" s="4" customFormat="1" ht="12.75">
      <c r="A455" s="65"/>
      <c r="B455" s="66"/>
      <c r="C455" s="66"/>
      <c r="D455" s="65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2"/>
      <c r="P455" s="52"/>
      <c r="Q455" s="52"/>
      <c r="R455" s="63"/>
    </row>
    <row r="456" spans="1:18" s="4" customFormat="1" ht="12.75">
      <c r="A456" s="65"/>
      <c r="B456" s="66"/>
      <c r="C456" s="66"/>
      <c r="D456" s="65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2"/>
      <c r="P456" s="52"/>
      <c r="Q456" s="52"/>
      <c r="R456" s="63"/>
    </row>
    <row r="457" spans="1:18" s="4" customFormat="1" ht="12.75">
      <c r="A457" s="65"/>
      <c r="B457" s="66"/>
      <c r="C457" s="66"/>
      <c r="D457" s="65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2"/>
      <c r="P457" s="52"/>
      <c r="Q457" s="52"/>
      <c r="R457" s="63"/>
    </row>
    <row r="458" spans="1:18" s="4" customFormat="1" ht="12.75">
      <c r="A458" s="65"/>
      <c r="B458" s="66"/>
      <c r="C458" s="66"/>
      <c r="D458" s="65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2"/>
      <c r="P458" s="52"/>
      <c r="Q458" s="52"/>
      <c r="R458" s="63"/>
    </row>
    <row r="459" spans="1:18" s="4" customFormat="1" ht="12.75">
      <c r="A459" s="65"/>
      <c r="B459" s="66"/>
      <c r="C459" s="66"/>
      <c r="D459" s="65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2"/>
      <c r="P459" s="52"/>
      <c r="Q459" s="52"/>
      <c r="R459" s="63"/>
    </row>
    <row r="460" spans="1:18" s="4" customFormat="1" ht="12.75">
      <c r="A460" s="65"/>
      <c r="B460" s="66"/>
      <c r="C460" s="66"/>
      <c r="D460" s="65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2"/>
      <c r="P460" s="52"/>
      <c r="Q460" s="52"/>
      <c r="R460" s="63"/>
    </row>
    <row r="461" spans="1:18" s="4" customFormat="1" ht="12.75">
      <c r="A461" s="65"/>
      <c r="B461" s="66"/>
      <c r="C461" s="66"/>
      <c r="D461" s="65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2"/>
      <c r="P461" s="52"/>
      <c r="Q461" s="52"/>
      <c r="R461" s="63"/>
    </row>
    <row r="462" spans="1:18" s="4" customFormat="1" ht="12.75">
      <c r="A462" s="33"/>
      <c r="B462" s="32"/>
      <c r="C462" s="32"/>
      <c r="D462" s="33"/>
      <c r="O462" s="36"/>
      <c r="P462" s="36"/>
      <c r="Q462" s="36"/>
      <c r="R462" s="30"/>
    </row>
    <row r="463" spans="1:18" s="4" customFormat="1" ht="12.75">
      <c r="A463" s="33"/>
      <c r="B463" s="32"/>
      <c r="C463" s="32"/>
      <c r="D463" s="33"/>
      <c r="O463" s="36"/>
      <c r="P463" s="36"/>
      <c r="Q463" s="36"/>
      <c r="R463" s="30"/>
    </row>
    <row r="464" spans="1:18" s="4" customFormat="1" ht="12.75">
      <c r="A464" s="33"/>
      <c r="B464" s="32"/>
      <c r="C464" s="32"/>
      <c r="D464" s="33"/>
      <c r="O464" s="36"/>
      <c r="P464" s="36"/>
      <c r="Q464" s="36"/>
      <c r="R464" s="30"/>
    </row>
    <row r="465" spans="1:18" s="4" customFormat="1" ht="12.75">
      <c r="A465" s="33"/>
      <c r="B465" s="32"/>
      <c r="C465" s="32"/>
      <c r="D465" s="33"/>
      <c r="O465" s="36"/>
      <c r="P465" s="36"/>
      <c r="Q465" s="36"/>
      <c r="R465" s="30"/>
    </row>
    <row r="466" spans="1:18" s="4" customFormat="1" ht="12.75">
      <c r="A466" s="33"/>
      <c r="B466" s="32"/>
      <c r="C466" s="32"/>
      <c r="D466" s="33"/>
      <c r="O466" s="36"/>
      <c r="P466" s="36"/>
      <c r="Q466" s="36"/>
      <c r="R466" s="30"/>
    </row>
    <row r="467" spans="1:18" s="4" customFormat="1" ht="12.75">
      <c r="A467" s="33"/>
      <c r="B467" s="32"/>
      <c r="C467" s="32"/>
      <c r="D467" s="33"/>
      <c r="O467" s="36"/>
      <c r="P467" s="36"/>
      <c r="Q467" s="36"/>
      <c r="R467" s="30"/>
    </row>
    <row r="468" spans="1:18" s="4" customFormat="1" ht="12.75">
      <c r="A468" s="33"/>
      <c r="B468" s="32"/>
      <c r="C468" s="32"/>
      <c r="D468" s="33"/>
      <c r="O468" s="36"/>
      <c r="P468" s="36"/>
      <c r="Q468" s="36"/>
      <c r="R468" s="30"/>
    </row>
    <row r="469" spans="1:18" s="4" customFormat="1" ht="12.75">
      <c r="A469" s="33"/>
      <c r="B469" s="32"/>
      <c r="C469" s="32"/>
      <c r="D469" s="33"/>
      <c r="O469" s="36"/>
      <c r="P469" s="36"/>
      <c r="Q469" s="36"/>
      <c r="R469" s="30"/>
    </row>
    <row r="470" spans="1:18" s="4" customFormat="1" ht="12.75">
      <c r="A470" s="33"/>
      <c r="B470" s="32"/>
      <c r="C470" s="32"/>
      <c r="D470" s="33"/>
      <c r="O470" s="36"/>
      <c r="P470" s="36"/>
      <c r="Q470" s="36"/>
      <c r="R470" s="30"/>
    </row>
    <row r="471" spans="1:18" s="4" customFormat="1" ht="12.75">
      <c r="A471" s="33"/>
      <c r="B471" s="32"/>
      <c r="C471" s="32"/>
      <c r="D471" s="33"/>
      <c r="O471" s="36"/>
      <c r="P471" s="36"/>
      <c r="Q471" s="36"/>
      <c r="R471" s="30"/>
    </row>
    <row r="472" spans="1:18" s="4" customFormat="1" ht="12.75">
      <c r="A472" s="33"/>
      <c r="B472" s="32"/>
      <c r="C472" s="32"/>
      <c r="D472" s="33"/>
      <c r="O472" s="36"/>
      <c r="P472" s="36"/>
      <c r="Q472" s="36"/>
      <c r="R472" s="30"/>
    </row>
    <row r="473" spans="1:18" s="4" customFormat="1" ht="12.75">
      <c r="A473" s="33"/>
      <c r="B473" s="32"/>
      <c r="C473" s="32"/>
      <c r="D473" s="33"/>
      <c r="O473" s="36"/>
      <c r="P473" s="36"/>
      <c r="Q473" s="36"/>
      <c r="R473" s="30"/>
    </row>
    <row r="474" spans="1:18" s="4" customFormat="1" ht="12.75">
      <c r="A474" s="33"/>
      <c r="B474" s="32"/>
      <c r="C474" s="32"/>
      <c r="D474" s="33"/>
      <c r="O474" s="36"/>
      <c r="P474" s="36"/>
      <c r="Q474" s="36"/>
      <c r="R474" s="30"/>
    </row>
    <row r="475" spans="1:18" s="4" customFormat="1" ht="12.75">
      <c r="A475" s="33"/>
      <c r="B475" s="32"/>
      <c r="C475" s="32"/>
      <c r="D475" s="33"/>
      <c r="O475" s="36"/>
      <c r="P475" s="36"/>
      <c r="Q475" s="36"/>
      <c r="R475" s="30"/>
    </row>
    <row r="476" spans="1:18" s="4" customFormat="1" ht="12.75">
      <c r="A476" s="33"/>
      <c r="B476" s="32"/>
      <c r="C476" s="32"/>
      <c r="D476" s="33"/>
      <c r="O476" s="36"/>
      <c r="P476" s="36"/>
      <c r="Q476" s="36"/>
      <c r="R476" s="30"/>
    </row>
    <row r="477" spans="1:18" s="4" customFormat="1" ht="12.75">
      <c r="A477" s="33"/>
      <c r="B477" s="32"/>
      <c r="C477" s="32"/>
      <c r="D477" s="33"/>
      <c r="O477" s="36"/>
      <c r="P477" s="36"/>
      <c r="Q477" s="36"/>
      <c r="R477" s="30"/>
    </row>
    <row r="478" spans="1:18" s="4" customFormat="1" ht="12.75">
      <c r="A478" s="33"/>
      <c r="B478" s="32"/>
      <c r="C478" s="32"/>
      <c r="D478" s="33"/>
      <c r="O478" s="36"/>
      <c r="P478" s="36"/>
      <c r="Q478" s="36"/>
      <c r="R478" s="30"/>
    </row>
    <row r="479" spans="1:18" s="4" customFormat="1" ht="12.75">
      <c r="A479" s="33"/>
      <c r="B479" s="32"/>
      <c r="C479" s="32"/>
      <c r="D479" s="33"/>
      <c r="O479" s="36"/>
      <c r="P479" s="36"/>
      <c r="Q479" s="36"/>
      <c r="R479" s="30"/>
    </row>
    <row r="480" spans="1:18" s="4" customFormat="1" ht="12.75">
      <c r="A480" s="33"/>
      <c r="B480" s="32"/>
      <c r="C480" s="32"/>
      <c r="D480" s="33"/>
      <c r="O480" s="36"/>
      <c r="P480" s="36"/>
      <c r="Q480" s="36"/>
      <c r="R480" s="30"/>
    </row>
    <row r="481" spans="1:18" s="4" customFormat="1" ht="12.75">
      <c r="A481" s="33"/>
      <c r="B481" s="32"/>
      <c r="C481" s="32"/>
      <c r="D481" s="33"/>
      <c r="O481" s="36"/>
      <c r="P481" s="36"/>
      <c r="Q481" s="36"/>
      <c r="R481" s="30"/>
    </row>
    <row r="482" spans="1:18" s="4" customFormat="1" ht="12.75">
      <c r="A482" s="33"/>
      <c r="B482" s="32"/>
      <c r="C482" s="32"/>
      <c r="D482" s="33"/>
      <c r="O482" s="36"/>
      <c r="P482" s="36"/>
      <c r="Q482" s="36"/>
      <c r="R482" s="30"/>
    </row>
    <row r="483" spans="1:18" s="4" customFormat="1" ht="12.75">
      <c r="A483" s="33"/>
      <c r="B483" s="32"/>
      <c r="C483" s="32"/>
      <c r="D483" s="33"/>
      <c r="O483" s="36"/>
      <c r="P483" s="36"/>
      <c r="Q483" s="36"/>
      <c r="R483" s="30"/>
    </row>
    <row r="484" spans="1:18" s="4" customFormat="1" ht="12.75">
      <c r="A484" s="33"/>
      <c r="B484" s="32"/>
      <c r="C484" s="32"/>
      <c r="D484" s="33"/>
      <c r="O484" s="36"/>
      <c r="P484" s="36"/>
      <c r="Q484" s="36"/>
      <c r="R484" s="30"/>
    </row>
    <row r="485" spans="1:18" s="4" customFormat="1" ht="12.75">
      <c r="A485" s="33"/>
      <c r="B485" s="32"/>
      <c r="C485" s="32"/>
      <c r="D485" s="33"/>
      <c r="O485" s="36"/>
      <c r="P485" s="36"/>
      <c r="Q485" s="36"/>
      <c r="R485" s="30"/>
    </row>
    <row r="486" spans="1:18" s="4" customFormat="1" ht="12.75">
      <c r="A486" s="33"/>
      <c r="B486" s="32"/>
      <c r="C486" s="32"/>
      <c r="D486" s="33"/>
      <c r="O486" s="36"/>
      <c r="P486" s="36"/>
      <c r="Q486" s="36"/>
      <c r="R486" s="30"/>
    </row>
    <row r="487" spans="1:18">
      <c r="A487" s="33"/>
      <c r="B487" s="32"/>
      <c r="C487" s="32"/>
      <c r="D487" s="3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6"/>
      <c r="P487" s="36"/>
      <c r="Q487" s="36"/>
      <c r="R487" s="30"/>
    </row>
    <row r="488" spans="1:18">
      <c r="A488" s="33"/>
      <c r="B488" s="32"/>
      <c r="C488" s="32"/>
      <c r="D488" s="3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6"/>
      <c r="P488" s="36"/>
      <c r="Q488" s="36"/>
      <c r="R488" s="30"/>
    </row>
    <row r="489" spans="1:18">
      <c r="A489" s="33"/>
      <c r="B489" s="32"/>
      <c r="C489" s="32"/>
      <c r="D489" s="3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6"/>
      <c r="P489" s="36"/>
      <c r="Q489" s="36"/>
      <c r="R489" s="30"/>
    </row>
    <row r="490" spans="1:18">
      <c r="A490" s="33"/>
      <c r="B490" s="32"/>
      <c r="C490" s="32"/>
      <c r="D490" s="3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6"/>
      <c r="P490" s="36"/>
      <c r="Q490" s="36"/>
      <c r="R490" s="30"/>
    </row>
    <row r="491" spans="1:18">
      <c r="A491" s="33"/>
      <c r="B491" s="32"/>
      <c r="C491" s="32"/>
      <c r="D491" s="3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6"/>
      <c r="P491" s="36"/>
      <c r="Q491" s="36"/>
      <c r="R491" s="30"/>
    </row>
    <row r="492" spans="1:18">
      <c r="A492" s="33"/>
      <c r="B492" s="32"/>
      <c r="C492" s="32"/>
      <c r="D492" s="3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6"/>
      <c r="P492" s="36"/>
      <c r="Q492" s="36"/>
      <c r="R492" s="30"/>
    </row>
    <row r="493" spans="1:18">
      <c r="A493" s="33"/>
      <c r="B493" s="32"/>
      <c r="C493" s="32"/>
      <c r="D493" s="3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6"/>
      <c r="P493" s="36"/>
      <c r="Q493" s="36"/>
      <c r="R493" s="30"/>
    </row>
    <row r="494" spans="1:18">
      <c r="A494" s="33"/>
      <c r="B494" s="32"/>
      <c r="C494" s="32"/>
      <c r="D494" s="3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6"/>
      <c r="P494" s="36"/>
      <c r="Q494" s="36"/>
      <c r="R494" s="30"/>
    </row>
    <row r="495" spans="1:18">
      <c r="A495" s="33"/>
      <c r="B495" s="32"/>
      <c r="C495" s="32"/>
      <c r="D495" s="3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6"/>
      <c r="P495" s="36"/>
      <c r="Q495" s="36"/>
      <c r="R495" s="30"/>
    </row>
    <row r="496" spans="1:18">
      <c r="A496" s="33"/>
      <c r="B496" s="32"/>
      <c r="C496" s="32"/>
      <c r="D496" s="3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6"/>
      <c r="P496" s="36"/>
      <c r="Q496" s="36"/>
      <c r="R496" s="30"/>
    </row>
    <row r="497" spans="1:18">
      <c r="A497" s="33"/>
      <c r="B497" s="32"/>
      <c r="C497" s="32"/>
      <c r="D497" s="3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6"/>
      <c r="P497" s="36"/>
      <c r="Q497" s="36"/>
      <c r="R497" s="30"/>
    </row>
    <row r="498" spans="1:18">
      <c r="A498" s="33"/>
      <c r="B498" s="32"/>
      <c r="C498" s="32"/>
      <c r="D498" s="3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6"/>
      <c r="P498" s="36"/>
      <c r="Q498" s="36"/>
      <c r="R498" s="30"/>
    </row>
    <row r="499" spans="1:18">
      <c r="A499" s="33"/>
      <c r="B499" s="32"/>
      <c r="C499" s="32"/>
      <c r="D499" s="3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6"/>
      <c r="P499" s="36"/>
      <c r="Q499" s="36"/>
      <c r="R499" s="30"/>
    </row>
    <row r="500" spans="1:18">
      <c r="A500" s="33"/>
      <c r="B500" s="32"/>
      <c r="C500" s="32"/>
      <c r="D500" s="3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6"/>
      <c r="P500" s="36"/>
      <c r="Q500" s="36"/>
      <c r="R500" s="30"/>
    </row>
    <row r="501" spans="1:18">
      <c r="A501" s="33"/>
      <c r="B501" s="32"/>
      <c r="C501" s="32"/>
      <c r="D501" s="3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6"/>
      <c r="P501" s="36"/>
      <c r="Q501" s="36"/>
      <c r="R501" s="30"/>
    </row>
    <row r="502" spans="1:18">
      <c r="A502" s="33"/>
      <c r="B502" s="32"/>
      <c r="C502" s="32"/>
      <c r="D502" s="3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6"/>
      <c r="P502" s="36"/>
      <c r="Q502" s="36"/>
      <c r="R502" s="30"/>
    </row>
    <row r="503" spans="1:18">
      <c r="A503" s="33"/>
      <c r="B503" s="32"/>
      <c r="C503" s="32"/>
      <c r="D503" s="3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6"/>
      <c r="P503" s="36"/>
      <c r="Q503" s="36"/>
      <c r="R503" s="30"/>
    </row>
    <row r="504" spans="1:18">
      <c r="A504" s="33"/>
      <c r="B504" s="32"/>
      <c r="C504" s="32"/>
      <c r="D504" s="3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6"/>
      <c r="P504" s="36"/>
      <c r="Q504" s="36"/>
      <c r="R504" s="30"/>
    </row>
    <row r="505" spans="1:18">
      <c r="A505" s="33"/>
      <c r="B505" s="32"/>
      <c r="C505" s="32"/>
      <c r="D505" s="3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6"/>
      <c r="P505" s="36"/>
      <c r="Q505" s="36"/>
      <c r="R505" s="30"/>
    </row>
    <row r="506" spans="1:18">
      <c r="A506" s="33"/>
      <c r="B506" s="32"/>
      <c r="C506" s="32"/>
      <c r="D506" s="3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6"/>
      <c r="P506" s="36"/>
      <c r="Q506" s="36"/>
      <c r="R506" s="30"/>
    </row>
    <row r="507" spans="1:18">
      <c r="A507" s="33"/>
      <c r="B507" s="32"/>
      <c r="C507" s="32"/>
      <c r="D507" s="3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6"/>
      <c r="P507" s="36"/>
      <c r="Q507" s="36"/>
      <c r="R507" s="30"/>
    </row>
    <row r="508" spans="1:18">
      <c r="A508" s="33"/>
      <c r="B508" s="32"/>
      <c r="C508" s="32"/>
      <c r="D508" s="3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6"/>
      <c r="P508" s="36"/>
      <c r="Q508" s="36"/>
      <c r="R508" s="30"/>
    </row>
    <row r="509" spans="1:18">
      <c r="A509" s="33"/>
      <c r="B509" s="32"/>
      <c r="C509" s="32"/>
      <c r="D509" s="3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6"/>
      <c r="P509" s="36"/>
      <c r="Q509" s="36"/>
      <c r="R509" s="30"/>
    </row>
    <row r="510" spans="1:18">
      <c r="A510" s="33"/>
      <c r="B510" s="32"/>
      <c r="C510" s="32"/>
      <c r="D510" s="3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6"/>
      <c r="P510" s="36"/>
      <c r="Q510" s="36"/>
      <c r="R510" s="30"/>
    </row>
    <row r="511" spans="1:18">
      <c r="A511" s="33"/>
      <c r="B511" s="32"/>
      <c r="C511" s="32"/>
      <c r="D511" s="3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6"/>
      <c r="P511" s="36"/>
      <c r="Q511" s="36"/>
      <c r="R511" s="30"/>
    </row>
    <row r="512" spans="1:18">
      <c r="A512" s="33"/>
      <c r="B512" s="32"/>
      <c r="C512" s="32"/>
      <c r="D512" s="3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6"/>
      <c r="P512" s="36"/>
      <c r="Q512" s="36"/>
      <c r="R512" s="30"/>
    </row>
    <row r="513" spans="1:18">
      <c r="A513" s="33"/>
      <c r="B513" s="32"/>
      <c r="C513" s="32"/>
      <c r="D513" s="3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6"/>
      <c r="P513" s="36"/>
      <c r="Q513" s="36"/>
      <c r="R513" s="30"/>
    </row>
    <row r="514" spans="1:18">
      <c r="A514" s="33"/>
      <c r="B514" s="32"/>
      <c r="C514" s="32"/>
      <c r="D514" s="3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6"/>
      <c r="P514" s="36"/>
      <c r="Q514" s="36"/>
      <c r="R514" s="30"/>
    </row>
    <row r="515" spans="1:18">
      <c r="A515" s="33"/>
      <c r="B515" s="32"/>
      <c r="C515" s="32"/>
      <c r="D515" s="3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6"/>
      <c r="P515" s="36"/>
      <c r="Q515" s="36"/>
      <c r="R515" s="30"/>
    </row>
    <row r="516" spans="1:18">
      <c r="A516" s="33"/>
      <c r="B516" s="32"/>
      <c r="C516" s="32"/>
      <c r="D516" s="3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6"/>
      <c r="P516" s="36"/>
      <c r="Q516" s="36"/>
      <c r="R516" s="30"/>
    </row>
    <row r="517" spans="1:18">
      <c r="A517" s="33"/>
      <c r="B517" s="32"/>
      <c r="C517" s="32"/>
      <c r="D517" s="3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6"/>
      <c r="P517" s="36"/>
      <c r="Q517" s="36"/>
      <c r="R517" s="30"/>
    </row>
    <row r="518" spans="1:18">
      <c r="A518" s="33"/>
      <c r="B518" s="32"/>
      <c r="C518" s="32"/>
      <c r="D518" s="3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6"/>
      <c r="P518" s="36"/>
      <c r="Q518" s="36"/>
      <c r="R518" s="30"/>
    </row>
    <row r="519" spans="1:18">
      <c r="A519" s="33"/>
      <c r="B519" s="32"/>
      <c r="C519" s="32"/>
      <c r="D519" s="3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6"/>
      <c r="P519" s="36"/>
      <c r="Q519" s="36"/>
      <c r="R519" s="30"/>
    </row>
    <row r="520" spans="1:18">
      <c r="A520" s="33"/>
      <c r="B520" s="32"/>
      <c r="C520" s="32"/>
      <c r="D520" s="3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6"/>
      <c r="P520" s="36"/>
      <c r="Q520" s="36"/>
      <c r="R520" s="30"/>
    </row>
    <row r="521" spans="1:18">
      <c r="A521" s="33"/>
      <c r="B521" s="32"/>
      <c r="C521" s="32"/>
      <c r="D521" s="3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6"/>
      <c r="P521" s="36"/>
      <c r="Q521" s="36"/>
      <c r="R521" s="30"/>
    </row>
    <row r="522" spans="1:18">
      <c r="A522" s="33"/>
      <c r="B522" s="32"/>
      <c r="C522" s="32"/>
      <c r="D522" s="3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6"/>
      <c r="P522" s="36"/>
      <c r="Q522" s="36"/>
      <c r="R522" s="30"/>
    </row>
    <row r="523" spans="1:18">
      <c r="A523" s="33"/>
      <c r="B523" s="32"/>
      <c r="C523" s="32"/>
      <c r="D523" s="3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6"/>
      <c r="P523" s="36"/>
      <c r="Q523" s="36"/>
      <c r="R523" s="30"/>
    </row>
    <row r="524" spans="1:18">
      <c r="A524" s="33"/>
      <c r="B524" s="32"/>
      <c r="C524" s="32"/>
      <c r="D524" s="3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6"/>
      <c r="P524" s="36"/>
      <c r="Q524" s="36"/>
      <c r="R524" s="30"/>
    </row>
    <row r="525" spans="1:18">
      <c r="A525" s="33"/>
      <c r="B525" s="32"/>
      <c r="C525" s="32"/>
      <c r="D525" s="3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6"/>
      <c r="P525" s="36"/>
      <c r="Q525" s="36"/>
      <c r="R525" s="30"/>
    </row>
    <row r="526" spans="1:18">
      <c r="A526" s="33"/>
      <c r="B526" s="32"/>
      <c r="C526" s="32"/>
      <c r="D526" s="3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6"/>
      <c r="P526" s="36"/>
      <c r="Q526" s="36"/>
      <c r="R526" s="30"/>
    </row>
    <row r="527" spans="1:18">
      <c r="A527" s="33"/>
      <c r="B527" s="32"/>
      <c r="C527" s="32"/>
      <c r="D527" s="3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6"/>
      <c r="P527" s="36"/>
      <c r="Q527" s="36"/>
      <c r="R527" s="30"/>
    </row>
    <row r="528" spans="1:18">
      <c r="A528" s="33"/>
      <c r="B528" s="32"/>
      <c r="C528" s="32"/>
      <c r="D528" s="3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6"/>
      <c r="P528" s="36"/>
      <c r="Q528" s="36"/>
      <c r="R528" s="30"/>
    </row>
    <row r="529" spans="1:18">
      <c r="A529" s="33"/>
      <c r="B529" s="32"/>
      <c r="C529" s="32"/>
      <c r="D529" s="3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6"/>
      <c r="P529" s="36"/>
      <c r="Q529" s="36"/>
      <c r="R529" s="30"/>
    </row>
    <row r="530" spans="1:18">
      <c r="A530" s="33"/>
      <c r="B530" s="32"/>
      <c r="C530" s="32"/>
      <c r="D530" s="3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6"/>
      <c r="P530" s="36"/>
      <c r="Q530" s="36"/>
      <c r="R530" s="30"/>
    </row>
    <row r="531" spans="1:18">
      <c r="A531" s="33"/>
      <c r="B531" s="32"/>
      <c r="C531" s="32"/>
      <c r="D531" s="3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6"/>
      <c r="P531" s="36"/>
      <c r="Q531" s="36"/>
      <c r="R531" s="30"/>
    </row>
    <row r="532" spans="1:18">
      <c r="A532" s="33"/>
      <c r="B532" s="32"/>
      <c r="C532" s="32"/>
      <c r="D532" s="3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6"/>
      <c r="P532" s="36"/>
      <c r="Q532" s="36"/>
      <c r="R532" s="30"/>
    </row>
    <row r="533" spans="1:18">
      <c r="A533" s="33"/>
      <c r="B533" s="32"/>
      <c r="C533" s="32"/>
      <c r="D533" s="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6"/>
      <c r="P533" s="36"/>
      <c r="Q533" s="36"/>
      <c r="R533" s="30"/>
    </row>
    <row r="534" spans="1:18">
      <c r="A534" s="33"/>
      <c r="B534" s="32"/>
      <c r="C534" s="32"/>
      <c r="D534" s="3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6"/>
      <c r="P534" s="36"/>
      <c r="Q534" s="36"/>
      <c r="R534" s="30"/>
    </row>
    <row r="535" spans="1:18">
      <c r="A535" s="33"/>
      <c r="B535" s="32"/>
      <c r="C535" s="32"/>
      <c r="D535" s="3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6"/>
      <c r="P535" s="36"/>
      <c r="Q535" s="36"/>
      <c r="R535" s="30"/>
    </row>
    <row r="536" spans="1:18">
      <c r="A536" s="33"/>
      <c r="B536" s="32"/>
      <c r="C536" s="32"/>
      <c r="D536" s="3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6"/>
      <c r="P536" s="36"/>
      <c r="Q536" s="36"/>
      <c r="R536" s="30"/>
    </row>
    <row r="537" spans="1:18">
      <c r="A537" s="33"/>
      <c r="B537" s="32"/>
      <c r="C537" s="32"/>
      <c r="D537" s="3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6"/>
      <c r="P537" s="36"/>
      <c r="Q537" s="36"/>
      <c r="R537" s="30"/>
    </row>
    <row r="538" spans="1:18">
      <c r="A538" s="33"/>
      <c r="B538" s="32"/>
      <c r="C538" s="32"/>
      <c r="D538" s="3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6"/>
      <c r="P538" s="36"/>
      <c r="Q538" s="36"/>
      <c r="R538" s="30"/>
    </row>
    <row r="539" spans="1:18">
      <c r="A539" s="33"/>
      <c r="B539" s="32"/>
      <c r="C539" s="32"/>
      <c r="D539" s="3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6"/>
      <c r="P539" s="36"/>
      <c r="Q539" s="36"/>
      <c r="R539" s="30"/>
    </row>
    <row r="540" spans="1:18">
      <c r="A540" s="33"/>
      <c r="B540" s="32"/>
      <c r="C540" s="32"/>
      <c r="D540" s="3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6"/>
      <c r="P540" s="36"/>
      <c r="Q540" s="36"/>
      <c r="R540" s="30"/>
    </row>
    <row r="541" spans="1:18">
      <c r="A541" s="33"/>
      <c r="B541" s="32"/>
      <c r="C541" s="32"/>
      <c r="D541" s="3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6"/>
      <c r="P541" s="36"/>
      <c r="Q541" s="36"/>
      <c r="R541" s="30"/>
    </row>
    <row r="542" spans="1:18">
      <c r="A542" s="33"/>
      <c r="B542" s="32"/>
      <c r="C542" s="32"/>
      <c r="D542" s="3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6"/>
      <c r="P542" s="36"/>
      <c r="Q542" s="36"/>
      <c r="R542" s="30"/>
    </row>
    <row r="543" spans="1:18">
      <c r="A543" s="33"/>
      <c r="B543" s="32"/>
      <c r="C543" s="32"/>
      <c r="D543" s="3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6"/>
      <c r="P543" s="36"/>
      <c r="Q543" s="36"/>
      <c r="R543" s="30"/>
    </row>
    <row r="544" spans="1:18">
      <c r="A544" s="33"/>
      <c r="B544" s="32"/>
      <c r="C544" s="32"/>
      <c r="D544" s="3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6"/>
      <c r="P544" s="36"/>
      <c r="Q544" s="36"/>
      <c r="R544" s="30"/>
    </row>
    <row r="545" spans="1:18">
      <c r="A545" s="33"/>
      <c r="B545" s="32"/>
      <c r="C545" s="32"/>
      <c r="D545" s="3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6"/>
      <c r="P545" s="36"/>
      <c r="Q545" s="36"/>
      <c r="R545" s="30"/>
    </row>
    <row r="546" spans="1:18">
      <c r="A546" s="33"/>
      <c r="B546" s="32"/>
      <c r="C546" s="32"/>
      <c r="D546" s="3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6"/>
      <c r="P546" s="36"/>
      <c r="Q546" s="36"/>
      <c r="R546" s="30"/>
    </row>
    <row r="547" spans="1:18">
      <c r="A547" s="33"/>
      <c r="B547" s="32"/>
      <c r="C547" s="32"/>
      <c r="D547" s="3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6"/>
      <c r="P547" s="36"/>
    </row>
    <row r="548" spans="1:18">
      <c r="A548" s="33"/>
      <c r="B548" s="32"/>
      <c r="C548" s="32"/>
      <c r="D548" s="3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6"/>
      <c r="P548" s="36"/>
    </row>
    <row r="549" spans="1:18">
      <c r="A549" s="33"/>
      <c r="B549" s="32"/>
      <c r="C549" s="32"/>
      <c r="D549" s="3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6"/>
      <c r="P549" s="36"/>
    </row>
    <row r="550" spans="1:18">
      <c r="A550" s="33"/>
      <c r="B550" s="32"/>
      <c r="C550" s="32"/>
      <c r="D550" s="3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6"/>
      <c r="P550" s="36"/>
    </row>
    <row r="551" spans="1:18">
      <c r="A551" s="33"/>
      <c r="B551" s="32"/>
      <c r="C551" s="32"/>
      <c r="D551" s="3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6"/>
      <c r="P551" s="36"/>
    </row>
    <row r="552" spans="1:18">
      <c r="A552" s="33"/>
      <c r="B552" s="32"/>
      <c r="C552" s="32"/>
      <c r="D552" s="3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6"/>
      <c r="P552" s="36"/>
    </row>
    <row r="553" spans="1:18">
      <c r="A553" s="33"/>
      <c r="B553" s="32"/>
      <c r="C553" s="32"/>
      <c r="D553" s="3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6"/>
      <c r="P553" s="36"/>
    </row>
    <row r="554" spans="1:18">
      <c r="A554" s="33"/>
      <c r="B554" s="32"/>
      <c r="C554" s="32"/>
      <c r="D554" s="3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6"/>
      <c r="P554" s="36"/>
    </row>
    <row r="555" spans="1:18">
      <c r="A555" s="33"/>
      <c r="B555" s="32"/>
      <c r="C555" s="32"/>
      <c r="D555" s="3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6"/>
      <c r="P555" s="36"/>
    </row>
    <row r="556" spans="1:18">
      <c r="A556" s="33"/>
      <c r="B556" s="32"/>
      <c r="C556" s="32"/>
      <c r="D556" s="3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6"/>
      <c r="P556" s="36"/>
    </row>
    <row r="557" spans="1:18">
      <c r="A557" s="33"/>
      <c r="B557" s="32"/>
      <c r="C557" s="32"/>
      <c r="D557" s="3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6"/>
      <c r="P557" s="36"/>
    </row>
    <row r="558" spans="1:18">
      <c r="A558" s="33"/>
      <c r="B558" s="32"/>
      <c r="C558" s="32"/>
      <c r="D558" s="3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6"/>
      <c r="P558" s="36"/>
    </row>
    <row r="559" spans="1:18">
      <c r="A559" s="33"/>
      <c r="B559" s="32"/>
      <c r="C559" s="32"/>
      <c r="D559" s="3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6"/>
      <c r="P559" s="36"/>
    </row>
    <row r="560" spans="1:18">
      <c r="A560" s="33"/>
      <c r="B560" s="32"/>
      <c r="C560" s="32"/>
      <c r="D560" s="3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6"/>
      <c r="P560" s="36"/>
    </row>
    <row r="561" spans="1:16">
      <c r="A561" s="33"/>
      <c r="B561" s="32"/>
      <c r="C561" s="32"/>
      <c r="D561" s="3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6"/>
      <c r="P561" s="36"/>
    </row>
    <row r="562" spans="1:16">
      <c r="A562" s="33"/>
      <c r="B562" s="32"/>
      <c r="C562" s="32"/>
      <c r="D562" s="3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6"/>
      <c r="P562" s="36"/>
    </row>
    <row r="563" spans="1:16">
      <c r="A563" s="33"/>
      <c r="B563" s="32"/>
      <c r="C563" s="32"/>
      <c r="D563" s="3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6"/>
      <c r="P563" s="36"/>
    </row>
    <row r="564" spans="1:16">
      <c r="A564" s="33"/>
      <c r="B564" s="32"/>
      <c r="C564" s="32"/>
      <c r="D564" s="3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6"/>
      <c r="P564" s="36"/>
    </row>
    <row r="565" spans="1:16">
      <c r="A565" s="33"/>
      <c r="B565" s="32"/>
      <c r="C565" s="32"/>
      <c r="D565" s="3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6"/>
      <c r="P565" s="36"/>
    </row>
    <row r="566" spans="1:16">
      <c r="A566" s="33"/>
      <c r="B566" s="32"/>
      <c r="C566" s="32"/>
      <c r="D566" s="3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6"/>
      <c r="P566" s="36"/>
    </row>
    <row r="567" spans="1:16">
      <c r="A567" s="33"/>
      <c r="B567" s="32"/>
      <c r="C567" s="32"/>
      <c r="D567" s="3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6"/>
      <c r="P567" s="36"/>
    </row>
    <row r="568" spans="1:16">
      <c r="A568" s="33"/>
      <c r="B568" s="32"/>
      <c r="C568" s="32"/>
      <c r="D568" s="3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6"/>
      <c r="P568" s="36"/>
    </row>
    <row r="569" spans="1:16">
      <c r="A569" s="33"/>
      <c r="B569" s="32"/>
      <c r="C569" s="32"/>
      <c r="D569" s="3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6"/>
      <c r="P569" s="36"/>
    </row>
    <row r="570" spans="1:16">
      <c r="A570" s="33"/>
      <c r="B570" s="32"/>
      <c r="C570" s="32"/>
      <c r="D570" s="3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6"/>
      <c r="P570" s="36"/>
    </row>
    <row r="571" spans="1:16">
      <c r="A571" s="33"/>
      <c r="B571" s="32"/>
      <c r="C571" s="32"/>
      <c r="D571" s="3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6"/>
      <c r="P571" s="36"/>
    </row>
    <row r="572" spans="1:16">
      <c r="A572" s="33"/>
      <c r="B572" s="32"/>
      <c r="C572" s="32"/>
      <c r="D572" s="3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6"/>
      <c r="P572" s="36"/>
    </row>
    <row r="573" spans="1:16">
      <c r="A573" s="33"/>
      <c r="B573" s="32"/>
      <c r="C573" s="32"/>
      <c r="D573" s="3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6"/>
      <c r="P573" s="36"/>
    </row>
    <row r="574" spans="1:16">
      <c r="A574" s="33"/>
      <c r="B574" s="32"/>
      <c r="C574" s="32"/>
      <c r="D574" s="3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6"/>
      <c r="P574" s="36"/>
    </row>
    <row r="575" spans="1:16">
      <c r="A575" s="33"/>
      <c r="B575" s="32"/>
      <c r="C575" s="32"/>
      <c r="D575" s="3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6"/>
      <c r="P575" s="36"/>
    </row>
    <row r="576" spans="1:16">
      <c r="A576" s="33"/>
      <c r="B576" s="32"/>
      <c r="C576" s="32"/>
      <c r="D576" s="3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6"/>
      <c r="P576" s="36"/>
    </row>
    <row r="577" spans="1:16">
      <c r="A577" s="33"/>
      <c r="B577" s="32"/>
      <c r="C577" s="32"/>
      <c r="D577" s="3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6"/>
      <c r="P577" s="36"/>
    </row>
    <row r="578" spans="1:16">
      <c r="A578" s="33"/>
      <c r="B578" s="32"/>
      <c r="C578" s="32"/>
      <c r="D578" s="3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6"/>
      <c r="P578" s="36"/>
    </row>
    <row r="579" spans="1:16">
      <c r="A579" s="33"/>
      <c r="B579" s="32"/>
      <c r="C579" s="32"/>
      <c r="D579" s="3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6"/>
      <c r="P579" s="36"/>
    </row>
    <row r="580" spans="1:16">
      <c r="A580" s="33"/>
      <c r="B580" s="32"/>
      <c r="C580" s="32"/>
      <c r="D580" s="3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6"/>
      <c r="P580" s="36"/>
    </row>
    <row r="581" spans="1:16">
      <c r="A581" s="33"/>
      <c r="B581" s="32"/>
      <c r="C581" s="32"/>
      <c r="D581" s="3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6"/>
      <c r="P581" s="36"/>
    </row>
    <row r="582" spans="1:16">
      <c r="A582" s="33"/>
      <c r="B582" s="32"/>
      <c r="C582" s="32"/>
      <c r="D582" s="3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6"/>
      <c r="P582" s="36"/>
    </row>
    <row r="583" spans="1:16">
      <c r="A583" s="33"/>
      <c r="B583" s="32"/>
      <c r="C583" s="32"/>
      <c r="D583" s="3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6"/>
      <c r="P583" s="36"/>
    </row>
    <row r="584" spans="1:16">
      <c r="A584" s="33"/>
      <c r="B584" s="32"/>
      <c r="C584" s="32"/>
      <c r="D584" s="3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6"/>
      <c r="P584" s="36"/>
    </row>
    <row r="585" spans="1:16">
      <c r="A585" s="33"/>
      <c r="B585" s="32"/>
      <c r="C585" s="32"/>
      <c r="D585" s="3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6"/>
      <c r="P585" s="36"/>
    </row>
    <row r="586" spans="1:16">
      <c r="A586" s="33"/>
      <c r="B586" s="32"/>
      <c r="C586" s="32"/>
      <c r="D586" s="3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6"/>
      <c r="P586" s="36"/>
    </row>
    <row r="587" spans="1:16">
      <c r="A587" s="33"/>
      <c r="B587" s="32"/>
      <c r="C587" s="32"/>
      <c r="D587" s="3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6"/>
      <c r="P587" s="36"/>
    </row>
    <row r="588" spans="1:16">
      <c r="A588" s="33"/>
      <c r="B588" s="32"/>
      <c r="C588" s="32"/>
      <c r="D588" s="3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6"/>
      <c r="P588" s="36"/>
    </row>
    <row r="589" spans="1:16">
      <c r="A589" s="33"/>
      <c r="B589" s="32"/>
      <c r="C589" s="32"/>
      <c r="D589" s="3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6"/>
      <c r="P589" s="36"/>
    </row>
    <row r="590" spans="1:16">
      <c r="A590" s="33"/>
      <c r="B590" s="32"/>
      <c r="C590" s="32"/>
      <c r="D590" s="3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6"/>
      <c r="P590" s="36"/>
    </row>
    <row r="591" spans="1:16">
      <c r="A591" s="33"/>
      <c r="B591" s="32"/>
      <c r="C591" s="32"/>
      <c r="D591" s="3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6"/>
      <c r="P591" s="36"/>
    </row>
    <row r="592" spans="1:16">
      <c r="A592" s="33"/>
      <c r="B592" s="32"/>
      <c r="C592" s="32"/>
      <c r="D592" s="3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6"/>
      <c r="P592" s="36"/>
    </row>
    <row r="593" spans="1:16">
      <c r="A593" s="33"/>
      <c r="B593" s="32"/>
      <c r="C593" s="32"/>
      <c r="D593" s="3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6"/>
      <c r="P593" s="36"/>
    </row>
    <row r="594" spans="1:16">
      <c r="A594" s="33"/>
      <c r="B594" s="32"/>
      <c r="C594" s="32"/>
      <c r="D594" s="3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6"/>
      <c r="P594" s="36"/>
    </row>
    <row r="595" spans="1:16">
      <c r="A595" s="33"/>
      <c r="B595" s="32"/>
      <c r="C595" s="32"/>
      <c r="D595" s="3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6"/>
      <c r="P595" s="36"/>
    </row>
    <row r="596" spans="1:16">
      <c r="A596" s="33"/>
      <c r="B596" s="32"/>
      <c r="C596" s="32"/>
      <c r="D596" s="3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6"/>
      <c r="P596" s="36"/>
    </row>
    <row r="597" spans="1:16">
      <c r="A597" s="33"/>
      <c r="B597" s="32"/>
      <c r="C597" s="32"/>
      <c r="D597" s="3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6"/>
      <c r="P597" s="36"/>
    </row>
    <row r="598" spans="1:16">
      <c r="A598" s="33"/>
      <c r="B598" s="32"/>
      <c r="C598" s="32"/>
      <c r="D598" s="3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6"/>
      <c r="P598" s="36"/>
    </row>
    <row r="599" spans="1:16">
      <c r="A599" s="33"/>
      <c r="B599" s="32"/>
      <c r="C599" s="32"/>
      <c r="D599" s="3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6"/>
      <c r="P599" s="36"/>
    </row>
    <row r="600" spans="1:16">
      <c r="A600" s="33"/>
      <c r="B600" s="32"/>
      <c r="C600" s="32"/>
      <c r="D600" s="3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6"/>
      <c r="P600" s="36"/>
    </row>
    <row r="601" spans="1:16">
      <c r="A601" s="33"/>
      <c r="B601" s="32"/>
      <c r="C601" s="32"/>
      <c r="D601" s="3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6"/>
      <c r="P601" s="36"/>
    </row>
    <row r="602" spans="1:16">
      <c r="A602" s="33"/>
      <c r="B602" s="32"/>
      <c r="C602" s="32"/>
      <c r="D602" s="3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6"/>
      <c r="P602" s="36"/>
    </row>
    <row r="603" spans="1:16">
      <c r="A603" s="33"/>
      <c r="B603" s="32"/>
      <c r="C603" s="32"/>
      <c r="D603" s="3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6"/>
      <c r="P603" s="36"/>
    </row>
    <row r="604" spans="1:16">
      <c r="A604" s="33"/>
      <c r="B604" s="32"/>
      <c r="C604" s="32"/>
      <c r="D604" s="3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6"/>
      <c r="P604" s="36"/>
    </row>
    <row r="605" spans="1:16">
      <c r="A605" s="33"/>
      <c r="B605" s="32"/>
      <c r="C605" s="32"/>
      <c r="D605" s="3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6"/>
      <c r="P605" s="36"/>
    </row>
    <row r="606" spans="1:16">
      <c r="A606" s="33"/>
      <c r="B606" s="32"/>
      <c r="C606" s="32"/>
      <c r="D606" s="3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6"/>
      <c r="P606" s="36"/>
    </row>
    <row r="607" spans="1:16">
      <c r="A607" s="33"/>
      <c r="B607" s="32"/>
      <c r="C607" s="32"/>
      <c r="D607" s="3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6"/>
    </row>
    <row r="608" spans="1:16">
      <c r="A608" s="33"/>
      <c r="B608" s="32"/>
      <c r="C608" s="32"/>
      <c r="D608" s="3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6"/>
    </row>
    <row r="609" spans="1:15">
      <c r="A609" s="33"/>
      <c r="B609" s="32"/>
      <c r="C609" s="32"/>
      <c r="D609" s="3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6"/>
    </row>
    <row r="610" spans="1:15">
      <c r="A610" s="33"/>
      <c r="B610" s="32"/>
      <c r="C610" s="32"/>
      <c r="D610" s="3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6"/>
    </row>
    <row r="611" spans="1:15">
      <c r="A611" s="33"/>
      <c r="B611" s="32"/>
      <c r="C611" s="32"/>
      <c r="D611" s="3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6"/>
    </row>
    <row r="612" spans="1:15">
      <c r="A612" s="33"/>
      <c r="B612" s="32"/>
      <c r="C612" s="32"/>
      <c r="D612" s="3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6"/>
    </row>
    <row r="613" spans="1:15">
      <c r="A613" s="33"/>
      <c r="B613" s="32"/>
      <c r="C613" s="32"/>
      <c r="D613" s="3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6"/>
    </row>
    <row r="614" spans="1:15">
      <c r="A614" s="33"/>
      <c r="B614" s="32"/>
      <c r="C614" s="32"/>
      <c r="D614" s="3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6"/>
    </row>
    <row r="615" spans="1:15">
      <c r="A615" s="33"/>
      <c r="B615" s="32"/>
      <c r="C615" s="32"/>
      <c r="D615" s="3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6"/>
    </row>
    <row r="616" spans="1:15">
      <c r="A616" s="33"/>
      <c r="B616" s="32"/>
      <c r="C616" s="32"/>
      <c r="D616" s="3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6"/>
    </row>
    <row r="617" spans="1:15">
      <c r="A617" s="33"/>
      <c r="B617" s="32"/>
      <c r="C617" s="32"/>
      <c r="D617" s="3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6"/>
    </row>
    <row r="618" spans="1:15">
      <c r="A618" s="33"/>
      <c r="B618" s="32"/>
      <c r="C618" s="32"/>
      <c r="D618" s="3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6"/>
    </row>
    <row r="619" spans="1:15">
      <c r="A619" s="33"/>
      <c r="B619" s="32"/>
      <c r="C619" s="32"/>
      <c r="D619" s="3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6"/>
    </row>
    <row r="620" spans="1:15">
      <c r="A620" s="33"/>
      <c r="B620" s="32"/>
      <c r="C620" s="32"/>
      <c r="D620" s="3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6"/>
    </row>
    <row r="621" spans="1:15">
      <c r="A621" s="33"/>
      <c r="B621" s="32"/>
      <c r="C621" s="32"/>
      <c r="D621" s="3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6"/>
    </row>
    <row r="622" spans="1:15">
      <c r="A622" s="33"/>
      <c r="B622" s="32"/>
      <c r="C622" s="32"/>
      <c r="D622" s="3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6"/>
    </row>
    <row r="623" spans="1:15">
      <c r="A623" s="33"/>
      <c r="B623" s="32"/>
      <c r="C623" s="32"/>
      <c r="D623" s="3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6"/>
    </row>
    <row r="624" spans="1:15">
      <c r="A624" s="33"/>
      <c r="B624" s="32"/>
      <c r="C624" s="32"/>
      <c r="D624" s="3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6"/>
    </row>
    <row r="625" spans="1:15">
      <c r="A625" s="33"/>
      <c r="B625" s="32"/>
      <c r="C625" s="32"/>
      <c r="D625" s="3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6"/>
    </row>
    <row r="626" spans="1:15">
      <c r="A626" s="33"/>
      <c r="B626" s="32"/>
      <c r="C626" s="32"/>
      <c r="D626" s="3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6"/>
    </row>
    <row r="627" spans="1:15">
      <c r="A627" s="33"/>
      <c r="B627" s="32"/>
      <c r="C627" s="32"/>
      <c r="D627" s="3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6"/>
    </row>
    <row r="628" spans="1:15">
      <c r="A628" s="33"/>
      <c r="B628" s="32"/>
      <c r="C628" s="32"/>
      <c r="D628" s="3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6"/>
    </row>
    <row r="629" spans="1:15">
      <c r="A629" s="33"/>
      <c r="B629" s="32"/>
      <c r="C629" s="32"/>
      <c r="D629" s="3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6"/>
    </row>
    <row r="630" spans="1:15">
      <c r="A630" s="33"/>
      <c r="B630" s="32"/>
      <c r="C630" s="32"/>
      <c r="D630" s="3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6"/>
    </row>
    <row r="631" spans="1:15">
      <c r="A631" s="33"/>
      <c r="B631" s="32"/>
      <c r="C631" s="32"/>
      <c r="D631" s="3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6"/>
    </row>
    <row r="632" spans="1:15">
      <c r="A632" s="33"/>
      <c r="B632" s="32"/>
      <c r="C632" s="32"/>
      <c r="D632" s="3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6"/>
    </row>
    <row r="633" spans="1:15">
      <c r="A633" s="33"/>
      <c r="B633" s="32"/>
      <c r="C633" s="32"/>
      <c r="D633" s="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6"/>
    </row>
    <row r="634" spans="1:15">
      <c r="A634" s="33"/>
      <c r="B634" s="32"/>
      <c r="C634" s="32"/>
      <c r="D634" s="3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6"/>
    </row>
    <row r="635" spans="1:15">
      <c r="A635" s="33"/>
      <c r="B635" s="32"/>
      <c r="C635" s="32"/>
      <c r="D635" s="3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6"/>
    </row>
    <row r="636" spans="1:15">
      <c r="A636" s="33"/>
      <c r="B636" s="32"/>
      <c r="C636" s="32"/>
      <c r="D636" s="3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6"/>
    </row>
    <row r="637" spans="1:15">
      <c r="A637" s="33"/>
      <c r="B637" s="32"/>
      <c r="C637" s="32"/>
      <c r="D637" s="3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6"/>
    </row>
    <row r="638" spans="1:15">
      <c r="A638" s="33"/>
      <c r="B638" s="32"/>
      <c r="C638" s="32"/>
      <c r="D638" s="3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6"/>
    </row>
    <row r="639" spans="1:15">
      <c r="A639" s="33"/>
      <c r="B639" s="32"/>
      <c r="C639" s="32"/>
      <c r="D639" s="3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6"/>
    </row>
    <row r="640" spans="1:15">
      <c r="A640" s="33"/>
      <c r="B640" s="32"/>
      <c r="C640" s="32"/>
      <c r="D640" s="3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6"/>
    </row>
    <row r="641" spans="1:15">
      <c r="A641" s="33"/>
      <c r="B641" s="32"/>
      <c r="C641" s="32"/>
      <c r="D641" s="3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6"/>
    </row>
    <row r="642" spans="1:15">
      <c r="A642" s="33"/>
      <c r="B642" s="32"/>
      <c r="C642" s="32"/>
      <c r="D642" s="3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6"/>
    </row>
    <row r="643" spans="1:15">
      <c r="A643" s="33"/>
      <c r="B643" s="32"/>
      <c r="C643" s="32"/>
      <c r="D643" s="3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6"/>
    </row>
    <row r="644" spans="1:15">
      <c r="A644" s="33"/>
      <c r="B644" s="32"/>
      <c r="C644" s="32"/>
      <c r="D644" s="3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6"/>
    </row>
    <row r="645" spans="1:15">
      <c r="A645" s="33"/>
      <c r="B645" s="32"/>
      <c r="C645" s="32"/>
      <c r="D645" s="3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6"/>
    </row>
    <row r="646" spans="1:15">
      <c r="A646" s="33"/>
      <c r="B646" s="32"/>
      <c r="C646" s="32"/>
      <c r="D646" s="3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6"/>
    </row>
    <row r="647" spans="1:15">
      <c r="A647" s="33"/>
      <c r="B647" s="32"/>
      <c r="C647" s="32"/>
      <c r="D647" s="3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6"/>
    </row>
    <row r="648" spans="1:15">
      <c r="A648" s="33"/>
      <c r="B648" s="32"/>
      <c r="C648" s="32"/>
      <c r="D648" s="3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6"/>
    </row>
    <row r="649" spans="1:15">
      <c r="A649" s="33"/>
      <c r="B649" s="32"/>
      <c r="C649" s="32"/>
      <c r="D649" s="3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6"/>
    </row>
    <row r="650" spans="1:15">
      <c r="A650" s="33"/>
      <c r="B650" s="32"/>
      <c r="C650" s="32"/>
      <c r="D650" s="3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6"/>
    </row>
    <row r="651" spans="1:15">
      <c r="A651" s="33"/>
      <c r="B651" s="32"/>
      <c r="C651" s="32"/>
      <c r="D651" s="3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6"/>
    </row>
    <row r="652" spans="1:15">
      <c r="A652" s="33"/>
      <c r="B652" s="32"/>
      <c r="C652" s="32"/>
      <c r="D652" s="3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6"/>
    </row>
    <row r="653" spans="1:15">
      <c r="A653" s="33"/>
      <c r="B653" s="32"/>
      <c r="C653" s="32"/>
      <c r="D653" s="3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6"/>
    </row>
    <row r="654" spans="1:15">
      <c r="A654" s="33"/>
      <c r="B654" s="32"/>
      <c r="C654" s="32"/>
      <c r="D654" s="3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6"/>
    </row>
    <row r="655" spans="1:15">
      <c r="A655" s="33"/>
      <c r="B655" s="32"/>
      <c r="C655" s="32"/>
      <c r="D655" s="3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6"/>
    </row>
    <row r="656" spans="1:15">
      <c r="A656" s="33"/>
      <c r="B656" s="32"/>
      <c r="C656" s="32"/>
      <c r="D656" s="3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6"/>
    </row>
    <row r="657" spans="1:15">
      <c r="A657" s="33"/>
      <c r="B657" s="32"/>
      <c r="C657" s="32"/>
      <c r="D657" s="3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6"/>
    </row>
    <row r="658" spans="1:15">
      <c r="A658" s="33"/>
      <c r="B658" s="32"/>
      <c r="C658" s="32"/>
      <c r="D658" s="3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6"/>
    </row>
    <row r="659" spans="1:15">
      <c r="A659" s="33"/>
      <c r="B659" s="32"/>
      <c r="C659" s="32"/>
      <c r="D659" s="3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6"/>
    </row>
    <row r="660" spans="1:15">
      <c r="A660" s="33"/>
      <c r="B660" s="32"/>
      <c r="C660" s="32"/>
      <c r="D660" s="3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6"/>
    </row>
    <row r="661" spans="1:15">
      <c r="A661" s="33"/>
      <c r="B661" s="32"/>
      <c r="C661" s="32"/>
      <c r="D661" s="3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6"/>
    </row>
    <row r="662" spans="1:15">
      <c r="A662" s="33"/>
      <c r="B662" s="32"/>
      <c r="C662" s="32"/>
      <c r="D662" s="3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6"/>
    </row>
    <row r="663" spans="1:15">
      <c r="A663" s="33"/>
      <c r="B663" s="32"/>
      <c r="C663" s="32"/>
      <c r="D663" s="3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6"/>
    </row>
    <row r="664" spans="1:15">
      <c r="A664" s="33"/>
      <c r="B664" s="32"/>
      <c r="C664" s="32"/>
      <c r="D664" s="3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6"/>
    </row>
    <row r="665" spans="1:15">
      <c r="A665" s="33"/>
      <c r="B665" s="32"/>
      <c r="C665" s="32"/>
      <c r="D665" s="3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6"/>
    </row>
    <row r="666" spans="1:15">
      <c r="A666" s="33"/>
      <c r="B666" s="32"/>
      <c r="C666" s="32"/>
      <c r="D666" s="3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6"/>
    </row>
    <row r="667" spans="1:15">
      <c r="A667" s="33"/>
      <c r="B667" s="32"/>
      <c r="C667" s="32"/>
      <c r="D667" s="3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36"/>
    </row>
    <row r="668" spans="1:15">
      <c r="A668" s="33"/>
      <c r="B668" s="32"/>
      <c r="C668" s="32"/>
      <c r="D668" s="3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36"/>
    </row>
    <row r="669" spans="1:15">
      <c r="A669" s="33"/>
      <c r="B669" s="32"/>
      <c r="C669" s="32"/>
      <c r="D669" s="3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36"/>
    </row>
    <row r="670" spans="1:15">
      <c r="A670" s="33"/>
      <c r="B670" s="32"/>
      <c r="C670" s="32"/>
      <c r="D670" s="3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36"/>
    </row>
    <row r="671" spans="1:15">
      <c r="A671" s="33"/>
      <c r="B671" s="32"/>
      <c r="C671" s="32"/>
      <c r="D671" s="3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36"/>
    </row>
    <row r="672" spans="1:15">
      <c r="A672" s="33"/>
      <c r="B672" s="32"/>
      <c r="C672" s="32"/>
      <c r="D672" s="3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36"/>
    </row>
    <row r="673" spans="1:15">
      <c r="A673" s="33"/>
      <c r="B673" s="32"/>
      <c r="C673" s="32"/>
      <c r="D673" s="3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36"/>
    </row>
    <row r="674" spans="1:15">
      <c r="A674" s="33"/>
      <c r="B674" s="32"/>
      <c r="C674" s="32"/>
      <c r="D674" s="3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36"/>
    </row>
    <row r="675" spans="1:15">
      <c r="A675" s="33"/>
      <c r="B675" s="32"/>
      <c r="C675" s="32"/>
      <c r="D675" s="3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36"/>
    </row>
    <row r="676" spans="1:15">
      <c r="A676" s="33"/>
      <c r="B676" s="32"/>
      <c r="C676" s="32"/>
      <c r="D676" s="3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36"/>
    </row>
    <row r="677" spans="1:15">
      <c r="A677" s="33"/>
      <c r="B677" s="32"/>
      <c r="C677" s="32"/>
      <c r="D677" s="3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36"/>
    </row>
    <row r="678" spans="1:15">
      <c r="A678" s="33"/>
      <c r="B678" s="32"/>
      <c r="C678" s="32"/>
      <c r="D678" s="3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36"/>
    </row>
    <row r="679" spans="1:15">
      <c r="A679" s="33"/>
      <c r="B679" s="32"/>
      <c r="C679" s="32"/>
      <c r="D679" s="3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36"/>
    </row>
    <row r="680" spans="1:15">
      <c r="A680" s="33"/>
      <c r="B680" s="32"/>
      <c r="C680" s="32"/>
      <c r="D680" s="3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36"/>
    </row>
    <row r="681" spans="1:15">
      <c r="A681" s="33"/>
      <c r="B681" s="32"/>
      <c r="C681" s="32"/>
      <c r="D681" s="3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36"/>
    </row>
    <row r="682" spans="1:15">
      <c r="A682" s="33"/>
      <c r="B682" s="32"/>
      <c r="C682" s="32"/>
      <c r="D682" s="3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36"/>
    </row>
    <row r="683" spans="1:15">
      <c r="A683" s="33"/>
      <c r="B683" s="32"/>
      <c r="C683" s="32"/>
      <c r="D683" s="3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36"/>
    </row>
    <row r="684" spans="1:15">
      <c r="A684" s="33"/>
      <c r="B684" s="32"/>
      <c r="C684" s="32"/>
      <c r="D684" s="3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36"/>
    </row>
    <row r="685" spans="1:15">
      <c r="A685" s="33"/>
    </row>
    <row r="686" spans="1:15">
      <c r="A686" s="33"/>
    </row>
    <row r="687" spans="1:15">
      <c r="A687" s="33"/>
    </row>
    <row r="688" spans="1:15">
      <c r="A688" s="33"/>
    </row>
  </sheetData>
  <mergeCells count="97">
    <mergeCell ref="N2:O2"/>
    <mergeCell ref="E3:L3"/>
    <mergeCell ref="N3:N4"/>
    <mergeCell ref="M3:M4"/>
    <mergeCell ref="C55:C58"/>
    <mergeCell ref="N34:N35"/>
    <mergeCell ref="B55:B58"/>
    <mergeCell ref="A60:A63"/>
    <mergeCell ref="A34:A35"/>
    <mergeCell ref="B34:B35"/>
    <mergeCell ref="B60:B63"/>
    <mergeCell ref="C60:C63"/>
    <mergeCell ref="A1:O1"/>
    <mergeCell ref="A3:A4"/>
    <mergeCell ref="B3:B4"/>
    <mergeCell ref="C3:C4"/>
    <mergeCell ref="D3:D4"/>
    <mergeCell ref="A66:O66"/>
    <mergeCell ref="A55:A58"/>
    <mergeCell ref="C34:C35"/>
    <mergeCell ref="D34:D35"/>
    <mergeCell ref="E34:L34"/>
    <mergeCell ref="C105:C106"/>
    <mergeCell ref="D105:D106"/>
    <mergeCell ref="E68:L68"/>
    <mergeCell ref="N68:N69"/>
    <mergeCell ref="A68:A69"/>
    <mergeCell ref="B68:B69"/>
    <mergeCell ref="C68:C69"/>
    <mergeCell ref="D68:D69"/>
    <mergeCell ref="A183:A184"/>
    <mergeCell ref="B183:B184"/>
    <mergeCell ref="C183:C184"/>
    <mergeCell ref="N105:N106"/>
    <mergeCell ref="B105:B106"/>
    <mergeCell ref="A131:A136"/>
    <mergeCell ref="B131:B136"/>
    <mergeCell ref="C131:C136"/>
    <mergeCell ref="E105:L105"/>
    <mergeCell ref="A105:A106"/>
    <mergeCell ref="A138:A143"/>
    <mergeCell ref="B138:B143"/>
    <mergeCell ref="C138:C143"/>
    <mergeCell ref="A216:A221"/>
    <mergeCell ref="B216:B221"/>
    <mergeCell ref="C216:C221"/>
    <mergeCell ref="A145:O145"/>
    <mergeCell ref="A147:A148"/>
    <mergeCell ref="B147:B148"/>
    <mergeCell ref="C147:C148"/>
    <mergeCell ref="A223:O223"/>
    <mergeCell ref="N183:N184"/>
    <mergeCell ref="N147:N148"/>
    <mergeCell ref="E147:L147"/>
    <mergeCell ref="A209:A214"/>
    <mergeCell ref="B209:B214"/>
    <mergeCell ref="C209:C214"/>
    <mergeCell ref="D183:D184"/>
    <mergeCell ref="D147:D148"/>
    <mergeCell ref="E183:L183"/>
    <mergeCell ref="E225:L225"/>
    <mergeCell ref="N225:N226"/>
    <mergeCell ref="E262:L262"/>
    <mergeCell ref="N262:N263"/>
    <mergeCell ref="C262:C263"/>
    <mergeCell ref="D262:D263"/>
    <mergeCell ref="C225:C226"/>
    <mergeCell ref="D225:D226"/>
    <mergeCell ref="C288:C293"/>
    <mergeCell ref="A295:A300"/>
    <mergeCell ref="B295:B300"/>
    <mergeCell ref="C295:C300"/>
    <mergeCell ref="A225:A226"/>
    <mergeCell ref="B225:B226"/>
    <mergeCell ref="A288:A293"/>
    <mergeCell ref="B288:B293"/>
    <mergeCell ref="A262:A263"/>
    <mergeCell ref="B262:B263"/>
    <mergeCell ref="D333:D334"/>
    <mergeCell ref="A302:O302"/>
    <mergeCell ref="A304:A305"/>
    <mergeCell ref="B304:B305"/>
    <mergeCell ref="C304:C305"/>
    <mergeCell ref="D304:D305"/>
    <mergeCell ref="E304:L304"/>
    <mergeCell ref="N304:N305"/>
    <mergeCell ref="N333:N334"/>
    <mergeCell ref="A362:A365"/>
    <mergeCell ref="B362:B365"/>
    <mergeCell ref="C362:C365"/>
    <mergeCell ref="E333:L333"/>
    <mergeCell ref="A357:A360"/>
    <mergeCell ref="B357:B360"/>
    <mergeCell ref="C357:C360"/>
    <mergeCell ref="A333:A334"/>
    <mergeCell ref="B333:B334"/>
    <mergeCell ref="C333:C334"/>
  </mergeCells>
  <phoneticPr fontId="43" type="noConversion"/>
  <printOptions horizontalCentered="1"/>
  <pageMargins left="0.55118110236220497" right="0.55118110236220497" top="0.59055118110236204" bottom="0.59055118110236204" header="0.31496062992126" footer="0.39370078740157499"/>
  <pageSetup paperSize="9" scale="85" firstPageNumber="81" orientation="landscape" useFirstPageNumber="1" r:id="rId1"/>
  <headerFooter alignWithMargins="0">
    <oddHeader xml:space="preserve">&amp;R&amp;"Times New Roman,Regular"&amp;UĐơn giá tổng hợp sản phẩm đo đạc chỉnh lý bản đồ địa chính - Khu vực đô thị
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678"/>
  <sheetViews>
    <sheetView zoomScale="80" zoomScaleNormal="80" workbookViewId="0">
      <selection activeCell="H301" sqref="H301"/>
    </sheetView>
  </sheetViews>
  <sheetFormatPr defaultRowHeight="16.5"/>
  <cols>
    <col min="1" max="1" width="5.6640625" style="34" customWidth="1"/>
    <col min="2" max="2" width="27.5546875" style="15" customWidth="1"/>
    <col min="3" max="3" width="5.77734375" style="15" customWidth="1"/>
    <col min="4" max="4" width="6.77734375" style="34" customWidth="1"/>
    <col min="5" max="5" width="9.88671875" customWidth="1"/>
    <col min="6" max="6" width="8.77734375" customWidth="1"/>
    <col min="7" max="7" width="9.77734375" hidden="1" customWidth="1"/>
    <col min="8" max="9" width="9" customWidth="1"/>
    <col min="10" max="10" width="7.88671875" customWidth="1"/>
    <col min="11" max="11" width="8.5546875" customWidth="1"/>
    <col min="12" max="12" width="11.44140625" customWidth="1"/>
    <col min="13" max="13" width="11.21875" customWidth="1"/>
    <col min="14" max="14" width="11.44140625" customWidth="1"/>
    <col min="15" max="15" width="9.21875" style="35" customWidth="1"/>
    <col min="16" max="17" width="9.33203125" style="35" hidden="1" customWidth="1"/>
    <col min="18" max="18" width="9.21875" style="29" hidden="1" customWidth="1"/>
    <col min="19" max="20" width="0" hidden="1" customWidth="1"/>
  </cols>
  <sheetData>
    <row r="1" spans="1:18" s="4" customFormat="1" ht="29.25" customHeight="1">
      <c r="A1" s="976" t="s">
        <v>523</v>
      </c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477" t="s">
        <v>417</v>
      </c>
      <c r="Q1" s="478">
        <v>0</v>
      </c>
      <c r="R1" s="63"/>
    </row>
    <row r="2" spans="1:18" s="4" customFormat="1" ht="15.75" customHeight="1">
      <c r="A2" s="67"/>
      <c r="B2" s="68"/>
      <c r="C2" s="69"/>
      <c r="D2" s="70"/>
      <c r="E2" s="71"/>
      <c r="F2" s="71"/>
      <c r="G2" s="71"/>
      <c r="H2" s="71"/>
      <c r="I2" s="71"/>
      <c r="J2" s="71"/>
      <c r="K2" s="71"/>
      <c r="L2" s="71"/>
      <c r="M2" s="72"/>
      <c r="N2" s="977" t="s">
        <v>428</v>
      </c>
      <c r="O2" s="977"/>
      <c r="P2" s="52"/>
      <c r="Q2" s="52"/>
      <c r="R2" s="63"/>
    </row>
    <row r="3" spans="1:18" s="4" customFormat="1" ht="19.5" customHeight="1">
      <c r="A3" s="970" t="s">
        <v>376</v>
      </c>
      <c r="B3" s="972" t="s">
        <v>377</v>
      </c>
      <c r="C3" s="974" t="s">
        <v>378</v>
      </c>
      <c r="D3" s="970" t="s">
        <v>91</v>
      </c>
      <c r="E3" s="964" t="s">
        <v>368</v>
      </c>
      <c r="F3" s="965"/>
      <c r="G3" s="965"/>
      <c r="H3" s="965"/>
      <c r="I3" s="965"/>
      <c r="J3" s="965"/>
      <c r="K3" s="965"/>
      <c r="L3" s="966"/>
      <c r="M3" s="974" t="s">
        <v>427</v>
      </c>
      <c r="N3" s="974" t="s">
        <v>379</v>
      </c>
      <c r="O3" s="684" t="s">
        <v>18</v>
      </c>
      <c r="P3" s="785" t="s">
        <v>19</v>
      </c>
      <c r="Q3" s="57" t="s">
        <v>19</v>
      </c>
      <c r="R3" s="58" t="s">
        <v>16</v>
      </c>
    </row>
    <row r="4" spans="1:18" s="4" customFormat="1" ht="20.25" customHeight="1">
      <c r="A4" s="971"/>
      <c r="B4" s="973"/>
      <c r="C4" s="975"/>
      <c r="D4" s="971"/>
      <c r="E4" s="327" t="s">
        <v>369</v>
      </c>
      <c r="F4" s="326" t="s">
        <v>370</v>
      </c>
      <c r="G4" s="328">
        <v>0</v>
      </c>
      <c r="H4" s="326" t="s">
        <v>257</v>
      </c>
      <c r="I4" s="326" t="s">
        <v>280</v>
      </c>
      <c r="J4" s="326" t="s">
        <v>261</v>
      </c>
      <c r="K4" s="326" t="s">
        <v>371</v>
      </c>
      <c r="L4" s="326" t="s">
        <v>372</v>
      </c>
      <c r="M4" s="975"/>
      <c r="N4" s="975"/>
      <c r="O4" s="685" t="s">
        <v>20</v>
      </c>
      <c r="P4" s="786" t="s">
        <v>21</v>
      </c>
      <c r="Q4" s="59" t="s">
        <v>22</v>
      </c>
      <c r="R4" s="60" t="s">
        <v>17</v>
      </c>
    </row>
    <row r="5" spans="1:18" s="4" customFormat="1" ht="17.25" customHeight="1">
      <c r="A5" s="329" t="s">
        <v>52</v>
      </c>
      <c r="B5" s="330" t="s">
        <v>53</v>
      </c>
      <c r="C5" s="330" t="s">
        <v>54</v>
      </c>
      <c r="D5" s="331" t="s">
        <v>55</v>
      </c>
      <c r="E5" s="332" t="s">
        <v>56</v>
      </c>
      <c r="F5" s="332" t="s">
        <v>57</v>
      </c>
      <c r="G5" s="332"/>
      <c r="H5" s="332" t="s">
        <v>58</v>
      </c>
      <c r="I5" s="332" t="s">
        <v>59</v>
      </c>
      <c r="J5" s="332" t="s">
        <v>60</v>
      </c>
      <c r="K5" s="332" t="s">
        <v>61</v>
      </c>
      <c r="L5" s="333" t="s">
        <v>373</v>
      </c>
      <c r="M5" s="333" t="s">
        <v>374</v>
      </c>
      <c r="N5" s="334" t="s">
        <v>375</v>
      </c>
      <c r="O5" s="332" t="s">
        <v>62</v>
      </c>
      <c r="P5" s="48"/>
      <c r="Q5" s="48"/>
      <c r="R5" s="49"/>
    </row>
    <row r="6" spans="1:18" s="4" customFormat="1" ht="23.25" customHeight="1">
      <c r="A6" s="335" t="s">
        <v>3</v>
      </c>
      <c r="B6" s="336" t="s">
        <v>380</v>
      </c>
      <c r="C6" s="337"/>
      <c r="D6" s="344"/>
      <c r="E6" s="345"/>
      <c r="F6" s="345"/>
      <c r="G6" s="345"/>
      <c r="H6" s="345"/>
      <c r="I6" s="345"/>
      <c r="J6" s="345"/>
      <c r="K6" s="345"/>
      <c r="L6" s="346"/>
      <c r="M6" s="346"/>
      <c r="N6" s="345"/>
      <c r="O6" s="347"/>
      <c r="P6" s="407"/>
      <c r="Q6" s="408"/>
      <c r="R6" s="409"/>
    </row>
    <row r="7" spans="1:18" s="4" customFormat="1" ht="21" customHeight="1">
      <c r="A7" s="315" t="s">
        <v>9</v>
      </c>
      <c r="B7" s="314" t="s">
        <v>73</v>
      </c>
      <c r="C7" s="318" t="s">
        <v>1</v>
      </c>
      <c r="D7" s="351">
        <v>1</v>
      </c>
      <c r="E7" s="352" t="e">
        <f>'NC-CLBD'!G5</f>
        <v>#VALUE!</v>
      </c>
      <c r="F7" s="353"/>
      <c r="G7" s="353">
        <f>$Q$1*10*P7</f>
        <v>0</v>
      </c>
      <c r="H7" s="353">
        <f>'DCu-CLBD'!H23</f>
        <v>17246.653846153848</v>
      </c>
      <c r="I7" s="353">
        <v>75060</v>
      </c>
      <c r="J7" s="353"/>
      <c r="K7" s="353"/>
      <c r="L7" s="348" t="e">
        <f>SUM(E7:K7)</f>
        <v>#VALUE!</v>
      </c>
      <c r="M7" s="348" t="e">
        <f>L7*'He so chung'!$D$16/100</f>
        <v>#VALUE!</v>
      </c>
      <c r="N7" s="349" t="e">
        <f>M7+L7</f>
        <v>#VALUE!</v>
      </c>
      <c r="O7" s="354">
        <f>'He so chung'!$D$18*R7</f>
        <v>39427.884615384617</v>
      </c>
      <c r="P7" s="354">
        <v>29500</v>
      </c>
      <c r="Q7" s="411">
        <v>7375</v>
      </c>
      <c r="R7" s="412">
        <v>5.9</v>
      </c>
    </row>
    <row r="8" spans="1:18" s="4" customFormat="1" ht="21" customHeight="1">
      <c r="A8" s="314"/>
      <c r="B8" s="187"/>
      <c r="C8" s="318"/>
      <c r="D8" s="351">
        <v>2</v>
      </c>
      <c r="E8" s="352" t="e">
        <f>'NC-CLBD'!G7</f>
        <v>#VALUE!</v>
      </c>
      <c r="F8" s="353"/>
      <c r="G8" s="353">
        <f>$Q$1*10*P8</f>
        <v>0</v>
      </c>
      <c r="H8" s="353">
        <f>'DCu-CLBD'!H24</f>
        <v>21558.317307692309</v>
      </c>
      <c r="I8" s="353">
        <v>75060</v>
      </c>
      <c r="J8" s="353"/>
      <c r="K8" s="353"/>
      <c r="L8" s="348" t="e">
        <f>SUM(E8:K8)</f>
        <v>#VALUE!</v>
      </c>
      <c r="M8" s="348" t="e">
        <f>L8*'He so chung'!$D$16/100</f>
        <v>#VALUE!</v>
      </c>
      <c r="N8" s="349" t="e">
        <f>M8+L8</f>
        <v>#VALUE!</v>
      </c>
      <c r="O8" s="354">
        <f>'He so chung'!$D$18*R8</f>
        <v>51189.423076923078</v>
      </c>
      <c r="P8" s="354">
        <v>38300</v>
      </c>
      <c r="Q8" s="411">
        <v>9575</v>
      </c>
      <c r="R8" s="412">
        <v>7.66</v>
      </c>
    </row>
    <row r="9" spans="1:18" s="4" customFormat="1" ht="21" customHeight="1">
      <c r="A9" s="315"/>
      <c r="B9" s="314"/>
      <c r="C9" s="318"/>
      <c r="D9" s="351">
        <v>3</v>
      </c>
      <c r="E9" s="352" t="e">
        <f>'NC-CLBD'!G9</f>
        <v>#VALUE!</v>
      </c>
      <c r="F9" s="353"/>
      <c r="G9" s="353">
        <f>$Q$1*10*P9</f>
        <v>0</v>
      </c>
      <c r="H9" s="353">
        <f>'DCu-CLBD'!H25</f>
        <v>28744.423076923078</v>
      </c>
      <c r="I9" s="353">
        <v>75060</v>
      </c>
      <c r="J9" s="353"/>
      <c r="K9" s="353"/>
      <c r="L9" s="348" t="e">
        <f>SUM(E9:K9)</f>
        <v>#VALUE!</v>
      </c>
      <c r="M9" s="348" t="e">
        <f>L9*'He so chung'!$D$16/100</f>
        <v>#VALUE!</v>
      </c>
      <c r="N9" s="349" t="e">
        <f>M9+L9</f>
        <v>#VALUE!</v>
      </c>
      <c r="O9" s="354">
        <f>'He so chung'!$D$18*R9</f>
        <v>66559.61538461539</v>
      </c>
      <c r="P9" s="354">
        <v>49800.000000000007</v>
      </c>
      <c r="Q9" s="411">
        <v>12450.000000000002</v>
      </c>
      <c r="R9" s="412">
        <v>9.9600000000000009</v>
      </c>
    </row>
    <row r="10" spans="1:18" s="4" customFormat="1" ht="21" customHeight="1">
      <c r="A10" s="315"/>
      <c r="B10" s="314"/>
      <c r="C10" s="318"/>
      <c r="D10" s="351">
        <v>4</v>
      </c>
      <c r="E10" s="352" t="e">
        <f>'NC-CLBD'!G11</f>
        <v>#VALUE!</v>
      </c>
      <c r="F10" s="353"/>
      <c r="G10" s="353">
        <f>$Q$1*10*P10</f>
        <v>0</v>
      </c>
      <c r="H10" s="353">
        <f>'DCu-CLBD'!H26</f>
        <v>34493.307692307695</v>
      </c>
      <c r="I10" s="353">
        <v>75060</v>
      </c>
      <c r="J10" s="353"/>
      <c r="K10" s="353"/>
      <c r="L10" s="348" t="e">
        <f>SUM(E10:K10)</f>
        <v>#VALUE!</v>
      </c>
      <c r="M10" s="348" t="e">
        <f>L10*'He so chung'!$D$16/100</f>
        <v>#VALUE!</v>
      </c>
      <c r="N10" s="349" t="e">
        <f>M10+L10</f>
        <v>#VALUE!</v>
      </c>
      <c r="O10" s="354">
        <f>'He so chung'!$D$18*R10</f>
        <v>86474.038461538454</v>
      </c>
      <c r="P10" s="354">
        <v>64700</v>
      </c>
      <c r="Q10" s="411">
        <v>16175</v>
      </c>
      <c r="R10" s="412">
        <v>12.94</v>
      </c>
    </row>
    <row r="11" spans="1:18" s="4" customFormat="1" ht="18" customHeight="1">
      <c r="A11" s="315"/>
      <c r="B11" s="314"/>
      <c r="C11" s="338"/>
      <c r="D11" s="351"/>
      <c r="E11" s="352"/>
      <c r="F11" s="353"/>
      <c r="G11" s="353"/>
      <c r="H11" s="353"/>
      <c r="I11" s="353"/>
      <c r="J11" s="353"/>
      <c r="K11" s="353"/>
      <c r="L11" s="348"/>
      <c r="M11" s="348">
        <f>L11*'He so chung'!$D$16/100</f>
        <v>0</v>
      </c>
      <c r="N11" s="349"/>
      <c r="O11" s="354">
        <f>'He so chung'!$D$18*R11</f>
        <v>0</v>
      </c>
      <c r="P11" s="354"/>
      <c r="Q11" s="411"/>
      <c r="R11" s="412"/>
    </row>
    <row r="12" spans="1:18" s="4" customFormat="1" ht="21" customHeight="1">
      <c r="A12" s="315" t="s">
        <v>10</v>
      </c>
      <c r="B12" s="314" t="s">
        <v>381</v>
      </c>
      <c r="C12" s="318" t="s">
        <v>278</v>
      </c>
      <c r="D12" s="351">
        <v>1</v>
      </c>
      <c r="E12" s="352" t="e">
        <f>'NC-CLBD'!G17/100</f>
        <v>#VALUE!</v>
      </c>
      <c r="F12" s="353"/>
      <c r="G12" s="353">
        <f>$Q$1*10*P12</f>
        <v>0</v>
      </c>
      <c r="H12" s="353">
        <f>'DCu-CLBD'!H67</f>
        <v>167.19897115384614</v>
      </c>
      <c r="I12" s="353">
        <v>84.871800000000007</v>
      </c>
      <c r="J12" s="353">
        <v>710</v>
      </c>
      <c r="K12" s="353">
        <v>5.4390000000000001</v>
      </c>
      <c r="L12" s="348" t="e">
        <f>SUM(E12:K12)</f>
        <v>#VALUE!</v>
      </c>
      <c r="M12" s="348" t="e">
        <f>L12*'He so chung'!$D$16/100</f>
        <v>#VALUE!</v>
      </c>
      <c r="N12" s="349" t="e">
        <f>M12+L12</f>
        <v>#VALUE!</v>
      </c>
      <c r="O12" s="354">
        <f>'He so chung'!$D$18*R12</f>
        <v>644.87980769230774</v>
      </c>
      <c r="P12" s="354">
        <v>482.5</v>
      </c>
      <c r="Q12" s="411">
        <v>120.625</v>
      </c>
      <c r="R12" s="412">
        <v>9.6500000000000002E-2</v>
      </c>
    </row>
    <row r="13" spans="1:18" s="4" customFormat="1" ht="21" customHeight="1">
      <c r="A13" s="314"/>
      <c r="B13" s="187"/>
      <c r="C13" s="318"/>
      <c r="D13" s="351">
        <v>2</v>
      </c>
      <c r="E13" s="352" t="e">
        <f>'NC-CLBD'!G19/100</f>
        <v>#VALUE!</v>
      </c>
      <c r="F13" s="353"/>
      <c r="G13" s="353">
        <f>$Q$1*10*P13</f>
        <v>0</v>
      </c>
      <c r="H13" s="353">
        <f>'DCu-CLBD'!H68</f>
        <v>208.99871394230769</v>
      </c>
      <c r="I13" s="353">
        <v>84.871800000000007</v>
      </c>
      <c r="J13" s="353">
        <v>887.16</v>
      </c>
      <c r="K13" s="353">
        <v>6.8376000000000001</v>
      </c>
      <c r="L13" s="348" t="e">
        <f>SUM(E13:K13)</f>
        <v>#VALUE!</v>
      </c>
      <c r="M13" s="348" t="e">
        <f>L13*'He so chung'!$D$16/100</f>
        <v>#VALUE!</v>
      </c>
      <c r="N13" s="349" t="e">
        <f>M13+L13</f>
        <v>#VALUE!</v>
      </c>
      <c r="O13" s="354">
        <f>'He so chung'!$D$18*R13</f>
        <v>808.60576923076917</v>
      </c>
      <c r="P13" s="354">
        <v>605</v>
      </c>
      <c r="Q13" s="411">
        <v>151.25</v>
      </c>
      <c r="R13" s="412">
        <v>0.121</v>
      </c>
    </row>
    <row r="14" spans="1:18" s="4" customFormat="1" ht="21" customHeight="1">
      <c r="A14" s="315"/>
      <c r="B14" s="314"/>
      <c r="C14" s="318"/>
      <c r="D14" s="351">
        <v>3</v>
      </c>
      <c r="E14" s="352" t="e">
        <f>'NC-CLBD'!G21/100</f>
        <v>#VALUE!</v>
      </c>
      <c r="F14" s="353"/>
      <c r="G14" s="353">
        <f>$Q$1*10*P14</f>
        <v>0</v>
      </c>
      <c r="H14" s="353">
        <f>'DCu-CLBD'!H69</f>
        <v>278.6649519230769</v>
      </c>
      <c r="I14" s="353">
        <v>84.871800000000007</v>
      </c>
      <c r="J14" s="353">
        <v>1180.28</v>
      </c>
      <c r="K14" s="353">
        <v>8.7024000000000008</v>
      </c>
      <c r="L14" s="348" t="e">
        <f>SUM(E14:K14)</f>
        <v>#VALUE!</v>
      </c>
      <c r="M14" s="348" t="e">
        <f>L14*'He so chung'!$D$16/100</f>
        <v>#VALUE!</v>
      </c>
      <c r="N14" s="349" t="e">
        <f>M14+L14</f>
        <v>#VALUE!</v>
      </c>
      <c r="O14" s="354">
        <f>'He so chung'!$D$18*R14</f>
        <v>1075.9134615384617</v>
      </c>
      <c r="P14" s="354">
        <v>805</v>
      </c>
      <c r="Q14" s="411">
        <v>201.25</v>
      </c>
      <c r="R14" s="412">
        <v>0.161</v>
      </c>
    </row>
    <row r="15" spans="1:18" s="4" customFormat="1" ht="21" customHeight="1">
      <c r="A15" s="315"/>
      <c r="B15" s="314"/>
      <c r="C15" s="318"/>
      <c r="D15" s="351">
        <v>4</v>
      </c>
      <c r="E15" s="352" t="e">
        <f>'NC-CLBD'!G23/100</f>
        <v>#VALUE!</v>
      </c>
      <c r="F15" s="353"/>
      <c r="G15" s="353">
        <f>$Q$1*10*P15</f>
        <v>0</v>
      </c>
      <c r="H15" s="353">
        <f>'DCu-CLBD'!H70</f>
        <v>334.39794230769229</v>
      </c>
      <c r="I15" s="353">
        <v>84.871800000000007</v>
      </c>
      <c r="J15" s="353">
        <v>1418.72</v>
      </c>
      <c r="K15" s="353">
        <v>10.5672</v>
      </c>
      <c r="L15" s="348" t="e">
        <f>SUM(E15:K15)</f>
        <v>#VALUE!</v>
      </c>
      <c r="M15" s="348" t="e">
        <f>L15*'He so chung'!$D$16/100</f>
        <v>#VALUE!</v>
      </c>
      <c r="N15" s="349" t="e">
        <f>M15+L15</f>
        <v>#VALUE!</v>
      </c>
      <c r="O15" s="354">
        <f>'He so chung'!$D$18*R15</f>
        <v>1289.7596153846155</v>
      </c>
      <c r="P15" s="354">
        <v>965</v>
      </c>
      <c r="Q15" s="411">
        <v>241.25</v>
      </c>
      <c r="R15" s="412">
        <v>0.193</v>
      </c>
    </row>
    <row r="16" spans="1:18" s="4" customFormat="1" ht="17.25" customHeight="1">
      <c r="A16" s="315"/>
      <c r="B16" s="314"/>
      <c r="C16" s="338"/>
      <c r="D16" s="351"/>
      <c r="E16" s="352"/>
      <c r="F16" s="353"/>
      <c r="G16" s="353"/>
      <c r="H16" s="353"/>
      <c r="I16" s="353"/>
      <c r="J16" s="353"/>
      <c r="K16" s="353"/>
      <c r="L16" s="348"/>
      <c r="M16" s="348">
        <f>L16*'He so chung'!$D$16/100</f>
        <v>0</v>
      </c>
      <c r="N16" s="349"/>
      <c r="O16" s="354">
        <f>'He so chung'!$D$18*R16</f>
        <v>0</v>
      </c>
      <c r="P16" s="354"/>
      <c r="Q16" s="411"/>
      <c r="R16" s="412"/>
    </row>
    <row r="17" spans="1:18" s="4" customFormat="1" ht="21" customHeight="1">
      <c r="A17" s="315" t="s">
        <v>11</v>
      </c>
      <c r="B17" s="314" t="s">
        <v>77</v>
      </c>
      <c r="C17" s="318" t="s">
        <v>278</v>
      </c>
      <c r="D17" s="351">
        <v>1</v>
      </c>
      <c r="E17" s="352" t="e">
        <f>'NC-CLBD'!G28/100</f>
        <v>#VALUE!</v>
      </c>
      <c r="F17" s="353">
        <f>'NC-CLBD'!G29/100</f>
        <v>21890.1</v>
      </c>
      <c r="G17" s="353">
        <f>$Q$1*10*P17</f>
        <v>0</v>
      </c>
      <c r="H17" s="353">
        <v>1970.4463221153846</v>
      </c>
      <c r="I17" s="353">
        <v>1697.4360000000001</v>
      </c>
      <c r="J17" s="353">
        <v>9651.1200000000008</v>
      </c>
      <c r="K17" s="353">
        <v>54.39</v>
      </c>
      <c r="L17" s="348" t="e">
        <f>SUM(E17:K17)</f>
        <v>#VALUE!</v>
      </c>
      <c r="M17" s="348" t="e">
        <f>L17*'He so chung'!$D$16/100</f>
        <v>#VALUE!</v>
      </c>
      <c r="N17" s="349" t="e">
        <f>M17+L17</f>
        <v>#VALUE!</v>
      </c>
      <c r="O17" s="354">
        <f>'He so chung'!$D$18*R17</f>
        <v>7985.8173076923076</v>
      </c>
      <c r="P17" s="354">
        <v>5975</v>
      </c>
      <c r="Q17" s="411">
        <v>1493.75</v>
      </c>
      <c r="R17" s="412">
        <v>1.1950000000000001</v>
      </c>
    </row>
    <row r="18" spans="1:18" s="4" customFormat="1" ht="21" customHeight="1">
      <c r="A18" s="315"/>
      <c r="B18" s="314"/>
      <c r="C18" s="318"/>
      <c r="D18" s="351">
        <v>2</v>
      </c>
      <c r="E18" s="352" t="e">
        <f>'NC-CLBD'!G32/100</f>
        <v>#VALUE!</v>
      </c>
      <c r="F18" s="353">
        <v>27682.799999999999</v>
      </c>
      <c r="G18" s="353">
        <f>$Q$1*10*P18</f>
        <v>0</v>
      </c>
      <c r="H18" s="353">
        <v>2463.057902644231</v>
      </c>
      <c r="I18" s="353">
        <v>1697.4360000000001</v>
      </c>
      <c r="J18" s="353">
        <v>12059.96</v>
      </c>
      <c r="K18" s="353">
        <v>68.376000000000005</v>
      </c>
      <c r="L18" s="348" t="e">
        <f>SUM(E18:K18)</f>
        <v>#VALUE!</v>
      </c>
      <c r="M18" s="348" t="e">
        <f>L18*'He so chung'!$D$16/100</f>
        <v>#VALUE!</v>
      </c>
      <c r="N18" s="349" t="e">
        <f>M18+L18</f>
        <v>#VALUE!</v>
      </c>
      <c r="O18" s="354">
        <f>'He so chung'!$D$18*R18</f>
        <v>9582.9807692307695</v>
      </c>
      <c r="P18" s="354">
        <v>7170.0000000000009</v>
      </c>
      <c r="Q18" s="411">
        <v>1792.5000000000002</v>
      </c>
      <c r="R18" s="412">
        <v>1.4340000000000002</v>
      </c>
    </row>
    <row r="19" spans="1:18" s="4" customFormat="1" ht="21" customHeight="1">
      <c r="A19" s="315"/>
      <c r="B19" s="314"/>
      <c r="C19" s="318"/>
      <c r="D19" s="351">
        <v>3</v>
      </c>
      <c r="E19" s="352" t="e">
        <f>'NC-CLBD'!G36/100</f>
        <v>#VALUE!</v>
      </c>
      <c r="F19" s="353">
        <v>33216.6</v>
      </c>
      <c r="G19" s="353">
        <f>$Q$1*10*P19</f>
        <v>0</v>
      </c>
      <c r="H19" s="353">
        <v>3284.0772035256414</v>
      </c>
      <c r="I19" s="353">
        <v>1697.4360000000001</v>
      </c>
      <c r="J19" s="353">
        <v>16084.6</v>
      </c>
      <c r="K19" s="353">
        <v>91.686000000000007</v>
      </c>
      <c r="L19" s="348" t="e">
        <f>SUM(E19:K19)</f>
        <v>#VALUE!</v>
      </c>
      <c r="M19" s="348" t="e">
        <f>L19*'He so chung'!$D$16/100</f>
        <v>#VALUE!</v>
      </c>
      <c r="N19" s="349" t="e">
        <f>M19+L19</f>
        <v>#VALUE!</v>
      </c>
      <c r="O19" s="354">
        <f>'He so chung'!$D$18*R19</f>
        <v>11500.913461538463</v>
      </c>
      <c r="P19" s="354">
        <v>8605.0000000000018</v>
      </c>
      <c r="Q19" s="411">
        <v>2151.2500000000005</v>
      </c>
      <c r="R19" s="412">
        <v>1.7210000000000003</v>
      </c>
    </row>
    <row r="20" spans="1:18" s="4" customFormat="1" ht="21" customHeight="1">
      <c r="A20" s="315"/>
      <c r="B20" s="314"/>
      <c r="C20" s="318"/>
      <c r="D20" s="351">
        <v>4</v>
      </c>
      <c r="E20" s="352" t="e">
        <f>'NC-CLBD'!G40/100</f>
        <v>#VALUE!</v>
      </c>
      <c r="F20" s="353">
        <v>39854.400000000001</v>
      </c>
      <c r="G20" s="353">
        <f>$Q$1*10*P20</f>
        <v>0</v>
      </c>
      <c r="H20" s="353">
        <v>3940.8926442307693</v>
      </c>
      <c r="I20" s="353">
        <v>1697.4360000000001</v>
      </c>
      <c r="J20" s="353">
        <v>19301.64</v>
      </c>
      <c r="K20" s="353">
        <v>108.78</v>
      </c>
      <c r="L20" s="348" t="e">
        <f>SUM(E20:K20)</f>
        <v>#VALUE!</v>
      </c>
      <c r="M20" s="348" t="e">
        <f>L20*'He so chung'!$D$16/100</f>
        <v>#VALUE!</v>
      </c>
      <c r="N20" s="349" t="e">
        <f>M20+L20</f>
        <v>#VALUE!</v>
      </c>
      <c r="O20" s="354">
        <f>'He so chung'!$D$18*R20</f>
        <v>13799.759615384615</v>
      </c>
      <c r="P20" s="354">
        <v>10325</v>
      </c>
      <c r="Q20" s="411">
        <v>2581.25</v>
      </c>
      <c r="R20" s="412">
        <v>2.0649999999999999</v>
      </c>
    </row>
    <row r="21" spans="1:18" s="4" customFormat="1" ht="18" customHeight="1">
      <c r="A21" s="315"/>
      <c r="B21" s="314"/>
      <c r="C21" s="314"/>
      <c r="D21" s="351"/>
      <c r="E21" s="352"/>
      <c r="F21" s="353"/>
      <c r="G21" s="353"/>
      <c r="H21" s="353"/>
      <c r="I21" s="353"/>
      <c r="J21" s="353"/>
      <c r="K21" s="353"/>
      <c r="L21" s="348"/>
      <c r="M21" s="348"/>
      <c r="N21" s="349"/>
      <c r="O21" s="354"/>
      <c r="P21" s="354"/>
      <c r="Q21" s="411"/>
      <c r="R21" s="412"/>
    </row>
    <row r="22" spans="1:18" s="4" customFormat="1" ht="20.25" customHeight="1">
      <c r="A22" s="339" t="s">
        <v>4</v>
      </c>
      <c r="B22" s="340" t="s">
        <v>382</v>
      </c>
      <c r="C22" s="341"/>
      <c r="D22" s="355"/>
      <c r="E22" s="356"/>
      <c r="F22" s="357"/>
      <c r="G22" s="357"/>
      <c r="H22" s="357"/>
      <c r="I22" s="357"/>
      <c r="J22" s="357"/>
      <c r="K22" s="357"/>
      <c r="L22" s="358"/>
      <c r="M22" s="357"/>
      <c r="N22" s="359"/>
      <c r="O22" s="360"/>
      <c r="P22" s="354"/>
      <c r="Q22" s="411"/>
      <c r="R22" s="412"/>
    </row>
    <row r="23" spans="1:18" s="4" customFormat="1" ht="20.25" customHeight="1">
      <c r="A23" s="315" t="s">
        <v>9</v>
      </c>
      <c r="B23" s="314" t="s">
        <v>383</v>
      </c>
      <c r="C23" s="318"/>
      <c r="D23" s="351"/>
      <c r="E23" s="352"/>
      <c r="F23" s="353"/>
      <c r="G23" s="353"/>
      <c r="H23" s="353"/>
      <c r="I23" s="353"/>
      <c r="J23" s="353"/>
      <c r="K23" s="353"/>
      <c r="L23" s="348"/>
      <c r="M23" s="353"/>
      <c r="N23" s="349"/>
      <c r="O23" s="354"/>
      <c r="P23" s="354"/>
      <c r="Q23" s="411"/>
      <c r="R23" s="412"/>
    </row>
    <row r="24" spans="1:18" s="4" customFormat="1" ht="15.75" customHeight="1">
      <c r="A24" s="338"/>
      <c r="B24" s="338"/>
      <c r="C24" s="338"/>
      <c r="D24" s="351"/>
      <c r="E24" s="352"/>
      <c r="F24" s="353"/>
      <c r="G24" s="353"/>
      <c r="H24" s="353"/>
      <c r="I24" s="353"/>
      <c r="J24" s="353"/>
      <c r="K24" s="353"/>
      <c r="L24" s="348"/>
      <c r="M24" s="353"/>
      <c r="N24" s="349"/>
      <c r="O24" s="354"/>
      <c r="P24" s="354"/>
      <c r="Q24" s="411"/>
      <c r="R24" s="412"/>
    </row>
    <row r="25" spans="1:18" s="4" customFormat="1" ht="22.5" customHeight="1">
      <c r="A25" s="315" t="s">
        <v>10</v>
      </c>
      <c r="B25" s="314" t="s">
        <v>490</v>
      </c>
      <c r="C25" s="318" t="s">
        <v>278</v>
      </c>
      <c r="D25" s="351" t="s">
        <v>9</v>
      </c>
      <c r="E25" s="352">
        <v>22737.919999999998</v>
      </c>
      <c r="F25" s="353"/>
      <c r="G25" s="353">
        <f>$Q$1*10*P25</f>
        <v>0</v>
      </c>
      <c r="H25" s="353">
        <v>253.24180086153845</v>
      </c>
      <c r="I25" s="353">
        <v>5611.8959999999997</v>
      </c>
      <c r="J25" s="353">
        <v>246.58799999999999</v>
      </c>
      <c r="K25" s="353">
        <v>446.30879999999996</v>
      </c>
      <c r="L25" s="348">
        <f>SUM(E25:K25)</f>
        <v>29295.954600861536</v>
      </c>
      <c r="M25" s="353">
        <v>5859.1909201723065</v>
      </c>
      <c r="N25" s="349">
        <f>M25+L25</f>
        <v>35155.145521033846</v>
      </c>
      <c r="O25" s="354">
        <v>614.4</v>
      </c>
      <c r="P25" s="354">
        <v>512</v>
      </c>
      <c r="Q25" s="411">
        <v>102.4</v>
      </c>
      <c r="R25" s="412">
        <v>0.1024</v>
      </c>
    </row>
    <row r="26" spans="1:18" s="4" customFormat="1" ht="22.5" customHeight="1">
      <c r="A26" s="315"/>
      <c r="B26" s="314"/>
      <c r="C26" s="318"/>
      <c r="D26" s="351" t="s">
        <v>10</v>
      </c>
      <c r="E26" s="352">
        <v>27267.74</v>
      </c>
      <c r="F26" s="353"/>
      <c r="G26" s="353">
        <f>$Q$1*10*P26</f>
        <v>0</v>
      </c>
      <c r="H26" s="353">
        <v>316.55225107692308</v>
      </c>
      <c r="I26" s="353">
        <v>5611.8959999999997</v>
      </c>
      <c r="J26" s="353">
        <v>277.67959999999994</v>
      </c>
      <c r="K26" s="353">
        <v>502.40820000000002</v>
      </c>
      <c r="L26" s="348">
        <f>SUM(E26:K26)</f>
        <v>33976.276051076922</v>
      </c>
      <c r="M26" s="353">
        <v>6795.2552102153841</v>
      </c>
      <c r="N26" s="349">
        <f>M26+L26</f>
        <v>40771.531261292308</v>
      </c>
      <c r="O26" s="354">
        <v>736.8</v>
      </c>
      <c r="P26" s="354">
        <v>614</v>
      </c>
      <c r="Q26" s="411">
        <v>122.8</v>
      </c>
      <c r="R26" s="412">
        <v>0.12279999999999999</v>
      </c>
    </row>
    <row r="27" spans="1:18" s="4" customFormat="1" ht="22.5" customHeight="1">
      <c r="A27" s="315"/>
      <c r="B27" s="314"/>
      <c r="C27" s="318"/>
      <c r="D27" s="351" t="s">
        <v>11</v>
      </c>
      <c r="E27" s="352">
        <v>31797.56</v>
      </c>
      <c r="F27" s="353"/>
      <c r="G27" s="353">
        <f>$Q$1*10*P27</f>
        <v>0</v>
      </c>
      <c r="H27" s="353">
        <v>422.06966810256409</v>
      </c>
      <c r="I27" s="353">
        <v>5611.8959999999997</v>
      </c>
      <c r="J27" s="353">
        <v>329.99279999999999</v>
      </c>
      <c r="K27" s="353">
        <v>595.80360000000007</v>
      </c>
      <c r="L27" s="348">
        <f>SUM(E27:K27)</f>
        <v>38757.322068102563</v>
      </c>
      <c r="M27" s="353">
        <v>7751.4644136205134</v>
      </c>
      <c r="N27" s="349">
        <f>M27+L27</f>
        <v>46508.786481723073</v>
      </c>
      <c r="O27" s="354">
        <v>859.19999999999993</v>
      </c>
      <c r="P27" s="354">
        <v>716</v>
      </c>
      <c r="Q27" s="411">
        <v>143.19999999999999</v>
      </c>
      <c r="R27" s="412">
        <v>0.14319999999999999</v>
      </c>
    </row>
    <row r="28" spans="1:18" s="4" customFormat="1" ht="22.5" customHeight="1">
      <c r="A28" s="315"/>
      <c r="B28" s="314"/>
      <c r="C28" s="318"/>
      <c r="D28" s="351" t="s">
        <v>12</v>
      </c>
      <c r="E28" s="352">
        <v>36416.199999999997</v>
      </c>
      <c r="F28" s="353"/>
      <c r="G28" s="353">
        <f>$Q$1*10*P28</f>
        <v>0</v>
      </c>
      <c r="H28" s="353">
        <v>506.4836017230769</v>
      </c>
      <c r="I28" s="353">
        <v>5611.8959999999997</v>
      </c>
      <c r="J28" s="353">
        <v>371.25599999999997</v>
      </c>
      <c r="K28" s="353">
        <v>670.55099999999993</v>
      </c>
      <c r="L28" s="348">
        <f>SUM(E28:K28)</f>
        <v>43576.386601723076</v>
      </c>
      <c r="M28" s="353">
        <v>8715.2773203446159</v>
      </c>
      <c r="N28" s="349">
        <f>M28+L28</f>
        <v>52291.663922067688</v>
      </c>
      <c r="O28" s="354">
        <v>983.99999999999989</v>
      </c>
      <c r="P28" s="354">
        <v>819.99999999999989</v>
      </c>
      <c r="Q28" s="411">
        <v>163.99999999999997</v>
      </c>
      <c r="R28" s="412">
        <v>0.16399999999999998</v>
      </c>
    </row>
    <row r="29" spans="1:18" s="4" customFormat="1" ht="18.75" customHeight="1">
      <c r="A29" s="315"/>
      <c r="B29" s="314"/>
      <c r="C29" s="318"/>
      <c r="D29" s="351"/>
      <c r="E29" s="352"/>
      <c r="F29" s="353"/>
      <c r="G29" s="353"/>
      <c r="H29" s="353"/>
      <c r="I29" s="353"/>
      <c r="J29" s="353"/>
      <c r="K29" s="353"/>
      <c r="L29" s="348"/>
      <c r="M29" s="353"/>
      <c r="N29" s="349"/>
      <c r="O29" s="354"/>
      <c r="P29" s="354"/>
      <c r="Q29" s="411"/>
      <c r="R29" s="412"/>
    </row>
    <row r="30" spans="1:18" s="4" customFormat="1" ht="20.25" customHeight="1">
      <c r="A30" s="315" t="s">
        <v>11</v>
      </c>
      <c r="B30" s="314" t="s">
        <v>384</v>
      </c>
      <c r="C30" s="318" t="s">
        <v>278</v>
      </c>
      <c r="D30" s="351" t="s">
        <v>15</v>
      </c>
      <c r="E30" s="352">
        <v>5851.5</v>
      </c>
      <c r="F30" s="353"/>
      <c r="G30" s="353">
        <f>$Q$1*10*P30</f>
        <v>0</v>
      </c>
      <c r="H30" s="353"/>
      <c r="I30" s="353"/>
      <c r="J30" s="353"/>
      <c r="K30" s="353"/>
      <c r="L30" s="348">
        <f>SUM(E30:K30)</f>
        <v>5851.5</v>
      </c>
      <c r="M30" s="353">
        <v>1170.3</v>
      </c>
      <c r="N30" s="349">
        <f>M30+L30</f>
        <v>7021.8</v>
      </c>
      <c r="O30" s="354">
        <v>180</v>
      </c>
      <c r="P30" s="354">
        <v>150</v>
      </c>
      <c r="Q30" s="411">
        <v>30</v>
      </c>
      <c r="R30" s="412">
        <v>0.03</v>
      </c>
    </row>
    <row r="31" spans="1:18" s="4" customFormat="1" ht="20.25" customHeight="1">
      <c r="A31" s="315"/>
      <c r="B31" s="314" t="s">
        <v>387</v>
      </c>
      <c r="C31" s="318"/>
      <c r="D31" s="351"/>
      <c r="E31" s="352"/>
      <c r="F31" s="353"/>
      <c r="G31" s="353"/>
      <c r="H31" s="353"/>
      <c r="I31" s="353"/>
      <c r="J31" s="353"/>
      <c r="K31" s="353"/>
      <c r="L31" s="348"/>
      <c r="M31" s="353"/>
      <c r="N31" s="349"/>
      <c r="O31" s="354"/>
      <c r="P31" s="354"/>
      <c r="Q31" s="411"/>
      <c r="R31" s="412"/>
    </row>
    <row r="32" spans="1:18" s="4" customFormat="1" ht="20.25" customHeight="1">
      <c r="A32" s="315"/>
      <c r="B32" s="314"/>
      <c r="C32" s="318"/>
      <c r="D32" s="351"/>
      <c r="E32" s="352"/>
      <c r="F32" s="353"/>
      <c r="G32" s="353"/>
      <c r="H32" s="353"/>
      <c r="I32" s="353"/>
      <c r="J32" s="353"/>
      <c r="K32" s="353"/>
      <c r="L32" s="348"/>
      <c r="M32" s="353"/>
      <c r="N32" s="349"/>
      <c r="O32" s="354"/>
      <c r="P32" s="354"/>
      <c r="Q32" s="411"/>
      <c r="R32" s="412"/>
    </row>
    <row r="33" spans="1:25" s="4" customFormat="1" ht="19.5" customHeight="1">
      <c r="A33" s="970" t="s">
        <v>376</v>
      </c>
      <c r="B33" s="972" t="s">
        <v>377</v>
      </c>
      <c r="C33" s="974" t="s">
        <v>378</v>
      </c>
      <c r="D33" s="970" t="s">
        <v>91</v>
      </c>
      <c r="E33" s="964" t="s">
        <v>368</v>
      </c>
      <c r="F33" s="965"/>
      <c r="G33" s="965"/>
      <c r="H33" s="965"/>
      <c r="I33" s="965"/>
      <c r="J33" s="965"/>
      <c r="K33" s="965"/>
      <c r="L33" s="966"/>
      <c r="M33" s="974" t="s">
        <v>427</v>
      </c>
      <c r="N33" s="974" t="s">
        <v>379</v>
      </c>
      <c r="O33" s="323" t="s">
        <v>18</v>
      </c>
      <c r="P33" s="785" t="s">
        <v>19</v>
      </c>
      <c r="Q33" s="57" t="s">
        <v>19</v>
      </c>
      <c r="R33" s="58" t="s">
        <v>16</v>
      </c>
    </row>
    <row r="34" spans="1:25" s="4" customFormat="1" ht="20.25" customHeight="1">
      <c r="A34" s="971"/>
      <c r="B34" s="973"/>
      <c r="C34" s="975"/>
      <c r="D34" s="971"/>
      <c r="E34" s="327" t="s">
        <v>369</v>
      </c>
      <c r="F34" s="326" t="s">
        <v>370</v>
      </c>
      <c r="G34" s="328">
        <v>0</v>
      </c>
      <c r="H34" s="326" t="s">
        <v>257</v>
      </c>
      <c r="I34" s="326" t="s">
        <v>280</v>
      </c>
      <c r="J34" s="326" t="s">
        <v>261</v>
      </c>
      <c r="K34" s="326" t="s">
        <v>371</v>
      </c>
      <c r="L34" s="326" t="s">
        <v>372</v>
      </c>
      <c r="M34" s="975"/>
      <c r="N34" s="975"/>
      <c r="O34" s="325" t="s">
        <v>20</v>
      </c>
      <c r="P34" s="786" t="s">
        <v>21</v>
      </c>
      <c r="Q34" s="59" t="s">
        <v>22</v>
      </c>
      <c r="R34" s="60" t="s">
        <v>17</v>
      </c>
    </row>
    <row r="35" spans="1:25" s="4" customFormat="1" ht="17.25" customHeight="1">
      <c r="A35" s="329" t="s">
        <v>52</v>
      </c>
      <c r="B35" s="330" t="s">
        <v>53</v>
      </c>
      <c r="C35" s="330" t="s">
        <v>54</v>
      </c>
      <c r="D35" s="331" t="s">
        <v>55</v>
      </c>
      <c r="E35" s="332" t="s">
        <v>56</v>
      </c>
      <c r="F35" s="332" t="s">
        <v>57</v>
      </c>
      <c r="G35" s="332"/>
      <c r="H35" s="332" t="s">
        <v>58</v>
      </c>
      <c r="I35" s="332" t="s">
        <v>59</v>
      </c>
      <c r="J35" s="332" t="s">
        <v>60</v>
      </c>
      <c r="K35" s="332" t="s">
        <v>61</v>
      </c>
      <c r="L35" s="333" t="s">
        <v>373</v>
      </c>
      <c r="M35" s="333" t="s">
        <v>374</v>
      </c>
      <c r="N35" s="334" t="s">
        <v>375</v>
      </c>
      <c r="O35" s="332" t="s">
        <v>62</v>
      </c>
      <c r="P35" s="48"/>
      <c r="Q35" s="48"/>
      <c r="R35" s="49"/>
    </row>
    <row r="36" spans="1:25" s="4" customFormat="1" ht="20.25" customHeight="1">
      <c r="A36" s="315" t="s">
        <v>12</v>
      </c>
      <c r="B36" s="314" t="s">
        <v>363</v>
      </c>
      <c r="C36" s="318" t="s">
        <v>278</v>
      </c>
      <c r="D36" s="351" t="s">
        <v>15</v>
      </c>
      <c r="E36" s="352">
        <v>5071.3</v>
      </c>
      <c r="F36" s="353"/>
      <c r="G36" s="353">
        <f>$Q$1*10*P36</f>
        <v>0</v>
      </c>
      <c r="H36" s="353">
        <v>184.59746666666666</v>
      </c>
      <c r="I36" s="353">
        <v>1232.28</v>
      </c>
      <c r="J36" s="353">
        <v>105.78</v>
      </c>
      <c r="K36" s="353">
        <v>191.142</v>
      </c>
      <c r="L36" s="348">
        <f>SUM(E36:K36)</f>
        <v>6785.0994666666666</v>
      </c>
      <c r="M36" s="353">
        <v>1357.0198933333334</v>
      </c>
      <c r="N36" s="349">
        <f>M36+L36</f>
        <v>8142.1193599999997</v>
      </c>
      <c r="O36" s="354">
        <v>156</v>
      </c>
      <c r="P36" s="354">
        <v>130</v>
      </c>
      <c r="Q36" s="411">
        <v>26.000000000000004</v>
      </c>
      <c r="R36" s="412">
        <v>2.6000000000000002E-2</v>
      </c>
    </row>
    <row r="37" spans="1:25" s="4" customFormat="1" ht="20.25" customHeight="1">
      <c r="A37" s="316"/>
      <c r="B37" s="317"/>
      <c r="C37" s="121"/>
      <c r="D37" s="361"/>
      <c r="E37" s="362"/>
      <c r="F37" s="363"/>
      <c r="G37" s="353"/>
      <c r="H37" s="363"/>
      <c r="I37" s="363"/>
      <c r="J37" s="363"/>
      <c r="K37" s="363"/>
      <c r="L37" s="348"/>
      <c r="M37" s="353"/>
      <c r="N37" s="349"/>
      <c r="O37" s="354"/>
      <c r="P37" s="354"/>
      <c r="Q37" s="411"/>
      <c r="R37" s="425"/>
    </row>
    <row r="38" spans="1:25" s="4" customFormat="1" ht="20.25" customHeight="1">
      <c r="A38" s="315" t="s">
        <v>13</v>
      </c>
      <c r="B38" s="314" t="s">
        <v>491</v>
      </c>
      <c r="C38" s="318" t="s">
        <v>1</v>
      </c>
      <c r="D38" s="351" t="s">
        <v>15</v>
      </c>
      <c r="E38" s="362">
        <v>99475.5</v>
      </c>
      <c r="F38" s="363"/>
      <c r="G38" s="353">
        <f>$Q$1*10*P38</f>
        <v>0</v>
      </c>
      <c r="H38" s="363">
        <v>3591.742953525641</v>
      </c>
      <c r="I38" s="363">
        <v>130561.2</v>
      </c>
      <c r="J38" s="363">
        <v>3142</v>
      </c>
      <c r="K38" s="363">
        <v>4040.4</v>
      </c>
      <c r="L38" s="348">
        <f>SUM(E38:K38)</f>
        <v>240810.84295352563</v>
      </c>
      <c r="M38" s="353">
        <v>48162.168590705121</v>
      </c>
      <c r="N38" s="349">
        <f>M38+L38</f>
        <v>288973.01154423074</v>
      </c>
      <c r="O38" s="354">
        <v>3060</v>
      </c>
      <c r="P38" s="354">
        <v>2550</v>
      </c>
      <c r="Q38" s="411">
        <v>510</v>
      </c>
      <c r="R38" s="425">
        <v>0.51</v>
      </c>
    </row>
    <row r="39" spans="1:25" s="4" customFormat="1" ht="20.25" customHeight="1">
      <c r="A39" s="102"/>
      <c r="B39" s="103"/>
      <c r="C39" s="121"/>
      <c r="D39" s="361"/>
      <c r="E39" s="362"/>
      <c r="F39" s="363"/>
      <c r="G39" s="353"/>
      <c r="H39" s="363"/>
      <c r="I39" s="363"/>
      <c r="J39" s="363"/>
      <c r="K39" s="363"/>
      <c r="L39" s="348"/>
      <c r="M39" s="353"/>
      <c r="N39" s="349"/>
      <c r="O39" s="354"/>
      <c r="P39" s="354"/>
      <c r="Q39" s="411"/>
      <c r="R39" s="425"/>
    </row>
    <row r="40" spans="1:25" s="4" customFormat="1" ht="20.25" customHeight="1">
      <c r="A40" s="315" t="s">
        <v>14</v>
      </c>
      <c r="B40" s="314" t="s">
        <v>365</v>
      </c>
      <c r="C40" s="318" t="s">
        <v>1</v>
      </c>
      <c r="D40" s="351" t="s">
        <v>15</v>
      </c>
      <c r="E40" s="362">
        <v>78020</v>
      </c>
      <c r="F40" s="363"/>
      <c r="G40" s="353">
        <f>$Q$1*10*P40</f>
        <v>0</v>
      </c>
      <c r="H40" s="363">
        <v>769.65920432692303</v>
      </c>
      <c r="I40" s="363">
        <v>27977.399999999998</v>
      </c>
      <c r="J40" s="363"/>
      <c r="K40" s="363"/>
      <c r="L40" s="348">
        <f>SUM(E40:K40)</f>
        <v>106767.05920432691</v>
      </c>
      <c r="M40" s="353">
        <v>21353.411840865385</v>
      </c>
      <c r="N40" s="349">
        <f>M40+L40</f>
        <v>128120.4710451923</v>
      </c>
      <c r="O40" s="354">
        <v>2400</v>
      </c>
      <c r="P40" s="354">
        <v>2000</v>
      </c>
      <c r="Q40" s="411">
        <v>400</v>
      </c>
      <c r="R40" s="425">
        <v>0.4</v>
      </c>
    </row>
    <row r="41" spans="1:25" s="4" customFormat="1" ht="20.25" customHeight="1">
      <c r="A41" s="316"/>
      <c r="B41" s="317"/>
      <c r="C41" s="121"/>
      <c r="D41" s="361"/>
      <c r="E41" s="362"/>
      <c r="F41" s="363"/>
      <c r="G41" s="353"/>
      <c r="H41" s="363"/>
      <c r="I41" s="363"/>
      <c r="J41" s="363"/>
      <c r="K41" s="363"/>
      <c r="L41" s="348"/>
      <c r="M41" s="353"/>
      <c r="N41" s="349"/>
      <c r="O41" s="354"/>
      <c r="P41" s="354"/>
      <c r="Q41" s="411"/>
      <c r="R41" s="425"/>
    </row>
    <row r="42" spans="1:25" s="4" customFormat="1" ht="20.25" customHeight="1">
      <c r="A42" s="316" t="s">
        <v>85</v>
      </c>
      <c r="B42" s="317" t="s">
        <v>366</v>
      </c>
      <c r="C42" s="405" t="s">
        <v>1</v>
      </c>
      <c r="D42" s="361" t="s">
        <v>15</v>
      </c>
      <c r="E42" s="362">
        <v>39010</v>
      </c>
      <c r="F42" s="363"/>
      <c r="G42" s="353">
        <f>$Q$1*10*P42</f>
        <v>0</v>
      </c>
      <c r="H42" s="363">
        <v>769.65920432692303</v>
      </c>
      <c r="I42" s="363">
        <v>27977.399999999998</v>
      </c>
      <c r="J42" s="363"/>
      <c r="K42" s="363"/>
      <c r="L42" s="364">
        <f>SUM(E42:K42)</f>
        <v>67757.059204326928</v>
      </c>
      <c r="M42" s="353">
        <v>13551.411840865387</v>
      </c>
      <c r="N42" s="365">
        <f>M42+L42</f>
        <v>81308.471045192317</v>
      </c>
      <c r="O42" s="354">
        <v>1200</v>
      </c>
      <c r="P42" s="354">
        <v>1000</v>
      </c>
      <c r="Q42" s="411">
        <v>200</v>
      </c>
      <c r="R42" s="425">
        <v>0.2</v>
      </c>
    </row>
    <row r="43" spans="1:25" s="4" customFormat="1" ht="19.5" customHeight="1">
      <c r="A43" s="403"/>
      <c r="B43" s="401"/>
      <c r="C43" s="404"/>
      <c r="D43" s="377"/>
      <c r="E43" s="379"/>
      <c r="F43" s="379"/>
      <c r="G43" s="379"/>
      <c r="H43" s="379"/>
      <c r="I43" s="379"/>
      <c r="J43" s="379"/>
      <c r="K43" s="379"/>
      <c r="L43" s="380"/>
      <c r="M43" s="379"/>
      <c r="N43" s="381"/>
      <c r="O43" s="382"/>
      <c r="P43" s="382"/>
      <c r="Q43" s="423"/>
      <c r="R43" s="424"/>
    </row>
    <row r="44" spans="1:25" s="4" customFormat="1" ht="9" customHeight="1">
      <c r="A44" s="383"/>
      <c r="B44" s="338"/>
      <c r="C44" s="338"/>
      <c r="D44" s="383"/>
      <c r="E44" s="187"/>
      <c r="F44" s="187"/>
      <c r="G44" s="84"/>
      <c r="H44" s="187"/>
      <c r="I44" s="187"/>
      <c r="J44" s="187"/>
      <c r="K44" s="187"/>
      <c r="L44" s="187"/>
      <c r="M44" s="187"/>
      <c r="N44" s="187"/>
      <c r="O44" s="322"/>
      <c r="P44" s="322"/>
      <c r="Q44" s="426"/>
      <c r="R44" s="427"/>
    </row>
    <row r="45" spans="1:25" s="4" customFormat="1" ht="20.25" customHeight="1">
      <c r="A45" s="682" t="s">
        <v>3</v>
      </c>
      <c r="B45" s="550" t="s">
        <v>419</v>
      </c>
      <c r="C45" s="550"/>
      <c r="D45" s="551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2"/>
      <c r="P45" s="553"/>
      <c r="Q45" s="554"/>
      <c r="R45" s="555"/>
      <c r="S45" s="10"/>
      <c r="T45" s="10"/>
      <c r="U45" s="10"/>
      <c r="V45" s="10"/>
      <c r="W45" s="10"/>
      <c r="X45" s="10"/>
      <c r="Y45" s="10"/>
    </row>
    <row r="46" spans="1:25" s="4" customFormat="1" ht="19.149999999999999" customHeight="1">
      <c r="A46" s="978" t="s">
        <v>9</v>
      </c>
      <c r="B46" s="981" t="s">
        <v>492</v>
      </c>
      <c r="C46" s="984" t="s">
        <v>1</v>
      </c>
      <c r="D46" s="694">
        <v>1</v>
      </c>
      <c r="E46" s="356" t="e">
        <f>E7+E$38+E$40+E$42</f>
        <v>#VALUE!</v>
      </c>
      <c r="F46" s="356">
        <f t="shared" ref="E46:Q49" si="0">F7+F$38+F$40+F$42</f>
        <v>0</v>
      </c>
      <c r="G46" s="356">
        <f t="shared" si="0"/>
        <v>0</v>
      </c>
      <c r="H46" s="356">
        <f t="shared" si="0"/>
        <v>22377.715208333335</v>
      </c>
      <c r="I46" s="356">
        <f t="shared" si="0"/>
        <v>261576</v>
      </c>
      <c r="J46" s="356">
        <f t="shared" si="0"/>
        <v>3142</v>
      </c>
      <c r="K46" s="356">
        <f t="shared" si="0"/>
        <v>4040.4</v>
      </c>
      <c r="L46" s="356" t="e">
        <f t="shared" si="0"/>
        <v>#VALUE!</v>
      </c>
      <c r="M46" s="356" t="e">
        <f t="shared" si="0"/>
        <v>#VALUE!</v>
      </c>
      <c r="N46" s="556" t="e">
        <f t="shared" si="0"/>
        <v>#VALUE!</v>
      </c>
      <c r="O46" s="356">
        <f t="shared" si="0"/>
        <v>46087.884615384617</v>
      </c>
      <c r="P46" s="556">
        <f t="shared" si="0"/>
        <v>35050</v>
      </c>
      <c r="Q46" s="556">
        <f t="shared" si="0"/>
        <v>8485</v>
      </c>
      <c r="R46" s="556"/>
      <c r="S46" s="10"/>
      <c r="T46" s="10"/>
      <c r="U46" s="10"/>
      <c r="V46" s="10"/>
      <c r="W46" s="10"/>
      <c r="X46" s="10"/>
      <c r="Y46" s="10"/>
    </row>
    <row r="47" spans="1:25" s="4" customFormat="1" ht="19.149999999999999" customHeight="1">
      <c r="A47" s="979"/>
      <c r="B47" s="982"/>
      <c r="C47" s="985"/>
      <c r="D47" s="695">
        <v>2</v>
      </c>
      <c r="E47" s="356" t="e">
        <f>E8+E$38+E$40+E$42</f>
        <v>#VALUE!</v>
      </c>
      <c r="F47" s="356">
        <f t="shared" si="0"/>
        <v>0</v>
      </c>
      <c r="G47" s="356">
        <f t="shared" si="0"/>
        <v>0</v>
      </c>
      <c r="H47" s="356">
        <f t="shared" si="0"/>
        <v>26689.378669871796</v>
      </c>
      <c r="I47" s="356">
        <f t="shared" si="0"/>
        <v>261576</v>
      </c>
      <c r="J47" s="356">
        <f t="shared" si="0"/>
        <v>3142</v>
      </c>
      <c r="K47" s="356">
        <f t="shared" si="0"/>
        <v>4040.4</v>
      </c>
      <c r="L47" s="356" t="e">
        <f t="shared" si="0"/>
        <v>#VALUE!</v>
      </c>
      <c r="M47" s="356" t="e">
        <f t="shared" si="0"/>
        <v>#VALUE!</v>
      </c>
      <c r="N47" s="556" t="e">
        <f t="shared" si="0"/>
        <v>#VALUE!</v>
      </c>
      <c r="O47" s="356">
        <f t="shared" si="0"/>
        <v>57849.423076923078</v>
      </c>
      <c r="P47" s="556">
        <f t="shared" si="0"/>
        <v>43850</v>
      </c>
      <c r="Q47" s="556">
        <f t="shared" si="0"/>
        <v>10685</v>
      </c>
      <c r="R47" s="556"/>
      <c r="S47" s="10"/>
      <c r="T47" s="10"/>
      <c r="U47" s="10"/>
      <c r="V47" s="10"/>
      <c r="W47" s="10"/>
      <c r="X47" s="10"/>
      <c r="Y47" s="10"/>
    </row>
    <row r="48" spans="1:25" s="4" customFormat="1" ht="19.149999999999999" customHeight="1">
      <c r="A48" s="979"/>
      <c r="B48" s="982"/>
      <c r="C48" s="985"/>
      <c r="D48" s="695">
        <v>3</v>
      </c>
      <c r="E48" s="356" t="e">
        <f t="shared" si="0"/>
        <v>#VALUE!</v>
      </c>
      <c r="F48" s="356">
        <f t="shared" si="0"/>
        <v>0</v>
      </c>
      <c r="G48" s="356">
        <f t="shared" si="0"/>
        <v>0</v>
      </c>
      <c r="H48" s="356">
        <f t="shared" si="0"/>
        <v>33875.484439102569</v>
      </c>
      <c r="I48" s="356">
        <f t="shared" si="0"/>
        <v>261576</v>
      </c>
      <c r="J48" s="356">
        <f t="shared" si="0"/>
        <v>3142</v>
      </c>
      <c r="K48" s="356">
        <f t="shared" si="0"/>
        <v>4040.4</v>
      </c>
      <c r="L48" s="356" t="e">
        <f t="shared" si="0"/>
        <v>#VALUE!</v>
      </c>
      <c r="M48" s="356" t="e">
        <f t="shared" si="0"/>
        <v>#VALUE!</v>
      </c>
      <c r="N48" s="556" t="e">
        <f t="shared" si="0"/>
        <v>#VALUE!</v>
      </c>
      <c r="O48" s="356">
        <f t="shared" si="0"/>
        <v>73219.61538461539</v>
      </c>
      <c r="P48" s="556">
        <f t="shared" si="0"/>
        <v>55350.000000000007</v>
      </c>
      <c r="Q48" s="556">
        <f t="shared" si="0"/>
        <v>13560.000000000002</v>
      </c>
      <c r="R48" s="556"/>
      <c r="S48" s="10"/>
      <c r="T48" s="10"/>
      <c r="U48" s="10"/>
      <c r="V48" s="10"/>
      <c r="W48" s="10"/>
      <c r="X48" s="10"/>
      <c r="Y48" s="10"/>
    </row>
    <row r="49" spans="1:25" s="4" customFormat="1" ht="19.149999999999999" customHeight="1">
      <c r="A49" s="993"/>
      <c r="B49" s="994"/>
      <c r="C49" s="995"/>
      <c r="D49" s="695">
        <v>4</v>
      </c>
      <c r="E49" s="356" t="e">
        <f t="shared" si="0"/>
        <v>#VALUE!</v>
      </c>
      <c r="F49" s="356">
        <f t="shared" si="0"/>
        <v>0</v>
      </c>
      <c r="G49" s="356">
        <f t="shared" si="0"/>
        <v>0</v>
      </c>
      <c r="H49" s="356">
        <f t="shared" si="0"/>
        <v>39624.369054487186</v>
      </c>
      <c r="I49" s="356">
        <f t="shared" si="0"/>
        <v>261576</v>
      </c>
      <c r="J49" s="356">
        <f t="shared" si="0"/>
        <v>3142</v>
      </c>
      <c r="K49" s="356">
        <f t="shared" si="0"/>
        <v>4040.4</v>
      </c>
      <c r="L49" s="356" t="e">
        <f t="shared" si="0"/>
        <v>#VALUE!</v>
      </c>
      <c r="M49" s="356" t="e">
        <f t="shared" si="0"/>
        <v>#VALUE!</v>
      </c>
      <c r="N49" s="556" t="e">
        <f t="shared" si="0"/>
        <v>#VALUE!</v>
      </c>
      <c r="O49" s="356">
        <f t="shared" si="0"/>
        <v>93134.038461538454</v>
      </c>
      <c r="P49" s="556">
        <f t="shared" si="0"/>
        <v>70250</v>
      </c>
      <c r="Q49" s="556">
        <f t="shared" si="0"/>
        <v>17285</v>
      </c>
      <c r="R49" s="556"/>
      <c r="S49" s="10"/>
      <c r="T49" s="10"/>
      <c r="U49" s="10"/>
      <c r="V49" s="10"/>
      <c r="W49" s="10"/>
      <c r="X49" s="10"/>
      <c r="Y49" s="10"/>
    </row>
    <row r="50" spans="1:25" s="4" customFormat="1" ht="4.9000000000000004" customHeight="1">
      <c r="A50" s="351"/>
      <c r="B50" s="696"/>
      <c r="C50" s="438"/>
      <c r="D50" s="695"/>
      <c r="E50" s="352"/>
      <c r="F50" s="352"/>
      <c r="G50" s="352"/>
      <c r="H50" s="352"/>
      <c r="I50" s="352"/>
      <c r="J50" s="352"/>
      <c r="K50" s="352"/>
      <c r="L50" s="352"/>
      <c r="M50" s="352"/>
      <c r="N50" s="560"/>
      <c r="O50" s="352"/>
      <c r="P50" s="352"/>
      <c r="Q50" s="561"/>
      <c r="R50" s="562"/>
      <c r="S50" s="10"/>
      <c r="T50" s="10"/>
      <c r="U50" s="10"/>
      <c r="V50" s="10"/>
      <c r="W50" s="10"/>
      <c r="X50" s="10"/>
      <c r="Y50" s="10"/>
    </row>
    <row r="51" spans="1:25" s="4" customFormat="1" ht="19.149999999999999" customHeight="1">
      <c r="A51" s="978" t="s">
        <v>10</v>
      </c>
      <c r="B51" s="981" t="s">
        <v>391</v>
      </c>
      <c r="C51" s="984" t="s">
        <v>278</v>
      </c>
      <c r="D51" s="694">
        <v>1</v>
      </c>
      <c r="E51" s="356" t="e">
        <f>E12+E17+E25+E$30+E$36</f>
        <v>#VALUE!</v>
      </c>
      <c r="F51" s="356">
        <f t="shared" ref="F51:Q51" si="1">F12+F17+F25+F$30+F$36</f>
        <v>21890.1</v>
      </c>
      <c r="G51" s="356">
        <f t="shared" si="1"/>
        <v>0</v>
      </c>
      <c r="H51" s="356">
        <f t="shared" si="1"/>
        <v>2575.4845607974362</v>
      </c>
      <c r="I51" s="356">
        <f t="shared" si="1"/>
        <v>8626.4838</v>
      </c>
      <c r="J51" s="356">
        <f t="shared" si="1"/>
        <v>10713.488000000001</v>
      </c>
      <c r="K51" s="356">
        <f t="shared" si="1"/>
        <v>697.27980000000002</v>
      </c>
      <c r="L51" s="356" t="e">
        <f t="shared" si="1"/>
        <v>#VALUE!</v>
      </c>
      <c r="M51" s="356" t="e">
        <f t="shared" si="1"/>
        <v>#VALUE!</v>
      </c>
      <c r="N51" s="556" t="e">
        <f t="shared" si="1"/>
        <v>#VALUE!</v>
      </c>
      <c r="O51" s="356">
        <f t="shared" si="1"/>
        <v>9581.0971153846149</v>
      </c>
      <c r="P51" s="556">
        <f t="shared" si="1"/>
        <v>7249.5</v>
      </c>
      <c r="Q51" s="556">
        <f t="shared" si="1"/>
        <v>1772.7750000000001</v>
      </c>
      <c r="R51" s="556"/>
      <c r="S51" s="10"/>
      <c r="T51" s="10"/>
      <c r="U51" s="10"/>
      <c r="V51" s="10"/>
      <c r="W51" s="10"/>
      <c r="X51" s="10"/>
      <c r="Y51" s="10"/>
    </row>
    <row r="52" spans="1:25" s="4" customFormat="1" ht="19.149999999999999" customHeight="1">
      <c r="A52" s="979"/>
      <c r="B52" s="982"/>
      <c r="C52" s="985"/>
      <c r="D52" s="695">
        <v>2</v>
      </c>
      <c r="E52" s="356" t="e">
        <f t="shared" ref="E52:T54" si="2">E13+E18+E26+E$30+E$36</f>
        <v>#VALUE!</v>
      </c>
      <c r="F52" s="356">
        <f t="shared" si="2"/>
        <v>27682.799999999999</v>
      </c>
      <c r="G52" s="356">
        <f t="shared" si="2"/>
        <v>0</v>
      </c>
      <c r="H52" s="356">
        <f t="shared" si="2"/>
        <v>3173.2063343301284</v>
      </c>
      <c r="I52" s="356">
        <f t="shared" si="2"/>
        <v>8626.4838</v>
      </c>
      <c r="J52" s="356">
        <f t="shared" si="2"/>
        <v>13330.579599999999</v>
      </c>
      <c r="K52" s="356">
        <f t="shared" si="2"/>
        <v>768.76379999999995</v>
      </c>
      <c r="L52" s="356" t="e">
        <f t="shared" si="2"/>
        <v>#VALUE!</v>
      </c>
      <c r="M52" s="356" t="e">
        <f t="shared" si="2"/>
        <v>#VALUE!</v>
      </c>
      <c r="N52" s="556" t="e">
        <f t="shared" si="2"/>
        <v>#VALUE!</v>
      </c>
      <c r="O52" s="356">
        <f t="shared" si="2"/>
        <v>11464.386538461538</v>
      </c>
      <c r="P52" s="556">
        <f t="shared" si="2"/>
        <v>8669</v>
      </c>
      <c r="Q52" s="556">
        <f t="shared" si="2"/>
        <v>2122.5500000000002</v>
      </c>
      <c r="R52" s="556"/>
      <c r="S52" s="10"/>
      <c r="T52" s="10"/>
      <c r="U52" s="10"/>
      <c r="V52" s="10"/>
      <c r="W52" s="10"/>
      <c r="X52" s="10"/>
      <c r="Y52" s="10"/>
    </row>
    <row r="53" spans="1:25" s="4" customFormat="1" ht="19.149999999999999" customHeight="1">
      <c r="A53" s="979"/>
      <c r="B53" s="982"/>
      <c r="C53" s="985"/>
      <c r="D53" s="695">
        <v>3</v>
      </c>
      <c r="E53" s="356" t="e">
        <f t="shared" si="2"/>
        <v>#VALUE!</v>
      </c>
      <c r="F53" s="356">
        <f t="shared" si="2"/>
        <v>33216.6</v>
      </c>
      <c r="G53" s="356">
        <f t="shared" si="2"/>
        <v>0</v>
      </c>
      <c r="H53" s="356">
        <f t="shared" si="2"/>
        <v>4169.4092902179491</v>
      </c>
      <c r="I53" s="356">
        <f t="shared" si="2"/>
        <v>8626.4838</v>
      </c>
      <c r="J53" s="356">
        <f t="shared" si="2"/>
        <v>17700.6528</v>
      </c>
      <c r="K53" s="356">
        <f t="shared" si="2"/>
        <v>887.33400000000006</v>
      </c>
      <c r="L53" s="356" t="e">
        <f t="shared" si="2"/>
        <v>#VALUE!</v>
      </c>
      <c r="M53" s="356" t="e">
        <f t="shared" si="2"/>
        <v>#VALUE!</v>
      </c>
      <c r="N53" s="556" t="e">
        <f t="shared" si="2"/>
        <v>#VALUE!</v>
      </c>
      <c r="O53" s="356">
        <f t="shared" si="2"/>
        <v>13772.026923076925</v>
      </c>
      <c r="P53" s="556">
        <f t="shared" si="2"/>
        <v>10406.000000000002</v>
      </c>
      <c r="Q53" s="556">
        <f t="shared" si="2"/>
        <v>2551.7000000000003</v>
      </c>
      <c r="R53" s="556"/>
      <c r="S53" s="10"/>
      <c r="T53" s="10"/>
      <c r="U53" s="10"/>
      <c r="V53" s="10"/>
      <c r="W53" s="10"/>
      <c r="X53" s="10"/>
      <c r="Y53" s="10"/>
    </row>
    <row r="54" spans="1:25" s="4" customFormat="1" ht="18" customHeight="1">
      <c r="A54" s="980"/>
      <c r="B54" s="983"/>
      <c r="C54" s="986"/>
      <c r="D54" s="697">
        <v>4</v>
      </c>
      <c r="E54" s="379" t="e">
        <f t="shared" si="2"/>
        <v>#VALUE!</v>
      </c>
      <c r="F54" s="378">
        <f t="shared" si="2"/>
        <v>39854.400000000001</v>
      </c>
      <c r="G54" s="378">
        <f t="shared" si="2"/>
        <v>0</v>
      </c>
      <c r="H54" s="378">
        <f t="shared" si="2"/>
        <v>4966.3716549282062</v>
      </c>
      <c r="I54" s="378">
        <f t="shared" si="2"/>
        <v>8626.4838</v>
      </c>
      <c r="J54" s="378">
        <f t="shared" si="2"/>
        <v>21197.396000000001</v>
      </c>
      <c r="K54" s="378">
        <f t="shared" si="2"/>
        <v>981.04019999999991</v>
      </c>
      <c r="L54" s="378" t="e">
        <f t="shared" si="2"/>
        <v>#VALUE!</v>
      </c>
      <c r="M54" s="378" t="e">
        <f t="shared" si="2"/>
        <v>#VALUE!</v>
      </c>
      <c r="N54" s="565" t="e">
        <f t="shared" si="2"/>
        <v>#VALUE!</v>
      </c>
      <c r="O54" s="378">
        <f t="shared" si="2"/>
        <v>16409.51923076923</v>
      </c>
      <c r="P54" s="565">
        <f t="shared" si="2"/>
        <v>12390</v>
      </c>
      <c r="Q54" s="565">
        <f t="shared" si="2"/>
        <v>3042.5</v>
      </c>
      <c r="R54" s="565"/>
      <c r="S54" s="556">
        <f t="shared" si="2"/>
        <v>0</v>
      </c>
      <c r="T54" s="556">
        <f t="shared" si="2"/>
        <v>0</v>
      </c>
      <c r="U54" s="10"/>
      <c r="V54" s="10"/>
      <c r="W54" s="10"/>
      <c r="X54" s="10"/>
      <c r="Y54" s="10"/>
    </row>
    <row r="55" spans="1:25" s="4" customFormat="1" ht="21.6" customHeight="1">
      <c r="A55" s="566"/>
      <c r="B55" s="567"/>
      <c r="C55" s="567"/>
      <c r="D55" s="566"/>
      <c r="E55" s="568"/>
      <c r="F55" s="568"/>
      <c r="G55" s="568"/>
      <c r="H55" s="568"/>
      <c r="I55" s="568"/>
      <c r="J55" s="568"/>
      <c r="K55" s="568"/>
      <c r="L55" s="568"/>
      <c r="M55" s="568"/>
      <c r="N55" s="568"/>
      <c r="O55" s="569"/>
      <c r="P55" s="569"/>
      <c r="Q55" s="570"/>
      <c r="R55" s="571"/>
      <c r="S55" s="10"/>
      <c r="T55" s="10"/>
      <c r="U55" s="10"/>
      <c r="V55" s="10"/>
      <c r="W55" s="10"/>
      <c r="X55" s="10"/>
      <c r="Y55" s="10"/>
    </row>
    <row r="56" spans="1:25" s="4" customFormat="1" ht="27" customHeight="1">
      <c r="A56" s="566"/>
      <c r="B56" s="567"/>
      <c r="C56" s="567"/>
      <c r="D56" s="566"/>
      <c r="E56" s="568"/>
      <c r="F56" s="568"/>
      <c r="G56" s="568"/>
      <c r="H56" s="568"/>
      <c r="I56" s="568"/>
      <c r="J56" s="568"/>
      <c r="K56" s="568"/>
      <c r="L56" s="568"/>
      <c r="M56" s="568"/>
      <c r="N56" s="568"/>
      <c r="O56" s="569"/>
      <c r="P56" s="569"/>
      <c r="Q56" s="570"/>
      <c r="R56" s="571"/>
      <c r="S56" s="10"/>
      <c r="T56" s="10"/>
      <c r="U56" s="10"/>
      <c r="V56" s="10"/>
      <c r="W56" s="10"/>
      <c r="X56" s="10"/>
      <c r="Y56" s="10"/>
    </row>
    <row r="57" spans="1:25" s="4" customFormat="1" ht="27" customHeight="1">
      <c r="A57" s="566"/>
      <c r="B57" s="567"/>
      <c r="C57" s="567"/>
      <c r="D57" s="566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9"/>
      <c r="P57" s="569"/>
      <c r="Q57" s="570"/>
      <c r="R57" s="571"/>
      <c r="S57" s="10"/>
      <c r="T57" s="10"/>
      <c r="U57" s="10"/>
      <c r="V57" s="10"/>
      <c r="W57" s="10"/>
      <c r="X57" s="10"/>
      <c r="Y57" s="10"/>
    </row>
    <row r="58" spans="1:25" s="4" customFormat="1" ht="27" customHeight="1">
      <c r="A58" s="566"/>
      <c r="B58" s="567"/>
      <c r="C58" s="567"/>
      <c r="D58" s="566"/>
      <c r="E58" s="568"/>
      <c r="F58" s="568"/>
      <c r="G58" s="568"/>
      <c r="H58" s="568"/>
      <c r="I58" s="568"/>
      <c r="J58" s="568"/>
      <c r="K58" s="568"/>
      <c r="L58" s="568"/>
      <c r="M58" s="568"/>
      <c r="N58" s="568"/>
      <c r="O58" s="569"/>
      <c r="P58" s="569"/>
      <c r="Q58" s="570"/>
      <c r="R58" s="571"/>
      <c r="S58" s="10"/>
      <c r="T58" s="10"/>
      <c r="U58" s="10"/>
      <c r="V58" s="10"/>
      <c r="W58" s="10"/>
      <c r="X58" s="10"/>
      <c r="Y58" s="10"/>
    </row>
    <row r="59" spans="1:25" s="4" customFormat="1" ht="27" customHeight="1">
      <c r="A59" s="566"/>
      <c r="B59" s="567"/>
      <c r="C59" s="567"/>
      <c r="D59" s="566"/>
      <c r="E59" s="568"/>
      <c r="F59" s="568"/>
      <c r="G59" s="568"/>
      <c r="H59" s="568"/>
      <c r="I59" s="568"/>
      <c r="J59" s="568"/>
      <c r="K59" s="568"/>
      <c r="L59" s="568"/>
      <c r="M59" s="568"/>
      <c r="N59" s="568"/>
      <c r="O59" s="569"/>
      <c r="P59" s="569"/>
      <c r="Q59" s="570"/>
      <c r="R59" s="571"/>
      <c r="S59" s="10"/>
      <c r="T59" s="10"/>
      <c r="U59" s="10"/>
      <c r="V59" s="10"/>
      <c r="W59" s="10"/>
      <c r="X59" s="10"/>
      <c r="Y59" s="10"/>
    </row>
    <row r="60" spans="1:25" s="4" customFormat="1" ht="27" customHeight="1">
      <c r="A60" s="566"/>
      <c r="B60" s="567"/>
      <c r="C60" s="567"/>
      <c r="D60" s="566"/>
      <c r="E60" s="568"/>
      <c r="F60" s="568"/>
      <c r="G60" s="568"/>
      <c r="H60" s="568"/>
      <c r="I60" s="568"/>
      <c r="J60" s="568"/>
      <c r="K60" s="568"/>
      <c r="L60" s="568"/>
      <c r="M60" s="568"/>
      <c r="N60" s="568"/>
      <c r="O60" s="569"/>
      <c r="P60" s="569"/>
      <c r="Q60" s="570"/>
      <c r="R60" s="571"/>
      <c r="S60" s="10"/>
      <c r="T60" s="10"/>
      <c r="U60" s="10"/>
      <c r="V60" s="10"/>
      <c r="W60" s="10"/>
      <c r="X60" s="10"/>
      <c r="Y60" s="10"/>
    </row>
    <row r="61" spans="1:25" s="4" customFormat="1" ht="21.6" customHeight="1">
      <c r="A61" s="566"/>
      <c r="B61" s="567"/>
      <c r="C61" s="567"/>
      <c r="D61" s="566"/>
      <c r="E61" s="568"/>
      <c r="F61" s="568"/>
      <c r="G61" s="568"/>
      <c r="H61" s="568"/>
      <c r="I61" s="568"/>
      <c r="J61" s="568"/>
      <c r="K61" s="568"/>
      <c r="L61" s="568"/>
      <c r="M61" s="568"/>
      <c r="N61" s="568"/>
      <c r="O61" s="569"/>
      <c r="P61" s="569"/>
      <c r="Q61" s="570"/>
      <c r="R61" s="571"/>
      <c r="S61" s="10"/>
      <c r="T61" s="10"/>
      <c r="U61" s="10"/>
      <c r="V61" s="10"/>
      <c r="W61" s="10"/>
      <c r="X61" s="10"/>
      <c r="Y61" s="10"/>
    </row>
    <row r="62" spans="1:25" s="4" customFormat="1" ht="21.6" customHeight="1">
      <c r="A62" s="566"/>
      <c r="B62" s="567"/>
      <c r="C62" s="567"/>
      <c r="D62" s="566"/>
      <c r="E62" s="568"/>
      <c r="F62" s="568"/>
      <c r="G62" s="568"/>
      <c r="H62" s="568"/>
      <c r="I62" s="568"/>
      <c r="J62" s="568"/>
      <c r="K62" s="568"/>
      <c r="L62" s="568"/>
      <c r="M62" s="568"/>
      <c r="N62" s="568"/>
      <c r="O62" s="569"/>
      <c r="P62" s="569"/>
      <c r="Q62" s="570"/>
      <c r="R62" s="571"/>
      <c r="S62" s="10"/>
      <c r="T62" s="10"/>
      <c r="U62" s="10"/>
      <c r="V62" s="10"/>
      <c r="W62" s="10"/>
      <c r="X62" s="10"/>
      <c r="Y62" s="10"/>
    </row>
    <row r="63" spans="1:25" s="4" customFormat="1" ht="21.6" customHeight="1">
      <c r="A63" s="566"/>
      <c r="B63" s="567"/>
      <c r="C63" s="567"/>
      <c r="D63" s="566"/>
      <c r="E63" s="568"/>
      <c r="F63" s="568"/>
      <c r="G63" s="568"/>
      <c r="H63" s="568"/>
      <c r="I63" s="568"/>
      <c r="J63" s="568"/>
      <c r="K63" s="568"/>
      <c r="L63" s="568"/>
      <c r="M63" s="568"/>
      <c r="N63" s="568"/>
      <c r="O63" s="569"/>
      <c r="P63" s="569"/>
      <c r="Q63" s="570"/>
      <c r="R63" s="571"/>
      <c r="S63" s="10"/>
      <c r="T63" s="10"/>
      <c r="U63" s="10"/>
      <c r="V63" s="10"/>
      <c r="W63" s="10"/>
      <c r="X63" s="10"/>
      <c r="Y63" s="10"/>
    </row>
    <row r="64" spans="1:25" s="4" customFormat="1" ht="27" customHeight="1">
      <c r="A64" s="999" t="s">
        <v>395</v>
      </c>
      <c r="B64" s="999"/>
      <c r="C64" s="999"/>
      <c r="D64" s="999"/>
      <c r="E64" s="999"/>
      <c r="F64" s="999"/>
      <c r="G64" s="999"/>
      <c r="H64" s="999"/>
      <c r="I64" s="999"/>
      <c r="J64" s="999"/>
      <c r="K64" s="999"/>
      <c r="L64" s="999"/>
      <c r="M64" s="999"/>
      <c r="N64" s="999"/>
      <c r="O64" s="999"/>
      <c r="P64" s="572"/>
      <c r="Q64" s="570"/>
      <c r="R64" s="571"/>
      <c r="S64" s="10"/>
      <c r="T64" s="10"/>
      <c r="U64" s="10"/>
      <c r="V64" s="10"/>
      <c r="W64" s="10"/>
      <c r="X64" s="10"/>
      <c r="Y64" s="10"/>
    </row>
    <row r="65" spans="1:25" s="4" customFormat="1" ht="15.75" customHeight="1">
      <c r="A65" s="573"/>
      <c r="B65" s="574"/>
      <c r="C65" s="575"/>
      <c r="D65" s="576"/>
      <c r="E65" s="577"/>
      <c r="F65" s="577"/>
      <c r="G65" s="577"/>
      <c r="H65" s="577"/>
      <c r="I65" s="577"/>
      <c r="J65" s="577"/>
      <c r="K65" s="577"/>
      <c r="L65" s="577"/>
      <c r="M65" s="578"/>
      <c r="N65" s="1000" t="s">
        <v>428</v>
      </c>
      <c r="O65" s="1000"/>
      <c r="P65" s="569"/>
      <c r="Q65" s="570"/>
      <c r="R65" s="571"/>
      <c r="S65" s="10"/>
      <c r="T65" s="10"/>
      <c r="U65" s="10"/>
      <c r="V65" s="10"/>
      <c r="W65" s="10"/>
      <c r="X65" s="10"/>
      <c r="Y65" s="10"/>
    </row>
    <row r="66" spans="1:25" s="4" customFormat="1" ht="20.25" customHeight="1">
      <c r="A66" s="987" t="s">
        <v>376</v>
      </c>
      <c r="B66" s="989" t="s">
        <v>377</v>
      </c>
      <c r="C66" s="991" t="s">
        <v>378</v>
      </c>
      <c r="D66" s="987" t="s">
        <v>91</v>
      </c>
      <c r="E66" s="996" t="s">
        <v>368</v>
      </c>
      <c r="F66" s="997"/>
      <c r="G66" s="997"/>
      <c r="H66" s="997"/>
      <c r="I66" s="997"/>
      <c r="J66" s="997"/>
      <c r="K66" s="997"/>
      <c r="L66" s="998"/>
      <c r="M66" s="991" t="s">
        <v>427</v>
      </c>
      <c r="N66" s="991" t="s">
        <v>379</v>
      </c>
      <c r="O66" s="579" t="s">
        <v>18</v>
      </c>
      <c r="P66" s="787" t="s">
        <v>19</v>
      </c>
      <c r="Q66" s="580" t="s">
        <v>19</v>
      </c>
      <c r="R66" s="581" t="s">
        <v>16</v>
      </c>
      <c r="S66" s="10"/>
      <c r="T66" s="10"/>
      <c r="U66" s="10"/>
      <c r="V66" s="10"/>
      <c r="W66" s="10"/>
      <c r="X66" s="10"/>
      <c r="Y66" s="10"/>
    </row>
    <row r="67" spans="1:25" s="4" customFormat="1" ht="20.25" customHeight="1">
      <c r="A67" s="988"/>
      <c r="B67" s="990"/>
      <c r="C67" s="992"/>
      <c r="D67" s="988"/>
      <c r="E67" s="582" t="s">
        <v>369</v>
      </c>
      <c r="F67" s="564" t="s">
        <v>370</v>
      </c>
      <c r="G67" s="583">
        <v>0</v>
      </c>
      <c r="H67" s="564" t="s">
        <v>257</v>
      </c>
      <c r="I67" s="564" t="s">
        <v>280</v>
      </c>
      <c r="J67" s="564" t="s">
        <v>261</v>
      </c>
      <c r="K67" s="564" t="s">
        <v>371</v>
      </c>
      <c r="L67" s="564" t="s">
        <v>372</v>
      </c>
      <c r="M67" s="992"/>
      <c r="N67" s="992"/>
      <c r="O67" s="563" t="s">
        <v>20</v>
      </c>
      <c r="P67" s="788" t="s">
        <v>21</v>
      </c>
      <c r="Q67" s="584" t="s">
        <v>22</v>
      </c>
      <c r="R67" s="585" t="s">
        <v>17</v>
      </c>
      <c r="S67" s="10"/>
      <c r="T67" s="10"/>
      <c r="U67" s="10"/>
      <c r="V67" s="10"/>
      <c r="W67" s="10"/>
      <c r="X67" s="10"/>
      <c r="Y67" s="10"/>
    </row>
    <row r="68" spans="1:25" s="4" customFormat="1" ht="17.25" customHeight="1">
      <c r="A68" s="331" t="s">
        <v>52</v>
      </c>
      <c r="B68" s="586" t="s">
        <v>53</v>
      </c>
      <c r="C68" s="586" t="s">
        <v>54</v>
      </c>
      <c r="D68" s="331" t="s">
        <v>55</v>
      </c>
      <c r="E68" s="332" t="s">
        <v>56</v>
      </c>
      <c r="F68" s="332" t="s">
        <v>57</v>
      </c>
      <c r="G68" s="332"/>
      <c r="H68" s="332" t="s">
        <v>58</v>
      </c>
      <c r="I68" s="332" t="s">
        <v>59</v>
      </c>
      <c r="J68" s="332" t="s">
        <v>60</v>
      </c>
      <c r="K68" s="332" t="s">
        <v>61</v>
      </c>
      <c r="L68" s="334" t="s">
        <v>373</v>
      </c>
      <c r="M68" s="334" t="s">
        <v>374</v>
      </c>
      <c r="N68" s="334" t="s">
        <v>375</v>
      </c>
      <c r="O68" s="332" t="s">
        <v>62</v>
      </c>
      <c r="P68" s="48"/>
      <c r="Q68" s="48"/>
      <c r="R68" s="49"/>
      <c r="S68" s="10"/>
      <c r="T68" s="10"/>
      <c r="U68" s="10"/>
      <c r="V68" s="10"/>
      <c r="W68" s="10"/>
      <c r="X68" s="10"/>
      <c r="Y68" s="10"/>
    </row>
    <row r="69" spans="1:25" s="4" customFormat="1" ht="21.75" customHeight="1">
      <c r="A69" s="551" t="s">
        <v>3</v>
      </c>
      <c r="B69" s="550" t="s">
        <v>380</v>
      </c>
      <c r="C69" s="587"/>
      <c r="D69" s="344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7"/>
      <c r="P69" s="407"/>
      <c r="Q69" s="408"/>
      <c r="R69" s="409"/>
      <c r="S69" s="10"/>
      <c r="T69" s="10"/>
      <c r="U69" s="10"/>
      <c r="V69" s="10"/>
      <c r="W69" s="10"/>
      <c r="X69" s="10"/>
      <c r="Y69" s="10"/>
    </row>
    <row r="70" spans="1:25" s="4" customFormat="1" ht="18.600000000000001" customHeight="1">
      <c r="A70" s="351" t="s">
        <v>9</v>
      </c>
      <c r="B70" s="437" t="s">
        <v>73</v>
      </c>
      <c r="C70" s="438" t="s">
        <v>1</v>
      </c>
      <c r="D70" s="351">
        <v>1</v>
      </c>
      <c r="E70" s="353">
        <v>356340.4</v>
      </c>
      <c r="F70" s="353"/>
      <c r="G70" s="353">
        <f>$Q$1*10*P70</f>
        <v>0</v>
      </c>
      <c r="H70" s="353">
        <v>4139.1969230769228</v>
      </c>
      <c r="I70" s="353">
        <v>12009.6</v>
      </c>
      <c r="J70" s="353"/>
      <c r="K70" s="353"/>
      <c r="L70" s="353">
        <f>SUM(E70:K70)</f>
        <v>372489.19692307693</v>
      </c>
      <c r="M70" s="353">
        <v>93122.299230769233</v>
      </c>
      <c r="N70" s="349">
        <f>M70+L70</f>
        <v>465611.49615384615</v>
      </c>
      <c r="O70" s="441">
        <v>8840</v>
      </c>
      <c r="P70" s="441">
        <v>7071.9999999999991</v>
      </c>
      <c r="Q70" s="442">
        <v>1767.9999999999998</v>
      </c>
      <c r="R70" s="443">
        <v>1.4143999999999999</v>
      </c>
      <c r="S70" s="502">
        <f>N70*4%</f>
        <v>18624.459846153848</v>
      </c>
      <c r="T70" s="10">
        <f>L70*4%</f>
        <v>14899.567876923078</v>
      </c>
      <c r="U70" s="10"/>
      <c r="V70" s="10"/>
      <c r="W70" s="10"/>
      <c r="X70" s="10"/>
      <c r="Y70" s="10"/>
    </row>
    <row r="71" spans="1:25" s="10" customFormat="1" ht="18.600000000000001" customHeight="1">
      <c r="A71" s="351"/>
      <c r="B71" s="437"/>
      <c r="C71" s="438"/>
      <c r="D71" s="351">
        <v>2</v>
      </c>
      <c r="E71" s="353">
        <v>462758.8</v>
      </c>
      <c r="F71" s="353"/>
      <c r="G71" s="353">
        <f>$Q$1*10*P71</f>
        <v>0</v>
      </c>
      <c r="H71" s="353">
        <v>5173.9961538461539</v>
      </c>
      <c r="I71" s="353">
        <v>12009.6</v>
      </c>
      <c r="J71" s="353"/>
      <c r="K71" s="353"/>
      <c r="L71" s="353">
        <f>SUM(E71:K71)</f>
        <v>479942.39615384612</v>
      </c>
      <c r="M71" s="353">
        <v>119985.59903846151</v>
      </c>
      <c r="N71" s="349">
        <f>M71+L71</f>
        <v>599927.99519230763</v>
      </c>
      <c r="O71" s="441">
        <v>11480</v>
      </c>
      <c r="P71" s="441">
        <v>9184</v>
      </c>
      <c r="Q71" s="442">
        <v>2296</v>
      </c>
      <c r="R71" s="443">
        <v>1.8368</v>
      </c>
      <c r="S71" s="502">
        <f>N71*4%</f>
        <v>23997.119807692306</v>
      </c>
      <c r="T71" s="10">
        <f t="shared" ref="T71:T86" si="3">L71*4%</f>
        <v>19197.695846153845</v>
      </c>
    </row>
    <row r="72" spans="1:25" s="10" customFormat="1" ht="18.600000000000001" customHeight="1">
      <c r="A72" s="351"/>
      <c r="B72" s="437"/>
      <c r="C72" s="438"/>
      <c r="D72" s="351">
        <v>3</v>
      </c>
      <c r="E72" s="353">
        <v>602231.4</v>
      </c>
      <c r="F72" s="353"/>
      <c r="G72" s="353">
        <f>$Q$1*10*P72</f>
        <v>0</v>
      </c>
      <c r="H72" s="353">
        <v>6898.6615384615379</v>
      </c>
      <c r="I72" s="353">
        <v>12009.6</v>
      </c>
      <c r="J72" s="353"/>
      <c r="K72" s="353"/>
      <c r="L72" s="353">
        <f>SUM(E72:K72)</f>
        <v>621139.66153846157</v>
      </c>
      <c r="M72" s="353">
        <v>155284.91538461539</v>
      </c>
      <c r="N72" s="349">
        <f>M72+L72</f>
        <v>776424.57692307699</v>
      </c>
      <c r="O72" s="441">
        <v>14940</v>
      </c>
      <c r="P72" s="441">
        <v>11952</v>
      </c>
      <c r="Q72" s="442">
        <v>2988</v>
      </c>
      <c r="R72" s="443">
        <v>2.3904000000000001</v>
      </c>
      <c r="S72" s="502">
        <f>N72*4%</f>
        <v>31056.983076923079</v>
      </c>
      <c r="T72" s="10">
        <f t="shared" si="3"/>
        <v>24845.586461538463</v>
      </c>
    </row>
    <row r="73" spans="1:25" s="10" customFormat="1" ht="18.600000000000001" customHeight="1">
      <c r="A73" s="351"/>
      <c r="B73" s="437"/>
      <c r="C73" s="438"/>
      <c r="D73" s="351">
        <v>4</v>
      </c>
      <c r="E73" s="353">
        <v>782820.20000000019</v>
      </c>
      <c r="F73" s="353"/>
      <c r="G73" s="353">
        <f>$Q$1*10*P73</f>
        <v>0</v>
      </c>
      <c r="H73" s="353">
        <v>9313.1930769230767</v>
      </c>
      <c r="I73" s="353">
        <v>12009.6</v>
      </c>
      <c r="J73" s="353"/>
      <c r="K73" s="353"/>
      <c r="L73" s="353">
        <f>SUM(E73:K73)</f>
        <v>804142.99307692319</v>
      </c>
      <c r="M73" s="353">
        <v>201035.7482692308</v>
      </c>
      <c r="N73" s="349">
        <f>M73+L73</f>
        <v>1005178.741346154</v>
      </c>
      <c r="O73" s="441">
        <v>19420</v>
      </c>
      <c r="P73" s="441">
        <v>15536.000000000002</v>
      </c>
      <c r="Q73" s="442">
        <v>3884.0000000000005</v>
      </c>
      <c r="R73" s="443">
        <v>3.1072000000000002</v>
      </c>
      <c r="S73" s="502">
        <f>N73*4%</f>
        <v>40207.149653846158</v>
      </c>
      <c r="T73" s="10">
        <f t="shared" si="3"/>
        <v>32165.719723076927</v>
      </c>
    </row>
    <row r="74" spans="1:25" s="10" customFormat="1" ht="18.600000000000001" customHeight="1">
      <c r="A74" s="351"/>
      <c r="B74" s="437"/>
      <c r="C74" s="438"/>
      <c r="D74" s="351" t="s">
        <v>13</v>
      </c>
      <c r="E74" s="353">
        <v>1017424.4</v>
      </c>
      <c r="F74" s="353"/>
      <c r="G74" s="353">
        <f>$Q$1*10*P74</f>
        <v>0</v>
      </c>
      <c r="H74" s="353">
        <v>12072.657692307692</v>
      </c>
      <c r="I74" s="353">
        <v>12009.6</v>
      </c>
      <c r="J74" s="353"/>
      <c r="K74" s="353"/>
      <c r="L74" s="353">
        <f>SUM(E74:K74)</f>
        <v>1041506.6576923077</v>
      </c>
      <c r="M74" s="353">
        <v>260376.66442307693</v>
      </c>
      <c r="N74" s="349">
        <f>M74+L74</f>
        <v>1301883.3221153847</v>
      </c>
      <c r="O74" s="441">
        <v>25239.999999999996</v>
      </c>
      <c r="P74" s="441">
        <v>20191.999999999996</v>
      </c>
      <c r="Q74" s="442">
        <v>5047.9999999999991</v>
      </c>
      <c r="R74" s="443">
        <v>4.0383999999999993</v>
      </c>
      <c r="S74" s="502">
        <f>N74*4%</f>
        <v>52075.332884615389</v>
      </c>
      <c r="T74" s="10">
        <f t="shared" si="3"/>
        <v>41660.266307692313</v>
      </c>
    </row>
    <row r="75" spans="1:25" s="10" customFormat="1" ht="18.600000000000001" customHeight="1">
      <c r="A75" s="351"/>
      <c r="B75" s="437"/>
      <c r="C75" s="438"/>
      <c r="D75" s="351"/>
      <c r="E75" s="353"/>
      <c r="F75" s="353"/>
      <c r="G75" s="353"/>
      <c r="H75" s="353"/>
      <c r="I75" s="353"/>
      <c r="J75" s="353"/>
      <c r="K75" s="353"/>
      <c r="L75" s="353"/>
      <c r="M75" s="353"/>
      <c r="N75" s="349"/>
      <c r="O75" s="441"/>
      <c r="P75" s="441"/>
      <c r="Q75" s="442"/>
      <c r="R75" s="443"/>
      <c r="S75" s="502"/>
      <c r="T75" s="10">
        <f t="shared" si="3"/>
        <v>0</v>
      </c>
    </row>
    <row r="76" spans="1:25" s="10" customFormat="1" ht="18.600000000000001" customHeight="1">
      <c r="A76" s="351" t="s">
        <v>10</v>
      </c>
      <c r="B76" s="437" t="s">
        <v>381</v>
      </c>
      <c r="C76" s="438" t="s">
        <v>278</v>
      </c>
      <c r="D76" s="351">
        <v>1</v>
      </c>
      <c r="E76" s="353">
        <v>17741.625</v>
      </c>
      <c r="F76" s="353"/>
      <c r="G76" s="353">
        <f>$Q$1*10*P76</f>
        <v>0</v>
      </c>
      <c r="H76" s="353">
        <v>114.28881490384616</v>
      </c>
      <c r="I76" s="353">
        <v>61.738199999999999</v>
      </c>
      <c r="J76" s="353">
        <v>531.91999999999996</v>
      </c>
      <c r="K76" s="353">
        <v>3.1080000000000001</v>
      </c>
      <c r="L76" s="353">
        <f>SUM(E76:K76)</f>
        <v>18452.680014903843</v>
      </c>
      <c r="M76" s="353">
        <v>4613.1700037259607</v>
      </c>
      <c r="N76" s="349">
        <f>M76+L76</f>
        <v>23065.850018629804</v>
      </c>
      <c r="O76" s="441">
        <v>412.5</v>
      </c>
      <c r="P76" s="441">
        <v>330</v>
      </c>
      <c r="Q76" s="442">
        <v>82.5</v>
      </c>
      <c r="R76" s="443">
        <v>6.6000000000000003E-2</v>
      </c>
      <c r="S76" s="502">
        <f>N76*4%</f>
        <v>922.63400074519222</v>
      </c>
      <c r="T76" s="10">
        <f t="shared" si="3"/>
        <v>738.10720059615369</v>
      </c>
    </row>
    <row r="77" spans="1:25" s="10" customFormat="1" ht="18.600000000000001" customHeight="1">
      <c r="A77" s="351"/>
      <c r="B77" s="437"/>
      <c r="C77" s="438"/>
      <c r="D77" s="351">
        <v>2</v>
      </c>
      <c r="E77" s="353">
        <v>22177.03125</v>
      </c>
      <c r="F77" s="353"/>
      <c r="G77" s="353">
        <f>$Q$1*10*P77</f>
        <v>0</v>
      </c>
      <c r="H77" s="353">
        <v>142.86101862980769</v>
      </c>
      <c r="I77" s="353">
        <v>61.738199999999999</v>
      </c>
      <c r="J77" s="353">
        <v>666.12</v>
      </c>
      <c r="K77" s="353">
        <v>3.7295999999999996</v>
      </c>
      <c r="L77" s="353">
        <f>SUM(E77:K77)</f>
        <v>23051.480068629804</v>
      </c>
      <c r="M77" s="353">
        <v>5762.870017157451</v>
      </c>
      <c r="N77" s="349">
        <f>M77+L77</f>
        <v>28814.350085787257</v>
      </c>
      <c r="O77" s="441">
        <v>515.625</v>
      </c>
      <c r="P77" s="441">
        <v>412.5</v>
      </c>
      <c r="Q77" s="442">
        <v>103.125</v>
      </c>
      <c r="R77" s="443">
        <v>8.2500000000000004E-2</v>
      </c>
      <c r="S77" s="502">
        <f t="shared" ref="S77:S86" si="4">N77*4%</f>
        <v>1152.5740034314904</v>
      </c>
      <c r="T77" s="10">
        <f t="shared" si="3"/>
        <v>922.05920274519212</v>
      </c>
    </row>
    <row r="78" spans="1:25" s="10" customFormat="1" ht="18.600000000000001" customHeight="1">
      <c r="A78" s="351"/>
      <c r="B78" s="437"/>
      <c r="C78" s="438"/>
      <c r="D78" s="351">
        <v>3</v>
      </c>
      <c r="E78" s="353">
        <v>29569.375</v>
      </c>
      <c r="F78" s="353"/>
      <c r="G78" s="353">
        <f>$Q$1*10*P78</f>
        <v>0</v>
      </c>
      <c r="H78" s="353">
        <v>190.48135817307693</v>
      </c>
      <c r="I78" s="353">
        <v>61.738199999999999</v>
      </c>
      <c r="J78" s="353">
        <v>888.36</v>
      </c>
      <c r="K78" s="353">
        <v>4.9728000000000003</v>
      </c>
      <c r="L78" s="353">
        <f>SUM(E78:K78)</f>
        <v>30714.927358173078</v>
      </c>
      <c r="M78" s="353">
        <v>7678.7318395432694</v>
      </c>
      <c r="N78" s="349">
        <f>M78+L78</f>
        <v>38393.659197716348</v>
      </c>
      <c r="O78" s="441">
        <v>687.5</v>
      </c>
      <c r="P78" s="441">
        <v>550</v>
      </c>
      <c r="Q78" s="442">
        <v>137.5</v>
      </c>
      <c r="R78" s="443">
        <v>0.11</v>
      </c>
      <c r="S78" s="502">
        <f t="shared" si="4"/>
        <v>1535.7463679086541</v>
      </c>
      <c r="T78" s="10">
        <f t="shared" si="3"/>
        <v>1228.5970943269231</v>
      </c>
    </row>
    <row r="79" spans="1:25" s="10" customFormat="1" ht="18.600000000000001" customHeight="1">
      <c r="A79" s="351"/>
      <c r="B79" s="437"/>
      <c r="C79" s="438"/>
      <c r="D79" s="351">
        <v>4</v>
      </c>
      <c r="E79" s="353">
        <v>39918.656250000007</v>
      </c>
      <c r="F79" s="353"/>
      <c r="G79" s="353">
        <f>$Q$1*10*P79</f>
        <v>0</v>
      </c>
      <c r="H79" s="353">
        <v>257.14983353365386</v>
      </c>
      <c r="I79" s="353">
        <v>61.738199999999999</v>
      </c>
      <c r="J79" s="353">
        <v>1198.04</v>
      </c>
      <c r="K79" s="353">
        <v>6.8376000000000001</v>
      </c>
      <c r="L79" s="353">
        <f>SUM(E79:K79)</f>
        <v>41442.421883533658</v>
      </c>
      <c r="M79" s="353">
        <v>10360.605470883414</v>
      </c>
      <c r="N79" s="349">
        <f>M79+L79</f>
        <v>51803.02735441707</v>
      </c>
      <c r="O79" s="441">
        <v>928.12500000000011</v>
      </c>
      <c r="P79" s="441">
        <v>742.50000000000011</v>
      </c>
      <c r="Q79" s="442">
        <v>185.62500000000003</v>
      </c>
      <c r="R79" s="443">
        <v>0.14850000000000002</v>
      </c>
      <c r="S79" s="502">
        <f t="shared" si="4"/>
        <v>2072.1210941766831</v>
      </c>
      <c r="T79" s="10">
        <f t="shared" si="3"/>
        <v>1657.6968753413464</v>
      </c>
    </row>
    <row r="80" spans="1:25" s="10" customFormat="1" ht="18.600000000000001" customHeight="1">
      <c r="A80" s="351"/>
      <c r="B80" s="437"/>
      <c r="C80" s="438"/>
      <c r="D80" s="351" t="s">
        <v>13</v>
      </c>
      <c r="E80" s="353">
        <v>50267.937500000007</v>
      </c>
      <c r="F80" s="353"/>
      <c r="G80" s="353">
        <f>$Q$1*10*P80</f>
        <v>0</v>
      </c>
      <c r="H80" s="353">
        <v>333.34237680288464</v>
      </c>
      <c r="I80" s="353">
        <v>61.738199999999999</v>
      </c>
      <c r="J80" s="353">
        <v>1507.72</v>
      </c>
      <c r="K80" s="353">
        <v>8.7024000000000008</v>
      </c>
      <c r="L80" s="353">
        <f>SUM(E80:K80)</f>
        <v>52179.440476802898</v>
      </c>
      <c r="M80" s="353">
        <v>13044.860119200725</v>
      </c>
      <c r="N80" s="349">
        <f>M80+L80</f>
        <v>65224.300596003624</v>
      </c>
      <c r="O80" s="441">
        <v>1168.7500000000002</v>
      </c>
      <c r="P80" s="441">
        <v>935.00000000000011</v>
      </c>
      <c r="Q80" s="442">
        <v>233.75000000000003</v>
      </c>
      <c r="R80" s="443">
        <v>0.18700000000000003</v>
      </c>
      <c r="S80" s="502">
        <f t="shared" si="4"/>
        <v>2608.9720238401451</v>
      </c>
      <c r="T80" s="10">
        <f t="shared" si="3"/>
        <v>2087.1776190721162</v>
      </c>
    </row>
    <row r="81" spans="1:25" s="10" customFormat="1" ht="18.600000000000001" customHeight="1">
      <c r="A81" s="437"/>
      <c r="B81" s="437"/>
      <c r="C81" s="437"/>
      <c r="D81" s="351"/>
      <c r="E81" s="353"/>
      <c r="F81" s="353"/>
      <c r="G81" s="353"/>
      <c r="H81" s="353"/>
      <c r="I81" s="353"/>
      <c r="J81" s="353"/>
      <c r="K81" s="353"/>
      <c r="L81" s="353"/>
      <c r="M81" s="353"/>
      <c r="N81" s="349"/>
      <c r="O81" s="441"/>
      <c r="P81" s="441"/>
      <c r="Q81" s="442"/>
      <c r="R81" s="443"/>
      <c r="S81" s="502">
        <f t="shared" si="4"/>
        <v>0</v>
      </c>
      <c r="T81" s="10">
        <f t="shared" si="3"/>
        <v>0</v>
      </c>
    </row>
    <row r="82" spans="1:25" s="10" customFormat="1" ht="18.600000000000001" customHeight="1">
      <c r="A82" s="351" t="s">
        <v>11</v>
      </c>
      <c r="B82" s="437" t="s">
        <v>77</v>
      </c>
      <c r="C82" s="438" t="s">
        <v>278</v>
      </c>
      <c r="D82" s="351">
        <v>1</v>
      </c>
      <c r="E82" s="353">
        <v>224189.625</v>
      </c>
      <c r="F82" s="353">
        <v>16090.8</v>
      </c>
      <c r="G82" s="353">
        <f>$Q$1*10*P82</f>
        <v>0</v>
      </c>
      <c r="H82" s="353">
        <v>1375.4719326923075</v>
      </c>
      <c r="I82" s="353">
        <v>1234.7639999999999</v>
      </c>
      <c r="J82" s="353">
        <v>6736.48</v>
      </c>
      <c r="K82" s="353">
        <v>38.85</v>
      </c>
      <c r="L82" s="353">
        <f>SUM(E82:K82)</f>
        <v>249665.99093269231</v>
      </c>
      <c r="M82" s="353">
        <v>62416.49773317307</v>
      </c>
      <c r="N82" s="349">
        <f>M82+L82</f>
        <v>312082.48866586538</v>
      </c>
      <c r="O82" s="441">
        <v>5212.5000000000009</v>
      </c>
      <c r="P82" s="441">
        <v>4170</v>
      </c>
      <c r="Q82" s="442">
        <v>1042.5</v>
      </c>
      <c r="R82" s="443">
        <v>0.83400000000000007</v>
      </c>
      <c r="S82" s="502">
        <f t="shared" si="4"/>
        <v>12483.299546634616</v>
      </c>
      <c r="T82" s="10">
        <f t="shared" si="3"/>
        <v>9986.6396373076932</v>
      </c>
    </row>
    <row r="83" spans="1:25" s="10" customFormat="1" ht="18.600000000000001" customHeight="1">
      <c r="A83" s="351"/>
      <c r="B83" s="437"/>
      <c r="C83" s="438"/>
      <c r="D83" s="351">
        <v>2</v>
      </c>
      <c r="E83" s="353">
        <v>269081.3125</v>
      </c>
      <c r="F83" s="353">
        <v>19320</v>
      </c>
      <c r="G83" s="353">
        <f>$Q$1*10*P83</f>
        <v>0</v>
      </c>
      <c r="H83" s="353">
        <v>1719.3399158653842</v>
      </c>
      <c r="I83" s="353">
        <f>$I$82</f>
        <v>1234.7639999999999</v>
      </c>
      <c r="J83" s="353">
        <v>8419.08</v>
      </c>
      <c r="K83" s="353">
        <v>48.174000000000007</v>
      </c>
      <c r="L83" s="353">
        <f>SUM(E83:K83)</f>
        <v>299822.67041586543</v>
      </c>
      <c r="M83" s="353">
        <v>74955.667603966358</v>
      </c>
      <c r="N83" s="349">
        <f>M83+L83</f>
        <v>374778.3380198318</v>
      </c>
      <c r="O83" s="441">
        <v>6256.2499999999991</v>
      </c>
      <c r="P83" s="441">
        <v>5004.9999999999991</v>
      </c>
      <c r="Q83" s="442">
        <v>1251.2499999999998</v>
      </c>
      <c r="R83" s="443">
        <v>1.0009999999999999</v>
      </c>
      <c r="S83" s="502">
        <f t="shared" si="4"/>
        <v>14991.133520793272</v>
      </c>
      <c r="T83" s="10">
        <f t="shared" si="3"/>
        <v>11992.906816634617</v>
      </c>
    </row>
    <row r="84" spans="1:25" s="10" customFormat="1" ht="18.600000000000001" customHeight="1">
      <c r="A84" s="351"/>
      <c r="B84" s="437"/>
      <c r="C84" s="438"/>
      <c r="D84" s="351">
        <v>3</v>
      </c>
      <c r="E84" s="353">
        <v>322843.8125</v>
      </c>
      <c r="F84" s="353">
        <v>23184</v>
      </c>
      <c r="G84" s="353">
        <f>$Q$1*10*P84</f>
        <v>0</v>
      </c>
      <c r="H84" s="353">
        <v>2292.4532211538458</v>
      </c>
      <c r="I84" s="353">
        <f>$I$82</f>
        <v>1234.7639999999999</v>
      </c>
      <c r="J84" s="353">
        <v>11225.64</v>
      </c>
      <c r="K84" s="353">
        <v>63.713999999999999</v>
      </c>
      <c r="L84" s="353">
        <f>SUM(E84:K84)</f>
        <v>360844.38372115383</v>
      </c>
      <c r="M84" s="353">
        <v>90211.095930288458</v>
      </c>
      <c r="N84" s="349">
        <f>M84+L84</f>
        <v>451055.47965144226</v>
      </c>
      <c r="O84" s="441">
        <v>7506.2499999999991</v>
      </c>
      <c r="P84" s="441">
        <v>6004.9999999999991</v>
      </c>
      <c r="Q84" s="442">
        <v>1501.2499999999998</v>
      </c>
      <c r="R84" s="443">
        <v>1.2009999999999998</v>
      </c>
      <c r="S84" s="502">
        <f t="shared" si="4"/>
        <v>18042.21918605769</v>
      </c>
      <c r="T84" s="10">
        <f t="shared" si="3"/>
        <v>14433.775348846153</v>
      </c>
    </row>
    <row r="85" spans="1:25" s="10" customFormat="1" ht="18.600000000000001" customHeight="1">
      <c r="A85" s="351"/>
      <c r="B85" s="437"/>
      <c r="C85" s="438"/>
      <c r="D85" s="351">
        <v>4</v>
      </c>
      <c r="E85" s="353">
        <v>387358.8125</v>
      </c>
      <c r="F85" s="353">
        <v>27807</v>
      </c>
      <c r="G85" s="353">
        <f>$Q$1*10*P85</f>
        <v>0</v>
      </c>
      <c r="H85" s="353">
        <v>3094.811848557692</v>
      </c>
      <c r="I85" s="353">
        <f>$I$82</f>
        <v>1234.7639999999999</v>
      </c>
      <c r="J85" s="353">
        <v>15156.16</v>
      </c>
      <c r="K85" s="353">
        <v>85.47</v>
      </c>
      <c r="L85" s="353">
        <f>SUM(E85:K85)</f>
        <v>434737.01834855764</v>
      </c>
      <c r="M85" s="353">
        <v>108684.25458713941</v>
      </c>
      <c r="N85" s="349">
        <f>M85+L85</f>
        <v>543421.27293569711</v>
      </c>
      <c r="O85" s="441">
        <v>9006.2499999999982</v>
      </c>
      <c r="P85" s="441">
        <v>7204.9999999999991</v>
      </c>
      <c r="Q85" s="442">
        <v>1801.2499999999998</v>
      </c>
      <c r="R85" s="443">
        <v>1.4409999999999998</v>
      </c>
      <c r="S85" s="502">
        <f t="shared" si="4"/>
        <v>21736.850917427884</v>
      </c>
      <c r="T85" s="10">
        <f t="shared" si="3"/>
        <v>17389.480733942306</v>
      </c>
    </row>
    <row r="86" spans="1:25" s="10" customFormat="1" ht="18.600000000000001" customHeight="1">
      <c r="A86" s="351"/>
      <c r="B86" s="437"/>
      <c r="C86" s="438"/>
      <c r="D86" s="351" t="s">
        <v>13</v>
      </c>
      <c r="E86" s="353">
        <v>464911.21875</v>
      </c>
      <c r="F86" s="353">
        <v>33382.199999999997</v>
      </c>
      <c r="G86" s="353">
        <f>$Q$1*10*P86</f>
        <v>0</v>
      </c>
      <c r="H86" s="353">
        <v>4011.79313701923</v>
      </c>
      <c r="I86" s="353">
        <f>$I$82</f>
        <v>1234.7639999999999</v>
      </c>
      <c r="J86" s="353">
        <v>19086.080000000002</v>
      </c>
      <c r="K86" s="353">
        <v>107.226</v>
      </c>
      <c r="L86" s="353">
        <f>SUM(E86:K86)</f>
        <v>522733.28188701929</v>
      </c>
      <c r="M86" s="353">
        <v>130683.32047175482</v>
      </c>
      <c r="N86" s="349">
        <f>M86+L86</f>
        <v>653416.60235877405</v>
      </c>
      <c r="O86" s="441">
        <v>10809.375000000002</v>
      </c>
      <c r="P86" s="441">
        <v>8647.5000000000018</v>
      </c>
      <c r="Q86" s="442">
        <v>2161.8750000000005</v>
      </c>
      <c r="R86" s="443">
        <v>1.7295000000000003</v>
      </c>
      <c r="S86" s="502">
        <f t="shared" si="4"/>
        <v>26136.664094350963</v>
      </c>
      <c r="T86" s="10">
        <f t="shared" si="3"/>
        <v>20909.33127548077</v>
      </c>
    </row>
    <row r="87" spans="1:25" s="10" customFormat="1" ht="18.600000000000001" customHeight="1">
      <c r="A87" s="588"/>
      <c r="B87" s="588"/>
      <c r="C87" s="588"/>
      <c r="D87" s="361"/>
      <c r="E87" s="363"/>
      <c r="F87" s="363"/>
      <c r="G87" s="363"/>
      <c r="H87" s="363"/>
      <c r="I87" s="363"/>
      <c r="J87" s="363"/>
      <c r="K87" s="363"/>
      <c r="L87" s="363"/>
      <c r="M87" s="363"/>
      <c r="N87" s="365"/>
      <c r="O87" s="363"/>
      <c r="P87" s="441"/>
      <c r="Q87" s="442"/>
      <c r="R87" s="443"/>
      <c r="S87" s="502"/>
    </row>
    <row r="88" spans="1:25" s="10" customFormat="1" ht="23.45" customHeight="1">
      <c r="A88" s="558" t="s">
        <v>4</v>
      </c>
      <c r="B88" s="559" t="s">
        <v>382</v>
      </c>
      <c r="C88" s="437"/>
      <c r="D88" s="351"/>
      <c r="E88" s="353"/>
      <c r="F88" s="353"/>
      <c r="G88" s="353"/>
      <c r="H88" s="353"/>
      <c r="I88" s="353"/>
      <c r="J88" s="353"/>
      <c r="K88" s="353"/>
      <c r="L88" s="353"/>
      <c r="M88" s="353"/>
      <c r="N88" s="349"/>
      <c r="O88" s="353"/>
      <c r="P88" s="441"/>
      <c r="Q88" s="442"/>
      <c r="R88" s="443"/>
      <c r="S88" s="502"/>
    </row>
    <row r="89" spans="1:25" s="4" customFormat="1" ht="23.45" customHeight="1">
      <c r="A89" s="351" t="s">
        <v>9</v>
      </c>
      <c r="B89" s="437" t="s">
        <v>383</v>
      </c>
      <c r="C89" s="438"/>
      <c r="D89" s="351"/>
      <c r="E89" s="353"/>
      <c r="F89" s="353"/>
      <c r="G89" s="353"/>
      <c r="H89" s="353"/>
      <c r="I89" s="353"/>
      <c r="J89" s="353"/>
      <c r="K89" s="353"/>
      <c r="L89" s="353"/>
      <c r="M89" s="353"/>
      <c r="N89" s="349"/>
      <c r="O89" s="353"/>
      <c r="P89" s="589"/>
      <c r="Q89" s="590"/>
      <c r="R89" s="590"/>
      <c r="S89" s="502"/>
      <c r="T89" s="10"/>
      <c r="U89" s="10"/>
      <c r="V89" s="10"/>
      <c r="W89" s="10"/>
      <c r="X89" s="10"/>
      <c r="Y89" s="10"/>
    </row>
    <row r="90" spans="1:25" s="4" customFormat="1" ht="19.899999999999999" customHeight="1">
      <c r="A90" s="437"/>
      <c r="B90" s="437"/>
      <c r="C90" s="437"/>
      <c r="D90" s="351"/>
      <c r="E90" s="353"/>
      <c r="F90" s="353"/>
      <c r="G90" s="353"/>
      <c r="H90" s="353"/>
      <c r="I90" s="353"/>
      <c r="J90" s="353"/>
      <c r="K90" s="353"/>
      <c r="L90" s="353"/>
      <c r="M90" s="353"/>
      <c r="N90" s="349"/>
      <c r="O90" s="353"/>
      <c r="P90" s="441"/>
      <c r="Q90" s="442"/>
      <c r="R90" s="443"/>
      <c r="S90" s="502"/>
      <c r="T90" s="591">
        <f t="shared" ref="T90:T109" si="5">L90*2%</f>
        <v>0</v>
      </c>
      <c r="U90" s="10"/>
      <c r="V90" s="10"/>
      <c r="W90" s="10"/>
      <c r="X90" s="10"/>
      <c r="Y90" s="10"/>
    </row>
    <row r="91" spans="1:25" s="4" customFormat="1" ht="22.15" customHeight="1">
      <c r="A91" s="351" t="s">
        <v>10</v>
      </c>
      <c r="B91" s="437" t="s">
        <v>490</v>
      </c>
      <c r="C91" s="438" t="s">
        <v>278</v>
      </c>
      <c r="D91" s="351">
        <v>1</v>
      </c>
      <c r="E91" s="353">
        <v>7238.83</v>
      </c>
      <c r="F91" s="353"/>
      <c r="G91" s="353">
        <f>$Q$1*10*P91</f>
        <v>0</v>
      </c>
      <c r="H91" s="353">
        <v>170.98423676923082</v>
      </c>
      <c r="I91" s="353">
        <v>5611.8959999999997</v>
      </c>
      <c r="J91" s="353">
        <v>188.3064</v>
      </c>
      <c r="K91" s="353">
        <v>340.63679999999999</v>
      </c>
      <c r="L91" s="353">
        <f>SUM(E91:K91)</f>
        <v>13550.653436769231</v>
      </c>
      <c r="M91" s="353">
        <v>2710.130687353846</v>
      </c>
      <c r="N91" s="349">
        <f>M91+L91</f>
        <v>16260.784124123078</v>
      </c>
      <c r="O91" s="441">
        <v>195.6</v>
      </c>
      <c r="P91" s="441">
        <v>162.99999999999997</v>
      </c>
      <c r="Q91" s="442">
        <v>32.599999999999994</v>
      </c>
      <c r="R91" s="443">
        <v>3.2599999999999997E-2</v>
      </c>
      <c r="S91" s="502">
        <f>N91*3%</f>
        <v>487.82352372369235</v>
      </c>
      <c r="T91" s="591">
        <f t="shared" si="5"/>
        <v>271.01306873538465</v>
      </c>
      <c r="U91" s="10"/>
      <c r="V91" s="10"/>
      <c r="W91" s="10"/>
      <c r="X91" s="10"/>
      <c r="Y91" s="10"/>
    </row>
    <row r="92" spans="1:25" s="4" customFormat="1" ht="22.15" customHeight="1">
      <c r="A92" s="351"/>
      <c r="B92" s="437"/>
      <c r="C92" s="438"/>
      <c r="D92" s="351">
        <v>2</v>
      </c>
      <c r="E92" s="353">
        <v>9015.23</v>
      </c>
      <c r="F92" s="353"/>
      <c r="G92" s="353">
        <f>$Q$1*10*P92</f>
        <v>0</v>
      </c>
      <c r="H92" s="353">
        <v>213.7302959615385</v>
      </c>
      <c r="I92" s="353">
        <f>$I$91</f>
        <v>5611.8959999999997</v>
      </c>
      <c r="J92" s="353">
        <v>204.458</v>
      </c>
      <c r="K92" s="353">
        <v>368.60879999999997</v>
      </c>
      <c r="L92" s="353">
        <f>SUM(E92:K92)</f>
        <v>15413.923095961538</v>
      </c>
      <c r="M92" s="353">
        <v>3082.7846191923077</v>
      </c>
      <c r="N92" s="349">
        <f>M92+L92</f>
        <v>18496.707715153847</v>
      </c>
      <c r="O92" s="441">
        <v>243.6</v>
      </c>
      <c r="P92" s="441">
        <v>203</v>
      </c>
      <c r="Q92" s="442">
        <v>40.599999999999994</v>
      </c>
      <c r="R92" s="443">
        <v>4.0599999999999997E-2</v>
      </c>
      <c r="S92" s="502">
        <f t="shared" ref="S92:S103" si="6">N92*3%</f>
        <v>554.90123145461541</v>
      </c>
      <c r="T92" s="591">
        <f t="shared" si="5"/>
        <v>308.27846191923078</v>
      </c>
      <c r="U92" s="10"/>
      <c r="V92" s="10"/>
      <c r="W92" s="10"/>
      <c r="X92" s="10"/>
      <c r="Y92" s="10"/>
    </row>
    <row r="93" spans="1:25" s="4" customFormat="1" ht="22.15" customHeight="1">
      <c r="A93" s="351"/>
      <c r="B93" s="437"/>
      <c r="C93" s="438"/>
      <c r="D93" s="351">
        <v>3</v>
      </c>
      <c r="E93" s="353">
        <v>9636.9699999999993</v>
      </c>
      <c r="F93" s="353"/>
      <c r="G93" s="353">
        <f>$Q$1*10*P93</f>
        <v>0</v>
      </c>
      <c r="H93" s="353">
        <v>284.97372794871802</v>
      </c>
      <c r="I93" s="353">
        <f>$I$91</f>
        <v>5611.8959999999997</v>
      </c>
      <c r="J93" s="353">
        <v>232.25959999999998</v>
      </c>
      <c r="K93" s="353">
        <v>419.89080000000001</v>
      </c>
      <c r="L93" s="353">
        <f>SUM(E93:K93)</f>
        <v>16185.990127948717</v>
      </c>
      <c r="M93" s="353">
        <v>3237.1980255897438</v>
      </c>
      <c r="N93" s="349">
        <f>M93+L93</f>
        <v>19423.18815353846</v>
      </c>
      <c r="O93" s="441">
        <v>260.40000000000003</v>
      </c>
      <c r="P93" s="441">
        <v>217</v>
      </c>
      <c r="Q93" s="442">
        <v>43.4</v>
      </c>
      <c r="R93" s="443">
        <v>4.3400000000000001E-2</v>
      </c>
      <c r="S93" s="502">
        <f t="shared" si="6"/>
        <v>582.69564460615379</v>
      </c>
      <c r="T93" s="591">
        <f t="shared" si="5"/>
        <v>323.71980255897432</v>
      </c>
      <c r="U93" s="10"/>
      <c r="V93" s="10"/>
      <c r="W93" s="10"/>
      <c r="X93" s="10"/>
      <c r="Y93" s="10"/>
    </row>
    <row r="94" spans="1:25" s="4" customFormat="1" ht="22.15" customHeight="1">
      <c r="A94" s="351"/>
      <c r="B94" s="437"/>
      <c r="C94" s="438"/>
      <c r="D94" s="351">
        <v>4</v>
      </c>
      <c r="E94" s="353">
        <v>16254.06</v>
      </c>
      <c r="F94" s="353"/>
      <c r="G94" s="353">
        <f>$Q$1*10*P94</f>
        <v>0</v>
      </c>
      <c r="H94" s="353">
        <v>384.71453273076935</v>
      </c>
      <c r="I94" s="353">
        <f>$I$91</f>
        <v>5611.8959999999997</v>
      </c>
      <c r="J94" s="353">
        <v>271.1112</v>
      </c>
      <c r="K94" s="353">
        <v>488.42220000000003</v>
      </c>
      <c r="L94" s="353">
        <f>SUM(E94:K94)</f>
        <v>23010.203932730768</v>
      </c>
      <c r="M94" s="353">
        <v>4602.0407865461539</v>
      </c>
      <c r="N94" s="349">
        <f>M94+L94</f>
        <v>27612.244719276921</v>
      </c>
      <c r="O94" s="441">
        <v>439.2</v>
      </c>
      <c r="P94" s="441">
        <v>366</v>
      </c>
      <c r="Q94" s="442">
        <v>73.2</v>
      </c>
      <c r="R94" s="443">
        <v>7.3200000000000001E-2</v>
      </c>
      <c r="S94" s="502">
        <f t="shared" si="6"/>
        <v>828.36734157830756</v>
      </c>
      <c r="T94" s="591">
        <f t="shared" si="5"/>
        <v>460.20407865461539</v>
      </c>
      <c r="U94" s="10"/>
      <c r="V94" s="10"/>
      <c r="W94" s="10"/>
      <c r="X94" s="10"/>
      <c r="Y94" s="10"/>
    </row>
    <row r="95" spans="1:25" s="4" customFormat="1" ht="22.15" customHeight="1">
      <c r="A95" s="351"/>
      <c r="B95" s="437"/>
      <c r="C95" s="438"/>
      <c r="D95" s="351" t="s">
        <v>13</v>
      </c>
      <c r="E95" s="353">
        <v>20473.010000000002</v>
      </c>
      <c r="F95" s="353"/>
      <c r="G95" s="353">
        <f>$Q$1*10*P95</f>
        <v>0</v>
      </c>
      <c r="H95" s="353">
        <v>498.70402391025652</v>
      </c>
      <c r="I95" s="353">
        <f>$I$91</f>
        <v>5611.8959999999997</v>
      </c>
      <c r="J95" s="353">
        <v>309.6728</v>
      </c>
      <c r="K95" s="353">
        <v>558.35220000000004</v>
      </c>
      <c r="L95" s="353">
        <f>SUM(E95:K95)</f>
        <v>27451.635023910261</v>
      </c>
      <c r="M95" s="353">
        <v>5490.3270047820524</v>
      </c>
      <c r="N95" s="349">
        <f>M95+L95</f>
        <v>32941.962028692316</v>
      </c>
      <c r="O95" s="441">
        <v>553.20000000000005</v>
      </c>
      <c r="P95" s="441">
        <v>461</v>
      </c>
      <c r="Q95" s="442">
        <v>92.2</v>
      </c>
      <c r="R95" s="443">
        <v>9.2200000000000004E-2</v>
      </c>
      <c r="S95" s="502">
        <f t="shared" si="6"/>
        <v>988.25886086076946</v>
      </c>
      <c r="T95" s="591">
        <f t="shared" si="5"/>
        <v>549.03270047820524</v>
      </c>
      <c r="U95" s="10"/>
      <c r="V95" s="10"/>
      <c r="W95" s="10"/>
      <c r="X95" s="10"/>
      <c r="Y95" s="10"/>
    </row>
    <row r="96" spans="1:25" s="4" customFormat="1" ht="19.899999999999999" customHeight="1">
      <c r="A96" s="437"/>
      <c r="B96" s="437"/>
      <c r="C96" s="437"/>
      <c r="D96" s="351"/>
      <c r="E96" s="353"/>
      <c r="F96" s="353"/>
      <c r="G96" s="353"/>
      <c r="H96" s="353"/>
      <c r="I96" s="353"/>
      <c r="J96" s="353"/>
      <c r="K96" s="353"/>
      <c r="L96" s="353"/>
      <c r="M96" s="353"/>
      <c r="N96" s="349"/>
      <c r="O96" s="441"/>
      <c r="P96" s="441"/>
      <c r="Q96" s="442"/>
      <c r="R96" s="443"/>
      <c r="S96" s="502">
        <f t="shared" si="6"/>
        <v>0</v>
      </c>
      <c r="T96" s="591">
        <f t="shared" si="5"/>
        <v>0</v>
      </c>
      <c r="U96" s="10"/>
      <c r="V96" s="10"/>
      <c r="W96" s="10"/>
      <c r="X96" s="10"/>
      <c r="Y96" s="10"/>
    </row>
    <row r="97" spans="1:25" s="4" customFormat="1" ht="20.25" customHeight="1">
      <c r="A97" s="987" t="s">
        <v>376</v>
      </c>
      <c r="B97" s="989" t="s">
        <v>377</v>
      </c>
      <c r="C97" s="991" t="s">
        <v>378</v>
      </c>
      <c r="D97" s="987" t="s">
        <v>91</v>
      </c>
      <c r="E97" s="996" t="s">
        <v>368</v>
      </c>
      <c r="F97" s="997"/>
      <c r="G97" s="997"/>
      <c r="H97" s="997"/>
      <c r="I97" s="997"/>
      <c r="J97" s="997"/>
      <c r="K97" s="997"/>
      <c r="L97" s="998"/>
      <c r="M97" s="991" t="s">
        <v>427</v>
      </c>
      <c r="N97" s="991" t="s">
        <v>379</v>
      </c>
      <c r="O97" s="579" t="s">
        <v>18</v>
      </c>
      <c r="P97" s="787" t="s">
        <v>19</v>
      </c>
      <c r="Q97" s="580" t="s">
        <v>19</v>
      </c>
      <c r="R97" s="581" t="s">
        <v>16</v>
      </c>
      <c r="S97" s="10"/>
      <c r="T97" s="10"/>
      <c r="U97" s="10"/>
      <c r="V97" s="10"/>
      <c r="W97" s="10"/>
      <c r="X97" s="10"/>
      <c r="Y97" s="10"/>
    </row>
    <row r="98" spans="1:25" s="4" customFormat="1" ht="20.25" customHeight="1">
      <c r="A98" s="988"/>
      <c r="B98" s="990"/>
      <c r="C98" s="992"/>
      <c r="D98" s="988"/>
      <c r="E98" s="582" t="s">
        <v>369</v>
      </c>
      <c r="F98" s="564" t="s">
        <v>370</v>
      </c>
      <c r="G98" s="583">
        <v>0</v>
      </c>
      <c r="H98" s="564" t="s">
        <v>257</v>
      </c>
      <c r="I98" s="564" t="s">
        <v>280</v>
      </c>
      <c r="J98" s="564" t="s">
        <v>261</v>
      </c>
      <c r="K98" s="564" t="s">
        <v>371</v>
      </c>
      <c r="L98" s="564" t="s">
        <v>372</v>
      </c>
      <c r="M98" s="992"/>
      <c r="N98" s="992"/>
      <c r="O98" s="563" t="s">
        <v>20</v>
      </c>
      <c r="P98" s="788" t="s">
        <v>21</v>
      </c>
      <c r="Q98" s="584" t="s">
        <v>22</v>
      </c>
      <c r="R98" s="585" t="s">
        <v>17</v>
      </c>
      <c r="S98" s="10"/>
      <c r="T98" s="10"/>
      <c r="U98" s="10"/>
      <c r="V98" s="10"/>
      <c r="W98" s="10"/>
      <c r="X98" s="10"/>
      <c r="Y98" s="10"/>
    </row>
    <row r="99" spans="1:25" s="4" customFormat="1" ht="17.25" customHeight="1">
      <c r="A99" s="331" t="s">
        <v>52</v>
      </c>
      <c r="B99" s="586" t="s">
        <v>53</v>
      </c>
      <c r="C99" s="586" t="s">
        <v>54</v>
      </c>
      <c r="D99" s="331" t="s">
        <v>55</v>
      </c>
      <c r="E99" s="332" t="s">
        <v>56</v>
      </c>
      <c r="F99" s="332" t="s">
        <v>57</v>
      </c>
      <c r="G99" s="332"/>
      <c r="H99" s="332" t="s">
        <v>58</v>
      </c>
      <c r="I99" s="332" t="s">
        <v>59</v>
      </c>
      <c r="J99" s="332" t="s">
        <v>60</v>
      </c>
      <c r="K99" s="332" t="s">
        <v>61</v>
      </c>
      <c r="L99" s="334" t="s">
        <v>373</v>
      </c>
      <c r="M99" s="334" t="s">
        <v>374</v>
      </c>
      <c r="N99" s="334" t="s">
        <v>375</v>
      </c>
      <c r="O99" s="332" t="s">
        <v>62</v>
      </c>
      <c r="P99" s="48"/>
      <c r="Q99" s="48"/>
      <c r="R99" s="49"/>
      <c r="S99" s="10"/>
      <c r="T99" s="10"/>
      <c r="U99" s="10"/>
      <c r="V99" s="10"/>
      <c r="W99" s="10"/>
      <c r="X99" s="10"/>
      <c r="Y99" s="10"/>
    </row>
    <row r="100" spans="1:25" s="4" customFormat="1" ht="19.899999999999999" customHeight="1">
      <c r="A100" s="351" t="s">
        <v>11</v>
      </c>
      <c r="B100" s="437" t="s">
        <v>384</v>
      </c>
      <c r="C100" s="438" t="s">
        <v>278</v>
      </c>
      <c r="D100" s="351" t="s">
        <v>476</v>
      </c>
      <c r="E100" s="353">
        <v>5851.5</v>
      </c>
      <c r="F100" s="353"/>
      <c r="G100" s="353">
        <f>$Q$1*10*P100</f>
        <v>0</v>
      </c>
      <c r="H100" s="353"/>
      <c r="I100" s="353"/>
      <c r="J100" s="353"/>
      <c r="K100" s="353"/>
      <c r="L100" s="353">
        <f>SUM(E100:K100)</f>
        <v>5851.5</v>
      </c>
      <c r="M100" s="353">
        <v>1170.3</v>
      </c>
      <c r="N100" s="349">
        <f>M100+L100</f>
        <v>7021.8</v>
      </c>
      <c r="O100" s="441">
        <v>180</v>
      </c>
      <c r="P100" s="441">
        <v>150</v>
      </c>
      <c r="Q100" s="442">
        <v>30</v>
      </c>
      <c r="R100" s="443">
        <v>0.03</v>
      </c>
      <c r="S100" s="502">
        <f t="shared" si="6"/>
        <v>210.654</v>
      </c>
      <c r="T100" s="591">
        <f t="shared" si="5"/>
        <v>117.03</v>
      </c>
      <c r="U100" s="10"/>
      <c r="V100" s="10"/>
      <c r="W100" s="10"/>
      <c r="X100" s="10"/>
      <c r="Y100" s="10"/>
    </row>
    <row r="101" spans="1:25" s="4" customFormat="1" ht="19.899999999999999" customHeight="1">
      <c r="A101" s="351"/>
      <c r="B101" s="437" t="s">
        <v>387</v>
      </c>
      <c r="C101" s="438"/>
      <c r="D101" s="351"/>
      <c r="E101" s="353"/>
      <c r="F101" s="353"/>
      <c r="G101" s="353"/>
      <c r="H101" s="353"/>
      <c r="I101" s="353"/>
      <c r="J101" s="353"/>
      <c r="K101" s="353"/>
      <c r="L101" s="353"/>
      <c r="M101" s="353"/>
      <c r="N101" s="349"/>
      <c r="O101" s="441"/>
      <c r="P101" s="441"/>
      <c r="Q101" s="442"/>
      <c r="R101" s="443"/>
      <c r="S101" s="502">
        <f t="shared" si="6"/>
        <v>0</v>
      </c>
      <c r="T101" s="591">
        <f t="shared" si="5"/>
        <v>0</v>
      </c>
      <c r="U101" s="10"/>
      <c r="V101" s="10"/>
      <c r="W101" s="10"/>
      <c r="X101" s="10"/>
      <c r="Y101" s="10"/>
    </row>
    <row r="102" spans="1:25" s="4" customFormat="1" ht="19.899999999999999" customHeight="1">
      <c r="A102" s="351"/>
      <c r="B102" s="437"/>
      <c r="C102" s="438"/>
      <c r="D102" s="351"/>
      <c r="E102" s="353"/>
      <c r="F102" s="353"/>
      <c r="G102" s="353"/>
      <c r="H102" s="353"/>
      <c r="I102" s="353"/>
      <c r="J102" s="353"/>
      <c r="K102" s="353"/>
      <c r="L102" s="353"/>
      <c r="M102" s="353"/>
      <c r="N102" s="349"/>
      <c r="O102" s="441"/>
      <c r="P102" s="441"/>
      <c r="Q102" s="442"/>
      <c r="R102" s="592"/>
      <c r="S102" s="502">
        <f t="shared" si="6"/>
        <v>0</v>
      </c>
      <c r="T102" s="591">
        <f t="shared" si="5"/>
        <v>0</v>
      </c>
      <c r="U102" s="10"/>
      <c r="V102" s="10"/>
      <c r="W102" s="10"/>
      <c r="X102" s="10"/>
      <c r="Y102" s="10"/>
    </row>
    <row r="103" spans="1:25" s="4" customFormat="1" ht="19.899999999999999" customHeight="1">
      <c r="A103" s="351" t="s">
        <v>12</v>
      </c>
      <c r="B103" s="437" t="s">
        <v>363</v>
      </c>
      <c r="C103" s="438" t="s">
        <v>278</v>
      </c>
      <c r="D103" s="351" t="s">
        <v>476</v>
      </c>
      <c r="E103" s="352">
        <v>5071.3</v>
      </c>
      <c r="F103" s="353"/>
      <c r="G103" s="353">
        <f>$Q$1*10*P103</f>
        <v>0</v>
      </c>
      <c r="H103" s="353">
        <v>184.59746666666666</v>
      </c>
      <c r="I103" s="353">
        <v>1232.28</v>
      </c>
      <c r="J103" s="353">
        <v>105.78</v>
      </c>
      <c r="K103" s="353">
        <v>191.142</v>
      </c>
      <c r="L103" s="353">
        <f>SUM(E103:K103)</f>
        <v>6785.0994666666666</v>
      </c>
      <c r="M103" s="353">
        <v>1357.0198933333334</v>
      </c>
      <c r="N103" s="349">
        <f>M103+L103</f>
        <v>8142.1193599999997</v>
      </c>
      <c r="O103" s="441">
        <v>156</v>
      </c>
      <c r="P103" s="441">
        <v>130</v>
      </c>
      <c r="Q103" s="442">
        <v>26.000000000000004</v>
      </c>
      <c r="R103" s="443">
        <v>2.6000000000000002E-2</v>
      </c>
      <c r="S103" s="502">
        <f t="shared" si="6"/>
        <v>244.26358079999997</v>
      </c>
      <c r="T103" s="591">
        <f t="shared" si="5"/>
        <v>135.70198933333333</v>
      </c>
      <c r="U103" s="10"/>
      <c r="V103" s="10"/>
      <c r="W103" s="10"/>
      <c r="X103" s="10"/>
      <c r="Y103" s="10"/>
    </row>
    <row r="104" spans="1:25" s="4" customFormat="1" ht="19.899999999999999" customHeight="1">
      <c r="A104" s="361"/>
      <c r="B104" s="588"/>
      <c r="C104" s="593"/>
      <c r="D104" s="361"/>
      <c r="E104" s="362"/>
      <c r="F104" s="363"/>
      <c r="G104" s="353"/>
      <c r="H104" s="363"/>
      <c r="I104" s="363"/>
      <c r="J104" s="363"/>
      <c r="K104" s="363"/>
      <c r="L104" s="353"/>
      <c r="M104" s="353"/>
      <c r="N104" s="349"/>
      <c r="O104" s="441"/>
      <c r="P104" s="441"/>
      <c r="Q104" s="442"/>
      <c r="R104" s="592"/>
      <c r="S104" s="502"/>
      <c r="T104" s="591">
        <f t="shared" si="5"/>
        <v>0</v>
      </c>
      <c r="U104" s="10"/>
      <c r="V104" s="10"/>
      <c r="W104" s="10"/>
      <c r="X104" s="10"/>
      <c r="Y104" s="10"/>
    </row>
    <row r="105" spans="1:25" s="4" customFormat="1" ht="19.899999999999999" customHeight="1">
      <c r="A105" s="351" t="s">
        <v>13</v>
      </c>
      <c r="B105" s="437" t="s">
        <v>491</v>
      </c>
      <c r="C105" s="438" t="s">
        <v>1</v>
      </c>
      <c r="D105" s="351" t="s">
        <v>476</v>
      </c>
      <c r="E105" s="362">
        <v>18724.8</v>
      </c>
      <c r="F105" s="363"/>
      <c r="G105" s="353">
        <f>$Q$1*10*P105</f>
        <v>0</v>
      </c>
      <c r="H105" s="363">
        <v>1053.6843153846153</v>
      </c>
      <c r="I105" s="363">
        <v>17986.752</v>
      </c>
      <c r="J105" s="363">
        <v>560</v>
      </c>
      <c r="K105" s="363">
        <v>745.92</v>
      </c>
      <c r="L105" s="353">
        <f>SUM(E105:K105)</f>
        <v>39071.156315384615</v>
      </c>
      <c r="M105" s="353">
        <v>7814.2312630769229</v>
      </c>
      <c r="N105" s="349">
        <f>M105+L105</f>
        <v>46885.387578461537</v>
      </c>
      <c r="O105" s="441">
        <v>576</v>
      </c>
      <c r="P105" s="441">
        <v>480</v>
      </c>
      <c r="Q105" s="442">
        <v>96</v>
      </c>
      <c r="R105" s="592">
        <v>9.6000000000000002E-2</v>
      </c>
      <c r="S105" s="502">
        <f>N105*3%</f>
        <v>1406.561627353846</v>
      </c>
      <c r="T105" s="591">
        <f t="shared" si="5"/>
        <v>781.42312630769231</v>
      </c>
      <c r="U105" s="10"/>
      <c r="V105" s="10"/>
      <c r="W105" s="10"/>
      <c r="X105" s="10"/>
      <c r="Y105" s="10"/>
    </row>
    <row r="106" spans="1:25" s="4" customFormat="1" ht="19.899999999999999" customHeight="1">
      <c r="A106" s="594"/>
      <c r="B106" s="595"/>
      <c r="C106" s="593"/>
      <c r="D106" s="361"/>
      <c r="E106" s="362"/>
      <c r="F106" s="363"/>
      <c r="G106" s="353"/>
      <c r="H106" s="363"/>
      <c r="I106" s="363"/>
      <c r="J106" s="363"/>
      <c r="K106" s="363"/>
      <c r="L106" s="353"/>
      <c r="M106" s="353"/>
      <c r="N106" s="349"/>
      <c r="O106" s="441"/>
      <c r="P106" s="441"/>
      <c r="Q106" s="442"/>
      <c r="R106" s="592"/>
      <c r="S106" s="502"/>
      <c r="T106" s="591">
        <f t="shared" si="5"/>
        <v>0</v>
      </c>
      <c r="U106" s="10"/>
      <c r="V106" s="10"/>
      <c r="W106" s="10"/>
      <c r="X106" s="10"/>
      <c r="Y106" s="10"/>
    </row>
    <row r="107" spans="1:25" s="4" customFormat="1" ht="19.899999999999999" customHeight="1">
      <c r="A107" s="351" t="s">
        <v>14</v>
      </c>
      <c r="B107" s="437" t="s">
        <v>365</v>
      </c>
      <c r="C107" s="438" t="s">
        <v>1</v>
      </c>
      <c r="D107" s="351" t="s">
        <v>476</v>
      </c>
      <c r="E107" s="362">
        <v>18724.8</v>
      </c>
      <c r="F107" s="363"/>
      <c r="G107" s="353">
        <f>$Q$1*10*P107</f>
        <v>0</v>
      </c>
      <c r="H107" s="363">
        <v>225.78949615384616</v>
      </c>
      <c r="I107" s="363">
        <v>3854.3040000000001</v>
      </c>
      <c r="J107" s="363"/>
      <c r="K107" s="363"/>
      <c r="L107" s="353">
        <f>SUM(E107:K107)</f>
        <v>22804.893496153847</v>
      </c>
      <c r="M107" s="353">
        <v>4560.9786992307691</v>
      </c>
      <c r="N107" s="349">
        <f>M107+L107</f>
        <v>27365.872195384618</v>
      </c>
      <c r="O107" s="441">
        <v>576</v>
      </c>
      <c r="P107" s="441">
        <v>480</v>
      </c>
      <c r="Q107" s="442">
        <v>96</v>
      </c>
      <c r="R107" s="592">
        <v>9.6000000000000002E-2</v>
      </c>
      <c r="S107" s="502">
        <f>N107*3%</f>
        <v>820.97616586153856</v>
      </c>
      <c r="T107" s="591">
        <f t="shared" si="5"/>
        <v>456.09786992307693</v>
      </c>
      <c r="U107" s="10"/>
      <c r="V107" s="10"/>
      <c r="W107" s="10"/>
      <c r="X107" s="10"/>
      <c r="Y107" s="10"/>
    </row>
    <row r="108" spans="1:25" s="4" customFormat="1" ht="19.899999999999999" customHeight="1">
      <c r="A108" s="361"/>
      <c r="B108" s="588"/>
      <c r="C108" s="593"/>
      <c r="D108" s="361"/>
      <c r="E108" s="362"/>
      <c r="F108" s="363"/>
      <c r="G108" s="353"/>
      <c r="H108" s="363"/>
      <c r="I108" s="363"/>
      <c r="J108" s="363"/>
      <c r="K108" s="363"/>
      <c r="L108" s="353"/>
      <c r="M108" s="353"/>
      <c r="N108" s="349"/>
      <c r="O108" s="441"/>
      <c r="P108" s="441"/>
      <c r="Q108" s="442"/>
      <c r="R108" s="592"/>
      <c r="S108" s="502"/>
      <c r="T108" s="591">
        <f t="shared" si="5"/>
        <v>0</v>
      </c>
      <c r="U108" s="10"/>
      <c r="V108" s="10"/>
      <c r="W108" s="10"/>
      <c r="X108" s="10"/>
      <c r="Y108" s="10"/>
    </row>
    <row r="109" spans="1:25" s="4" customFormat="1" ht="19.899999999999999" customHeight="1">
      <c r="A109" s="361" t="s">
        <v>85</v>
      </c>
      <c r="B109" s="588" t="s">
        <v>366</v>
      </c>
      <c r="C109" s="596" t="s">
        <v>1</v>
      </c>
      <c r="D109" s="361" t="s">
        <v>476</v>
      </c>
      <c r="E109" s="362">
        <v>39322.080000000002</v>
      </c>
      <c r="F109" s="363"/>
      <c r="G109" s="353">
        <f>$Q$1*10*P109</f>
        <v>0</v>
      </c>
      <c r="H109" s="363">
        <v>225.78949615384616</v>
      </c>
      <c r="I109" s="363">
        <v>3854.3040000000001</v>
      </c>
      <c r="J109" s="363"/>
      <c r="K109" s="363"/>
      <c r="L109" s="363">
        <f>SUM(E109:K109)</f>
        <v>43402.173496153846</v>
      </c>
      <c r="M109" s="353">
        <v>8680.4346992307692</v>
      </c>
      <c r="N109" s="365">
        <f>M109+L109</f>
        <v>52082.608195384615</v>
      </c>
      <c r="O109" s="441">
        <v>1209.5999999999999</v>
      </c>
      <c r="P109" s="441">
        <v>1008</v>
      </c>
      <c r="Q109" s="442">
        <v>201.6</v>
      </c>
      <c r="R109" s="592">
        <v>0.2016</v>
      </c>
      <c r="S109" s="502">
        <f>N109*3%</f>
        <v>1562.4782458615384</v>
      </c>
      <c r="T109" s="591">
        <f t="shared" si="5"/>
        <v>868.04346992307694</v>
      </c>
      <c r="U109" s="10"/>
      <c r="V109" s="10"/>
      <c r="W109" s="10"/>
      <c r="X109" s="10"/>
      <c r="Y109" s="10"/>
    </row>
    <row r="110" spans="1:25" s="4" customFormat="1" ht="19.899999999999999" customHeight="1">
      <c r="A110" s="377"/>
      <c r="B110" s="597"/>
      <c r="C110" s="598"/>
      <c r="D110" s="377"/>
      <c r="E110" s="379"/>
      <c r="F110" s="379"/>
      <c r="G110" s="379"/>
      <c r="H110" s="379"/>
      <c r="I110" s="379"/>
      <c r="J110" s="379"/>
      <c r="K110" s="379"/>
      <c r="L110" s="379"/>
      <c r="M110" s="379"/>
      <c r="N110" s="381"/>
      <c r="O110" s="599"/>
      <c r="P110" s="599"/>
      <c r="Q110" s="600"/>
      <c r="R110" s="601"/>
      <c r="S110" s="502"/>
      <c r="T110" s="10"/>
      <c r="U110" s="10"/>
      <c r="V110" s="10"/>
      <c r="W110" s="10"/>
      <c r="X110" s="10"/>
      <c r="Y110" s="10"/>
    </row>
    <row r="111" spans="1:25" s="4" customFormat="1" ht="8.25" customHeight="1">
      <c r="A111" s="602"/>
      <c r="B111" s="603"/>
      <c r="C111" s="604"/>
      <c r="D111" s="605"/>
      <c r="E111" s="373"/>
      <c r="F111" s="373"/>
      <c r="G111" s="373"/>
      <c r="H111" s="373"/>
      <c r="I111" s="373"/>
      <c r="J111" s="373"/>
      <c r="K111" s="373"/>
      <c r="L111" s="373"/>
      <c r="M111" s="373"/>
      <c r="N111" s="373"/>
      <c r="O111" s="606"/>
      <c r="P111" s="606"/>
      <c r="Q111" s="607"/>
      <c r="R111" s="608"/>
      <c r="S111" s="502"/>
      <c r="T111" s="10"/>
      <c r="U111" s="10"/>
      <c r="V111" s="10"/>
      <c r="W111" s="10"/>
      <c r="X111" s="10"/>
      <c r="Y111" s="10"/>
    </row>
    <row r="112" spans="1:25" s="4" customFormat="1" ht="19.149999999999999" customHeight="1">
      <c r="A112" s="683" t="s">
        <v>4</v>
      </c>
      <c r="B112" s="550" t="s">
        <v>420</v>
      </c>
      <c r="C112" s="609"/>
      <c r="D112" s="551"/>
      <c r="E112" s="550"/>
      <c r="F112" s="550"/>
      <c r="G112" s="550"/>
      <c r="H112" s="550"/>
      <c r="I112" s="550"/>
      <c r="J112" s="550"/>
      <c r="K112" s="550"/>
      <c r="L112" s="550"/>
      <c r="M112" s="550"/>
      <c r="N112" s="550"/>
      <c r="O112" s="552"/>
      <c r="P112" s="553"/>
      <c r="Q112" s="554"/>
      <c r="R112" s="555"/>
      <c r="S112" s="502"/>
      <c r="T112" s="10"/>
      <c r="U112" s="10"/>
      <c r="V112" s="10"/>
      <c r="W112" s="10"/>
      <c r="X112" s="10"/>
      <c r="Y112" s="10"/>
    </row>
    <row r="113" spans="1:25" s="4" customFormat="1" ht="19.149999999999999" customHeight="1">
      <c r="A113" s="978" t="s">
        <v>9</v>
      </c>
      <c r="B113" s="981" t="s">
        <v>492</v>
      </c>
      <c r="C113" s="984" t="s">
        <v>1</v>
      </c>
      <c r="D113" s="694" t="s">
        <v>9</v>
      </c>
      <c r="E113" s="356">
        <f t="shared" ref="E113:Q117" si="7">E70+E$105+E$107+E$109</f>
        <v>433112.08</v>
      </c>
      <c r="F113" s="356">
        <f t="shared" si="7"/>
        <v>0</v>
      </c>
      <c r="G113" s="356">
        <f t="shared" si="7"/>
        <v>0</v>
      </c>
      <c r="H113" s="356">
        <f t="shared" si="7"/>
        <v>5644.4602307692294</v>
      </c>
      <c r="I113" s="356">
        <f t="shared" si="7"/>
        <v>37704.960000000006</v>
      </c>
      <c r="J113" s="356">
        <f t="shared" si="7"/>
        <v>560</v>
      </c>
      <c r="K113" s="356">
        <f t="shared" si="7"/>
        <v>745.92</v>
      </c>
      <c r="L113" s="356">
        <f t="shared" si="7"/>
        <v>477767.42023076926</v>
      </c>
      <c r="M113" s="356">
        <f t="shared" si="7"/>
        <v>114177.9438923077</v>
      </c>
      <c r="N113" s="556">
        <f t="shared" si="7"/>
        <v>591945.3641230769</v>
      </c>
      <c r="O113" s="356">
        <f t="shared" si="7"/>
        <v>11201.6</v>
      </c>
      <c r="P113" s="556">
        <f t="shared" si="7"/>
        <v>9040</v>
      </c>
      <c r="Q113" s="556">
        <f t="shared" si="7"/>
        <v>2161.6</v>
      </c>
      <c r="R113" s="556"/>
      <c r="S113" s="610">
        <f t="shared" ref="S113:T117" si="8">S70+S$105+S$107+S$109</f>
        <v>22414.475885230771</v>
      </c>
      <c r="T113" s="610">
        <f t="shared" si="8"/>
        <v>17005.132343076923</v>
      </c>
      <c r="U113" s="10"/>
      <c r="V113" s="10"/>
      <c r="W113" s="10"/>
      <c r="X113" s="10"/>
      <c r="Y113" s="10"/>
    </row>
    <row r="114" spans="1:25" s="4" customFormat="1" ht="19.149999999999999" customHeight="1">
      <c r="A114" s="979"/>
      <c r="B114" s="982"/>
      <c r="C114" s="985"/>
      <c r="D114" s="695" t="s">
        <v>10</v>
      </c>
      <c r="E114" s="356">
        <f t="shared" si="7"/>
        <v>539530.48</v>
      </c>
      <c r="F114" s="356">
        <f t="shared" si="7"/>
        <v>0</v>
      </c>
      <c r="G114" s="356">
        <f t="shared" si="7"/>
        <v>0</v>
      </c>
      <c r="H114" s="356">
        <f t="shared" si="7"/>
        <v>6679.2594615384605</v>
      </c>
      <c r="I114" s="356">
        <f t="shared" si="7"/>
        <v>37704.960000000006</v>
      </c>
      <c r="J114" s="356">
        <f t="shared" si="7"/>
        <v>560</v>
      </c>
      <c r="K114" s="356">
        <f t="shared" si="7"/>
        <v>745.92</v>
      </c>
      <c r="L114" s="356">
        <f t="shared" si="7"/>
        <v>585220.6194615385</v>
      </c>
      <c r="M114" s="356">
        <f t="shared" si="7"/>
        <v>141041.24369999996</v>
      </c>
      <c r="N114" s="556">
        <f t="shared" si="7"/>
        <v>726261.86316153838</v>
      </c>
      <c r="O114" s="356">
        <f t="shared" si="7"/>
        <v>13841.6</v>
      </c>
      <c r="P114" s="556">
        <f t="shared" si="7"/>
        <v>11152</v>
      </c>
      <c r="Q114" s="556">
        <f t="shared" si="7"/>
        <v>2689.6</v>
      </c>
      <c r="R114" s="556"/>
      <c r="S114" s="610">
        <f t="shared" si="8"/>
        <v>27787.13584676923</v>
      </c>
      <c r="T114" s="610">
        <f t="shared" si="8"/>
        <v>21303.260312307688</v>
      </c>
      <c r="U114" s="10"/>
      <c r="V114" s="10"/>
      <c r="W114" s="10"/>
      <c r="X114" s="10"/>
      <c r="Y114" s="10"/>
    </row>
    <row r="115" spans="1:25" s="4" customFormat="1" ht="19.149999999999999" customHeight="1">
      <c r="A115" s="979"/>
      <c r="B115" s="982"/>
      <c r="C115" s="985"/>
      <c r="D115" s="695" t="s">
        <v>11</v>
      </c>
      <c r="E115" s="356">
        <f t="shared" si="7"/>
        <v>679003.08000000007</v>
      </c>
      <c r="F115" s="356">
        <f t="shared" si="7"/>
        <v>0</v>
      </c>
      <c r="G115" s="356">
        <f t="shared" si="7"/>
        <v>0</v>
      </c>
      <c r="H115" s="356">
        <f t="shared" si="7"/>
        <v>8403.9248461538446</v>
      </c>
      <c r="I115" s="356">
        <f t="shared" si="7"/>
        <v>37704.960000000006</v>
      </c>
      <c r="J115" s="356">
        <f t="shared" si="7"/>
        <v>560</v>
      </c>
      <c r="K115" s="356">
        <f t="shared" si="7"/>
        <v>745.92</v>
      </c>
      <c r="L115" s="356">
        <f t="shared" si="7"/>
        <v>726417.8848461539</v>
      </c>
      <c r="M115" s="356">
        <f t="shared" si="7"/>
        <v>176340.56004615384</v>
      </c>
      <c r="N115" s="556">
        <f t="shared" si="7"/>
        <v>902758.44489230774</v>
      </c>
      <c r="O115" s="356">
        <f t="shared" si="7"/>
        <v>17301.599999999999</v>
      </c>
      <c r="P115" s="556">
        <f t="shared" si="7"/>
        <v>13920</v>
      </c>
      <c r="Q115" s="556">
        <f t="shared" si="7"/>
        <v>3381.6</v>
      </c>
      <c r="R115" s="556"/>
      <c r="S115" s="610">
        <f t="shared" si="8"/>
        <v>34846.999115999999</v>
      </c>
      <c r="T115" s="610">
        <f t="shared" si="8"/>
        <v>26951.150927692306</v>
      </c>
      <c r="U115" s="10"/>
      <c r="V115" s="10"/>
      <c r="W115" s="10"/>
      <c r="X115" s="10"/>
      <c r="Y115" s="10"/>
    </row>
    <row r="116" spans="1:25" s="4" customFormat="1" ht="19.149999999999999" customHeight="1">
      <c r="A116" s="979"/>
      <c r="B116" s="982"/>
      <c r="C116" s="985"/>
      <c r="D116" s="698" t="s">
        <v>12</v>
      </c>
      <c r="E116" s="356">
        <f t="shared" si="7"/>
        <v>859591.88000000024</v>
      </c>
      <c r="F116" s="356">
        <f t="shared" si="7"/>
        <v>0</v>
      </c>
      <c r="G116" s="356">
        <f t="shared" si="7"/>
        <v>0</v>
      </c>
      <c r="H116" s="356">
        <f t="shared" si="7"/>
        <v>10818.456384615383</v>
      </c>
      <c r="I116" s="356">
        <f t="shared" si="7"/>
        <v>37704.960000000006</v>
      </c>
      <c r="J116" s="356">
        <f t="shared" si="7"/>
        <v>560</v>
      </c>
      <c r="K116" s="356">
        <f t="shared" si="7"/>
        <v>745.92</v>
      </c>
      <c r="L116" s="356">
        <f t="shared" si="7"/>
        <v>909421.21638461552</v>
      </c>
      <c r="M116" s="356">
        <f t="shared" si="7"/>
        <v>222091.39293076925</v>
      </c>
      <c r="N116" s="556">
        <f t="shared" si="7"/>
        <v>1131512.6093153846</v>
      </c>
      <c r="O116" s="356">
        <f t="shared" si="7"/>
        <v>21781.599999999999</v>
      </c>
      <c r="P116" s="556">
        <f t="shared" si="7"/>
        <v>17504</v>
      </c>
      <c r="Q116" s="556">
        <f t="shared" si="7"/>
        <v>4277.6000000000004</v>
      </c>
      <c r="R116" s="556"/>
      <c r="S116" s="610">
        <f t="shared" si="8"/>
        <v>43997.165692923081</v>
      </c>
      <c r="T116" s="610">
        <f t="shared" si="8"/>
        <v>34271.28418923077</v>
      </c>
      <c r="U116" s="10"/>
      <c r="V116" s="10"/>
      <c r="W116" s="10"/>
      <c r="X116" s="10"/>
      <c r="Y116" s="10"/>
    </row>
    <row r="117" spans="1:25" s="4" customFormat="1" ht="19.149999999999999" customHeight="1">
      <c r="A117" s="979"/>
      <c r="B117" s="982"/>
      <c r="C117" s="985"/>
      <c r="D117" s="695" t="s">
        <v>13</v>
      </c>
      <c r="E117" s="356">
        <f t="shared" si="7"/>
        <v>1094196.08</v>
      </c>
      <c r="F117" s="356">
        <f t="shared" si="7"/>
        <v>0</v>
      </c>
      <c r="G117" s="356">
        <f t="shared" si="7"/>
        <v>0</v>
      </c>
      <c r="H117" s="356">
        <f t="shared" si="7"/>
        <v>13577.920999999998</v>
      </c>
      <c r="I117" s="356">
        <f t="shared" si="7"/>
        <v>37704.960000000006</v>
      </c>
      <c r="J117" s="356">
        <f t="shared" si="7"/>
        <v>560</v>
      </c>
      <c r="K117" s="356">
        <f t="shared" si="7"/>
        <v>745.92</v>
      </c>
      <c r="L117" s="356">
        <f t="shared" si="7"/>
        <v>1146784.8810000001</v>
      </c>
      <c r="M117" s="356">
        <f t="shared" si="7"/>
        <v>281432.30908461538</v>
      </c>
      <c r="N117" s="556">
        <f t="shared" si="7"/>
        <v>1428217.1900846157</v>
      </c>
      <c r="O117" s="356">
        <f t="shared" si="7"/>
        <v>27601.599999999995</v>
      </c>
      <c r="P117" s="556">
        <f t="shared" si="7"/>
        <v>22159.999999999996</v>
      </c>
      <c r="Q117" s="556">
        <f t="shared" si="7"/>
        <v>5441.5999999999995</v>
      </c>
      <c r="R117" s="556"/>
      <c r="S117" s="610">
        <f t="shared" si="8"/>
        <v>55865.348923692312</v>
      </c>
      <c r="T117" s="610">
        <f t="shared" si="8"/>
        <v>43765.830773846159</v>
      </c>
      <c r="U117" s="10"/>
      <c r="V117" s="10"/>
      <c r="W117" s="10"/>
      <c r="X117" s="10"/>
      <c r="Y117" s="10"/>
    </row>
    <row r="118" spans="1:25" s="4" customFormat="1" ht="6.6" customHeight="1">
      <c r="A118" s="355"/>
      <c r="B118" s="699"/>
      <c r="C118" s="645"/>
      <c r="D118" s="694"/>
      <c r="E118" s="352"/>
      <c r="F118" s="352"/>
      <c r="G118" s="352"/>
      <c r="H118" s="352"/>
      <c r="I118" s="352"/>
      <c r="J118" s="352"/>
      <c r="K118" s="352"/>
      <c r="L118" s="352"/>
      <c r="M118" s="352"/>
      <c r="N118" s="560"/>
      <c r="O118" s="352"/>
      <c r="P118" s="352"/>
      <c r="Q118" s="561"/>
      <c r="R118" s="562"/>
      <c r="S118" s="502"/>
      <c r="T118" s="502"/>
      <c r="U118" s="10"/>
      <c r="V118" s="10"/>
      <c r="W118" s="10"/>
      <c r="X118" s="10"/>
      <c r="Y118" s="10"/>
    </row>
    <row r="119" spans="1:25" s="4" customFormat="1" ht="19.149999999999999" customHeight="1">
      <c r="A119" s="978" t="s">
        <v>10</v>
      </c>
      <c r="B119" s="981" t="s">
        <v>391</v>
      </c>
      <c r="C119" s="984" t="s">
        <v>278</v>
      </c>
      <c r="D119" s="695" t="s">
        <v>9</v>
      </c>
      <c r="E119" s="353">
        <f>E76+E82+E91+E$100+E$103</f>
        <v>260092.87999999998</v>
      </c>
      <c r="F119" s="353">
        <f t="shared" ref="F119:Q119" si="9">F76+F82+F91+F$100+F$103</f>
        <v>16090.8</v>
      </c>
      <c r="G119" s="353">
        <f t="shared" si="9"/>
        <v>0</v>
      </c>
      <c r="H119" s="353">
        <f t="shared" si="9"/>
        <v>1845.342451032051</v>
      </c>
      <c r="I119" s="353">
        <f t="shared" si="9"/>
        <v>8140.6781999999994</v>
      </c>
      <c r="J119" s="353">
        <f t="shared" si="9"/>
        <v>7562.4863999999998</v>
      </c>
      <c r="K119" s="353">
        <f t="shared" si="9"/>
        <v>573.7367999999999</v>
      </c>
      <c r="L119" s="353">
        <f t="shared" si="9"/>
        <v>294305.92385103204</v>
      </c>
      <c r="M119" s="353">
        <f t="shared" si="9"/>
        <v>72267.11831758621</v>
      </c>
      <c r="N119" s="349">
        <f t="shared" si="9"/>
        <v>366573.04216861824</v>
      </c>
      <c r="O119" s="353">
        <f t="shared" si="9"/>
        <v>6156.6000000000013</v>
      </c>
      <c r="P119" s="349">
        <f t="shared" si="9"/>
        <v>4943</v>
      </c>
      <c r="Q119" s="349">
        <f t="shared" si="9"/>
        <v>1213.5999999999999</v>
      </c>
      <c r="R119" s="349"/>
      <c r="S119" s="612" t="e">
        <f>S76+S82+#REF!+#REF!+S91+S$100+S$103</f>
        <v>#REF!</v>
      </c>
      <c r="T119" s="612" t="e">
        <f>T76+T82+#REF!+#REF!+T91+T$100+T$103</f>
        <v>#REF!</v>
      </c>
      <c r="U119" s="10"/>
      <c r="V119" s="10"/>
      <c r="W119" s="10"/>
      <c r="X119" s="10"/>
      <c r="Y119" s="10"/>
    </row>
    <row r="120" spans="1:25" s="4" customFormat="1" ht="19.149999999999999" customHeight="1">
      <c r="A120" s="979"/>
      <c r="B120" s="982"/>
      <c r="C120" s="985"/>
      <c r="D120" s="695" t="s">
        <v>10</v>
      </c>
      <c r="E120" s="353">
        <f t="shared" ref="E120:T123" si="10">E77+E83+E92+E$100+E$103</f>
        <v>311196.37374999997</v>
      </c>
      <c r="F120" s="353">
        <f t="shared" si="10"/>
        <v>19320</v>
      </c>
      <c r="G120" s="353">
        <f t="shared" si="10"/>
        <v>0</v>
      </c>
      <c r="H120" s="353">
        <f t="shared" si="10"/>
        <v>2260.5286971233968</v>
      </c>
      <c r="I120" s="353">
        <f t="shared" si="10"/>
        <v>8140.6781999999994</v>
      </c>
      <c r="J120" s="353">
        <f t="shared" si="10"/>
        <v>9395.4380000000019</v>
      </c>
      <c r="K120" s="353">
        <f t="shared" si="10"/>
        <v>611.6543999999999</v>
      </c>
      <c r="L120" s="353">
        <f t="shared" si="10"/>
        <v>350924.67304712348</v>
      </c>
      <c r="M120" s="353">
        <f t="shared" si="10"/>
        <v>86328.642133649439</v>
      </c>
      <c r="N120" s="349">
        <f t="shared" si="10"/>
        <v>437253.31518077292</v>
      </c>
      <c r="O120" s="353">
        <f t="shared" si="10"/>
        <v>7351.4749999999995</v>
      </c>
      <c r="P120" s="349">
        <f t="shared" si="10"/>
        <v>5900.4999999999991</v>
      </c>
      <c r="Q120" s="349">
        <f t="shared" si="10"/>
        <v>1450.9749999999997</v>
      </c>
      <c r="R120" s="349"/>
      <c r="S120" s="613" t="e">
        <f>S77+S83+#REF!+#REF!+S92+S$100+S$103</f>
        <v>#REF!</v>
      </c>
      <c r="T120" s="613" t="e">
        <f>T77+T83+#REF!+#REF!+T92+T$100+T$103</f>
        <v>#REF!</v>
      </c>
      <c r="U120" s="10"/>
      <c r="V120" s="10"/>
      <c r="W120" s="10"/>
      <c r="X120" s="10"/>
      <c r="Y120" s="10"/>
    </row>
    <row r="121" spans="1:25" s="4" customFormat="1" ht="19.149999999999999" customHeight="1">
      <c r="A121" s="979"/>
      <c r="B121" s="982"/>
      <c r="C121" s="985"/>
      <c r="D121" s="695" t="s">
        <v>11</v>
      </c>
      <c r="E121" s="353">
        <f t="shared" si="10"/>
        <v>372972.95749999996</v>
      </c>
      <c r="F121" s="353">
        <f t="shared" si="10"/>
        <v>23184</v>
      </c>
      <c r="G121" s="353">
        <f t="shared" si="10"/>
        <v>0</v>
      </c>
      <c r="H121" s="353">
        <f t="shared" si="10"/>
        <v>2952.5057739423073</v>
      </c>
      <c r="I121" s="353">
        <f t="shared" si="10"/>
        <v>8140.6781999999994</v>
      </c>
      <c r="J121" s="353">
        <f t="shared" si="10"/>
        <v>12452.0396</v>
      </c>
      <c r="K121" s="353">
        <f t="shared" si="10"/>
        <v>679.71960000000001</v>
      </c>
      <c r="L121" s="353">
        <f t="shared" si="10"/>
        <v>420381.90067394229</v>
      </c>
      <c r="M121" s="353">
        <f t="shared" si="10"/>
        <v>103654.34568875481</v>
      </c>
      <c r="N121" s="349">
        <f t="shared" si="10"/>
        <v>524036.24636269704</v>
      </c>
      <c r="O121" s="353">
        <f t="shared" si="10"/>
        <v>8790.15</v>
      </c>
      <c r="P121" s="349">
        <f t="shared" si="10"/>
        <v>7051.9999999999991</v>
      </c>
      <c r="Q121" s="349">
        <f t="shared" si="10"/>
        <v>1738.1499999999999</v>
      </c>
      <c r="R121" s="349"/>
      <c r="S121" s="613" t="e">
        <f>S78+S84+#REF!+#REF!+S93+S$100+S$103</f>
        <v>#REF!</v>
      </c>
      <c r="T121" s="613" t="e">
        <f>T78+T84+#REF!+#REF!+T93+T$100+T$103</f>
        <v>#REF!</v>
      </c>
      <c r="U121" s="10"/>
      <c r="V121" s="10"/>
      <c r="W121" s="10"/>
      <c r="X121" s="10"/>
      <c r="Y121" s="10"/>
    </row>
    <row r="122" spans="1:25" s="4" customFormat="1" ht="19.149999999999999" customHeight="1">
      <c r="A122" s="979"/>
      <c r="B122" s="982"/>
      <c r="C122" s="985"/>
      <c r="D122" s="698" t="s">
        <v>12</v>
      </c>
      <c r="E122" s="353">
        <f t="shared" si="10"/>
        <v>454454.32874999999</v>
      </c>
      <c r="F122" s="353">
        <f t="shared" si="10"/>
        <v>27807</v>
      </c>
      <c r="G122" s="353">
        <f t="shared" si="10"/>
        <v>0</v>
      </c>
      <c r="H122" s="353">
        <f t="shared" si="10"/>
        <v>3921.2736814887817</v>
      </c>
      <c r="I122" s="353">
        <f t="shared" si="10"/>
        <v>8140.6781999999994</v>
      </c>
      <c r="J122" s="353">
        <f t="shared" si="10"/>
        <v>16731.091199999999</v>
      </c>
      <c r="K122" s="353">
        <f t="shared" si="10"/>
        <v>771.87180000000012</v>
      </c>
      <c r="L122" s="353">
        <f t="shared" si="10"/>
        <v>511826.24363148876</v>
      </c>
      <c r="M122" s="353">
        <f t="shared" si="10"/>
        <v>126174.22073790232</v>
      </c>
      <c r="N122" s="349">
        <f t="shared" si="10"/>
        <v>638000.46436939109</v>
      </c>
      <c r="O122" s="353">
        <f t="shared" si="10"/>
        <v>10709.574999999999</v>
      </c>
      <c r="P122" s="349">
        <f t="shared" si="10"/>
        <v>8593.5</v>
      </c>
      <c r="Q122" s="349">
        <f t="shared" si="10"/>
        <v>2116.0749999999998</v>
      </c>
      <c r="R122" s="349"/>
      <c r="S122" s="349">
        <f t="shared" si="10"/>
        <v>25092.256933982877</v>
      </c>
      <c r="T122" s="349">
        <f t="shared" si="10"/>
        <v>19760.113677271602</v>
      </c>
      <c r="U122" s="10"/>
      <c r="V122" s="10"/>
      <c r="W122" s="10"/>
      <c r="X122" s="10"/>
      <c r="Y122" s="10"/>
    </row>
    <row r="123" spans="1:25" s="4" customFormat="1" ht="19.149999999999999" customHeight="1">
      <c r="A123" s="980"/>
      <c r="B123" s="983"/>
      <c r="C123" s="986"/>
      <c r="D123" s="697" t="s">
        <v>13</v>
      </c>
      <c r="E123" s="379">
        <f t="shared" si="10"/>
        <v>546574.96625000006</v>
      </c>
      <c r="F123" s="379">
        <f t="shared" si="10"/>
        <v>33382.199999999997</v>
      </c>
      <c r="G123" s="379">
        <f t="shared" si="10"/>
        <v>0</v>
      </c>
      <c r="H123" s="379">
        <f t="shared" si="10"/>
        <v>5028.4370043990375</v>
      </c>
      <c r="I123" s="379">
        <f t="shared" si="10"/>
        <v>8140.6781999999994</v>
      </c>
      <c r="J123" s="379">
        <f t="shared" si="10"/>
        <v>21009.252800000002</v>
      </c>
      <c r="K123" s="379">
        <f t="shared" si="10"/>
        <v>865.4226000000001</v>
      </c>
      <c r="L123" s="379">
        <f t="shared" si="10"/>
        <v>615000.95685439918</v>
      </c>
      <c r="M123" s="379">
        <f t="shared" si="10"/>
        <v>151745.82748907091</v>
      </c>
      <c r="N123" s="381">
        <f t="shared" si="10"/>
        <v>766746.78434347012</v>
      </c>
      <c r="O123" s="379">
        <f t="shared" si="10"/>
        <v>12867.325000000003</v>
      </c>
      <c r="P123" s="381">
        <f t="shared" si="10"/>
        <v>10323.500000000002</v>
      </c>
      <c r="Q123" s="381">
        <f t="shared" si="10"/>
        <v>2543.8250000000003</v>
      </c>
      <c r="R123" s="381"/>
      <c r="S123" s="613" t="e">
        <f>S80+S86+#REF!+#REF!+S95+S$100+S$103</f>
        <v>#REF!</v>
      </c>
      <c r="T123" s="613" t="e">
        <f>T80+T86+#REF!+#REF!+T95+T$100+T$103</f>
        <v>#REF!</v>
      </c>
      <c r="U123" s="10"/>
      <c r="V123" s="10"/>
      <c r="W123" s="10"/>
      <c r="X123" s="10"/>
      <c r="Y123" s="10"/>
    </row>
    <row r="124" spans="1:25" s="4" customFormat="1" ht="24" customHeight="1">
      <c r="A124" s="566"/>
      <c r="B124" s="567"/>
      <c r="C124" s="567"/>
      <c r="D124" s="566"/>
      <c r="E124" s="614"/>
      <c r="F124" s="568"/>
      <c r="G124" s="568"/>
      <c r="H124" s="568"/>
      <c r="I124" s="568"/>
      <c r="J124" s="568"/>
      <c r="K124" s="568"/>
      <c r="L124" s="568"/>
      <c r="M124" s="568"/>
      <c r="N124" s="568"/>
      <c r="O124" s="569"/>
      <c r="P124" s="569"/>
      <c r="Q124" s="570"/>
      <c r="R124" s="571"/>
      <c r="S124" s="615"/>
      <c r="T124" s="10"/>
      <c r="U124" s="10"/>
      <c r="V124" s="10"/>
      <c r="W124" s="10"/>
      <c r="X124" s="10"/>
      <c r="Y124" s="10"/>
    </row>
    <row r="125" spans="1:25" s="4" customFormat="1" ht="27.6" customHeight="1">
      <c r="A125" s="566"/>
      <c r="B125" s="567"/>
      <c r="C125" s="567"/>
      <c r="D125" s="566"/>
      <c r="E125" s="614"/>
      <c r="F125" s="568"/>
      <c r="G125" s="568"/>
      <c r="H125" s="568"/>
      <c r="I125" s="568"/>
      <c r="J125" s="568"/>
      <c r="K125" s="568"/>
      <c r="L125" s="568"/>
      <c r="M125" s="568"/>
      <c r="N125" s="568"/>
      <c r="O125" s="569"/>
      <c r="P125" s="569"/>
      <c r="Q125" s="570"/>
      <c r="R125" s="571"/>
      <c r="S125" s="615"/>
      <c r="T125" s="10"/>
      <c r="U125" s="10"/>
      <c r="V125" s="10"/>
      <c r="W125" s="10"/>
      <c r="X125" s="10"/>
      <c r="Y125" s="10"/>
    </row>
    <row r="126" spans="1:25" s="4" customFormat="1" ht="27.6" customHeight="1">
      <c r="A126" s="566"/>
      <c r="B126" s="567"/>
      <c r="C126" s="567"/>
      <c r="D126" s="566"/>
      <c r="E126" s="614"/>
      <c r="F126" s="568"/>
      <c r="G126" s="568"/>
      <c r="H126" s="568"/>
      <c r="I126" s="568"/>
      <c r="J126" s="568"/>
      <c r="K126" s="568"/>
      <c r="L126" s="568"/>
      <c r="M126" s="568"/>
      <c r="N126" s="568"/>
      <c r="O126" s="569"/>
      <c r="P126" s="569"/>
      <c r="Q126" s="570"/>
      <c r="R126" s="571"/>
      <c r="S126" s="615"/>
      <c r="T126" s="10"/>
      <c r="U126" s="10"/>
      <c r="V126" s="10"/>
      <c r="W126" s="10"/>
      <c r="X126" s="10"/>
      <c r="Y126" s="10"/>
    </row>
    <row r="127" spans="1:25" s="4" customFormat="1" ht="30.6" customHeight="1">
      <c r="A127" s="999" t="s">
        <v>394</v>
      </c>
      <c r="B127" s="999"/>
      <c r="C127" s="999"/>
      <c r="D127" s="999"/>
      <c r="E127" s="999"/>
      <c r="F127" s="999"/>
      <c r="G127" s="999"/>
      <c r="H127" s="999"/>
      <c r="I127" s="999"/>
      <c r="J127" s="999"/>
      <c r="K127" s="999"/>
      <c r="L127" s="999"/>
      <c r="M127" s="999"/>
      <c r="N127" s="999"/>
      <c r="O127" s="999"/>
      <c r="P127" s="569"/>
      <c r="Q127" s="570"/>
      <c r="R127" s="571"/>
      <c r="S127" s="615"/>
      <c r="T127" s="10"/>
      <c r="U127" s="10"/>
      <c r="V127" s="10"/>
      <c r="W127" s="10"/>
      <c r="X127" s="10"/>
      <c r="Y127" s="10"/>
    </row>
    <row r="128" spans="1:25" s="4" customFormat="1" ht="18.75" customHeight="1">
      <c r="A128" s="573"/>
      <c r="B128" s="574"/>
      <c r="C128" s="575"/>
      <c r="D128" s="576"/>
      <c r="E128" s="577"/>
      <c r="F128" s="577"/>
      <c r="G128" s="577"/>
      <c r="H128" s="577"/>
      <c r="I128" s="577"/>
      <c r="J128" s="577"/>
      <c r="K128" s="577"/>
      <c r="L128" s="577"/>
      <c r="M128" s="578"/>
      <c r="N128" s="1000" t="s">
        <v>428</v>
      </c>
      <c r="O128" s="1000"/>
      <c r="P128" s="569"/>
      <c r="Q128" s="570"/>
      <c r="R128" s="571"/>
      <c r="S128" s="615"/>
      <c r="T128" s="10"/>
      <c r="U128" s="10"/>
      <c r="V128" s="10"/>
      <c r="W128" s="10"/>
      <c r="X128" s="10"/>
      <c r="Y128" s="10"/>
    </row>
    <row r="129" spans="1:25" s="4" customFormat="1" ht="20.25" customHeight="1">
      <c r="A129" s="987" t="s">
        <v>376</v>
      </c>
      <c r="B129" s="989" t="s">
        <v>377</v>
      </c>
      <c r="C129" s="991" t="s">
        <v>378</v>
      </c>
      <c r="D129" s="987" t="s">
        <v>91</v>
      </c>
      <c r="E129" s="996" t="s">
        <v>368</v>
      </c>
      <c r="F129" s="997"/>
      <c r="G129" s="997"/>
      <c r="H129" s="997"/>
      <c r="I129" s="997"/>
      <c r="J129" s="997"/>
      <c r="K129" s="997"/>
      <c r="L129" s="998"/>
      <c r="M129" s="991" t="s">
        <v>427</v>
      </c>
      <c r="N129" s="991" t="s">
        <v>379</v>
      </c>
      <c r="O129" s="579" t="s">
        <v>18</v>
      </c>
      <c r="P129" s="787" t="s">
        <v>19</v>
      </c>
      <c r="Q129" s="580" t="s">
        <v>19</v>
      </c>
      <c r="R129" s="581" t="s">
        <v>16</v>
      </c>
      <c r="S129" s="615"/>
      <c r="T129" s="10"/>
      <c r="U129" s="10"/>
      <c r="V129" s="10"/>
      <c r="W129" s="10"/>
      <c r="X129" s="10"/>
      <c r="Y129" s="10"/>
    </row>
    <row r="130" spans="1:25" s="4" customFormat="1" ht="20.25" customHeight="1">
      <c r="A130" s="988"/>
      <c r="B130" s="990"/>
      <c r="C130" s="992"/>
      <c r="D130" s="988"/>
      <c r="E130" s="582" t="s">
        <v>369</v>
      </c>
      <c r="F130" s="564" t="s">
        <v>370</v>
      </c>
      <c r="G130" s="583">
        <v>0</v>
      </c>
      <c r="H130" s="564" t="s">
        <v>257</v>
      </c>
      <c r="I130" s="564" t="s">
        <v>280</v>
      </c>
      <c r="J130" s="564" t="s">
        <v>261</v>
      </c>
      <c r="K130" s="564" t="s">
        <v>371</v>
      </c>
      <c r="L130" s="564" t="s">
        <v>372</v>
      </c>
      <c r="M130" s="992"/>
      <c r="N130" s="992"/>
      <c r="O130" s="563" t="s">
        <v>20</v>
      </c>
      <c r="P130" s="788" t="s">
        <v>21</v>
      </c>
      <c r="Q130" s="584" t="s">
        <v>22</v>
      </c>
      <c r="R130" s="585" t="s">
        <v>17</v>
      </c>
      <c r="S130" s="615"/>
      <c r="T130" s="10"/>
      <c r="U130" s="10"/>
      <c r="V130" s="10"/>
      <c r="W130" s="10"/>
      <c r="X130" s="10"/>
      <c r="Y130" s="10"/>
    </row>
    <row r="131" spans="1:25" s="4" customFormat="1" ht="17.25" customHeight="1">
      <c r="A131" s="331" t="s">
        <v>52</v>
      </c>
      <c r="B131" s="586" t="s">
        <v>53</v>
      </c>
      <c r="C131" s="586" t="s">
        <v>54</v>
      </c>
      <c r="D131" s="331" t="s">
        <v>55</v>
      </c>
      <c r="E131" s="332" t="s">
        <v>56</v>
      </c>
      <c r="F131" s="332" t="s">
        <v>57</v>
      </c>
      <c r="G131" s="332"/>
      <c r="H131" s="332" t="s">
        <v>58</v>
      </c>
      <c r="I131" s="332" t="s">
        <v>59</v>
      </c>
      <c r="J131" s="332" t="s">
        <v>60</v>
      </c>
      <c r="K131" s="332" t="s">
        <v>61</v>
      </c>
      <c r="L131" s="334" t="s">
        <v>373</v>
      </c>
      <c r="M131" s="334" t="s">
        <v>374</v>
      </c>
      <c r="N131" s="334" t="s">
        <v>375</v>
      </c>
      <c r="O131" s="332" t="s">
        <v>62</v>
      </c>
      <c r="P131" s="48"/>
      <c r="Q131" s="48"/>
      <c r="R131" s="49"/>
      <c r="S131" s="615"/>
      <c r="T131" s="10"/>
      <c r="U131" s="10"/>
      <c r="V131" s="10"/>
      <c r="W131" s="10"/>
      <c r="X131" s="10"/>
      <c r="Y131" s="10"/>
    </row>
    <row r="132" spans="1:25" s="4" customFormat="1" ht="19.899999999999999" customHeight="1">
      <c r="A132" s="551" t="s">
        <v>3</v>
      </c>
      <c r="B132" s="550" t="s">
        <v>380</v>
      </c>
      <c r="C132" s="587"/>
      <c r="D132" s="344"/>
      <c r="E132" s="345"/>
      <c r="F132" s="345"/>
      <c r="G132" s="345"/>
      <c r="H132" s="345"/>
      <c r="I132" s="345"/>
      <c r="J132" s="345"/>
      <c r="K132" s="345"/>
      <c r="L132" s="345"/>
      <c r="M132" s="345"/>
      <c r="N132" s="345"/>
      <c r="O132" s="347"/>
      <c r="P132" s="407"/>
      <c r="Q132" s="408"/>
      <c r="R132" s="409"/>
      <c r="S132" s="615"/>
      <c r="T132" s="10"/>
      <c r="U132" s="10"/>
      <c r="V132" s="10"/>
      <c r="W132" s="10"/>
      <c r="X132" s="10"/>
      <c r="Y132" s="10"/>
    </row>
    <row r="133" spans="1:25" s="4" customFormat="1" ht="19.899999999999999" customHeight="1">
      <c r="A133" s="351" t="s">
        <v>9</v>
      </c>
      <c r="B133" s="437" t="s">
        <v>73</v>
      </c>
      <c r="C133" s="438" t="s">
        <v>1</v>
      </c>
      <c r="D133" s="351" t="s">
        <v>9</v>
      </c>
      <c r="E133" s="353">
        <v>133627.65</v>
      </c>
      <c r="F133" s="353"/>
      <c r="G133" s="353">
        <f>$Q$1*10*P133</f>
        <v>0</v>
      </c>
      <c r="H133" s="353">
        <v>1551.8017307692305</v>
      </c>
      <c r="I133" s="353">
        <v>3002.4</v>
      </c>
      <c r="J133" s="353"/>
      <c r="K133" s="353"/>
      <c r="L133" s="353">
        <f>SUM(E133:K133)</f>
        <v>138181.85173076921</v>
      </c>
      <c r="M133" s="353">
        <v>34545.462932692302</v>
      </c>
      <c r="N133" s="349">
        <f>M133+L133</f>
        <v>172727.31466346153</v>
      </c>
      <c r="O133" s="441">
        <v>3315</v>
      </c>
      <c r="P133" s="441">
        <v>2652</v>
      </c>
      <c r="Q133" s="442">
        <v>663</v>
      </c>
      <c r="R133" s="443">
        <v>0.53039999999999998</v>
      </c>
      <c r="S133" s="615">
        <f>N133*4%</f>
        <v>6909.0925865384615</v>
      </c>
      <c r="T133" s="10">
        <f>L133*4%</f>
        <v>5527.2740692307689</v>
      </c>
      <c r="U133" s="10"/>
      <c r="V133" s="10"/>
      <c r="W133" s="10"/>
      <c r="X133" s="10"/>
      <c r="Y133" s="10"/>
    </row>
    <row r="134" spans="1:25" s="4" customFormat="1" ht="19.899999999999999" customHeight="1">
      <c r="A134" s="351"/>
      <c r="B134" s="437"/>
      <c r="C134" s="438"/>
      <c r="D134" s="351" t="s">
        <v>10</v>
      </c>
      <c r="E134" s="353">
        <v>173736.09999999998</v>
      </c>
      <c r="F134" s="353"/>
      <c r="G134" s="353">
        <f>$Q$1*10*P134</f>
        <v>0</v>
      </c>
      <c r="H134" s="353">
        <v>1939.7521634615382</v>
      </c>
      <c r="I134" s="353">
        <f>$I$133</f>
        <v>3002.4</v>
      </c>
      <c r="J134" s="353"/>
      <c r="K134" s="353"/>
      <c r="L134" s="353">
        <f>SUM(E134:K134)</f>
        <v>178678.2521634615</v>
      </c>
      <c r="M134" s="353">
        <v>44669.563040865374</v>
      </c>
      <c r="N134" s="349">
        <f>M134+L134</f>
        <v>223347.81520432688</v>
      </c>
      <c r="O134" s="441">
        <v>4310</v>
      </c>
      <c r="P134" s="441">
        <v>3448</v>
      </c>
      <c r="Q134" s="442">
        <v>862</v>
      </c>
      <c r="R134" s="443">
        <v>0.68959999999999999</v>
      </c>
      <c r="S134" s="615">
        <f t="shared" ref="S134:S149" si="11">N134*4%</f>
        <v>8933.9126081730756</v>
      </c>
      <c r="T134" s="10">
        <f t="shared" ref="T134:T149" si="12">L134*4%</f>
        <v>7147.1300865384601</v>
      </c>
      <c r="U134" s="10"/>
      <c r="V134" s="10"/>
      <c r="W134" s="10"/>
      <c r="X134" s="10"/>
      <c r="Y134" s="10"/>
    </row>
    <row r="135" spans="1:25" s="4" customFormat="1" ht="19.899999999999999" customHeight="1">
      <c r="A135" s="351"/>
      <c r="B135" s="437"/>
      <c r="C135" s="438"/>
      <c r="D135" s="351" t="s">
        <v>11</v>
      </c>
      <c r="E135" s="353">
        <v>225736</v>
      </c>
      <c r="F135" s="353"/>
      <c r="G135" s="353">
        <f>$Q$1*10*P135</f>
        <v>0</v>
      </c>
      <c r="H135" s="353">
        <v>2586.3362179487176</v>
      </c>
      <c r="I135" s="353">
        <f>$I$133</f>
        <v>3002.4</v>
      </c>
      <c r="J135" s="353"/>
      <c r="K135" s="353"/>
      <c r="L135" s="353">
        <f>SUM(E135:K135)</f>
        <v>231324.73621794872</v>
      </c>
      <c r="M135" s="353">
        <v>57831.184054487181</v>
      </c>
      <c r="N135" s="349">
        <f>M135+L135</f>
        <v>289155.92027243588</v>
      </c>
      <c r="O135" s="441">
        <v>5599.9999999999991</v>
      </c>
      <c r="P135" s="441">
        <v>4479.9999999999991</v>
      </c>
      <c r="Q135" s="442">
        <v>1119.9999999999998</v>
      </c>
      <c r="R135" s="443">
        <v>0.89599999999999991</v>
      </c>
      <c r="S135" s="615">
        <f t="shared" si="11"/>
        <v>11566.236810897435</v>
      </c>
      <c r="T135" s="10">
        <f t="shared" si="12"/>
        <v>9252.9894487179499</v>
      </c>
      <c r="U135" s="10"/>
      <c r="V135" s="10"/>
      <c r="W135" s="10"/>
      <c r="X135" s="10"/>
      <c r="Y135" s="10"/>
    </row>
    <row r="136" spans="1:25" s="4" customFormat="1" ht="19.899999999999999" customHeight="1">
      <c r="A136" s="351"/>
      <c r="B136" s="437"/>
      <c r="C136" s="438"/>
      <c r="D136" s="351" t="s">
        <v>12</v>
      </c>
      <c r="E136" s="353">
        <v>293456.8</v>
      </c>
      <c r="F136" s="353"/>
      <c r="G136" s="353">
        <f>$Q$1*10*P136</f>
        <v>0</v>
      </c>
      <c r="H136" s="353">
        <v>3491.5538942307689</v>
      </c>
      <c r="I136" s="353">
        <f>$I$133</f>
        <v>3002.4</v>
      </c>
      <c r="J136" s="353"/>
      <c r="K136" s="353"/>
      <c r="L136" s="353">
        <f>SUM(E136:K136)</f>
        <v>299950.75389423076</v>
      </c>
      <c r="M136" s="353">
        <v>74987.68847355769</v>
      </c>
      <c r="N136" s="349">
        <f>M136+L136</f>
        <v>374938.44236778846</v>
      </c>
      <c r="O136" s="441">
        <v>7280</v>
      </c>
      <c r="P136" s="441">
        <v>5824</v>
      </c>
      <c r="Q136" s="442">
        <v>1456</v>
      </c>
      <c r="R136" s="443">
        <v>1.1648000000000001</v>
      </c>
      <c r="S136" s="615">
        <f t="shared" si="11"/>
        <v>14997.537694711538</v>
      </c>
      <c r="T136" s="10">
        <f t="shared" si="12"/>
        <v>11998.030155769231</v>
      </c>
      <c r="U136" s="10"/>
      <c r="V136" s="10"/>
      <c r="W136" s="10"/>
      <c r="X136" s="10"/>
      <c r="Y136" s="10"/>
    </row>
    <row r="137" spans="1:25" s="4" customFormat="1" ht="19.899999999999999" customHeight="1">
      <c r="A137" s="351"/>
      <c r="B137" s="437"/>
      <c r="C137" s="438"/>
      <c r="D137" s="351" t="s">
        <v>13</v>
      </c>
      <c r="E137" s="353">
        <v>381534.15</v>
      </c>
      <c r="F137" s="353"/>
      <c r="G137" s="353">
        <f>$Q$1*10*P137</f>
        <v>0</v>
      </c>
      <c r="H137" s="353">
        <v>4526.0883814102563</v>
      </c>
      <c r="I137" s="353">
        <f>$I$133</f>
        <v>3002.4</v>
      </c>
      <c r="J137" s="353"/>
      <c r="K137" s="353"/>
      <c r="L137" s="353">
        <f>SUM(E137:K137)</f>
        <v>389062.63838141027</v>
      </c>
      <c r="M137" s="353">
        <v>97265.659595352554</v>
      </c>
      <c r="N137" s="349">
        <f>M137+L137</f>
        <v>486328.29797676281</v>
      </c>
      <c r="O137" s="441">
        <v>9465</v>
      </c>
      <c r="P137" s="441">
        <v>7572</v>
      </c>
      <c r="Q137" s="442">
        <v>1893</v>
      </c>
      <c r="R137" s="443">
        <v>1.5144</v>
      </c>
      <c r="S137" s="615">
        <f t="shared" si="11"/>
        <v>19453.131919070514</v>
      </c>
      <c r="T137" s="10">
        <f t="shared" si="12"/>
        <v>15562.50553525641</v>
      </c>
      <c r="U137" s="10"/>
      <c r="V137" s="10"/>
      <c r="W137" s="10"/>
      <c r="X137" s="10"/>
      <c r="Y137" s="10"/>
    </row>
    <row r="138" spans="1:25" s="4" customFormat="1" ht="19.899999999999999" customHeight="1">
      <c r="A138" s="351"/>
      <c r="B138" s="437"/>
      <c r="C138" s="438"/>
      <c r="D138" s="351"/>
      <c r="E138" s="353"/>
      <c r="F138" s="353"/>
      <c r="G138" s="353"/>
      <c r="H138" s="353"/>
      <c r="I138" s="353"/>
      <c r="J138" s="353"/>
      <c r="K138" s="353"/>
      <c r="L138" s="353"/>
      <c r="M138" s="353"/>
      <c r="N138" s="349"/>
      <c r="O138" s="441"/>
      <c r="P138" s="441"/>
      <c r="Q138" s="442"/>
      <c r="R138" s="443"/>
      <c r="S138" s="615">
        <f t="shared" si="11"/>
        <v>0</v>
      </c>
      <c r="T138" s="10">
        <f t="shared" si="12"/>
        <v>0</v>
      </c>
      <c r="U138" s="10"/>
      <c r="V138" s="10"/>
      <c r="W138" s="10"/>
      <c r="X138" s="10"/>
      <c r="Y138" s="10"/>
    </row>
    <row r="139" spans="1:25" s="4" customFormat="1" ht="19.899999999999999" customHeight="1">
      <c r="A139" s="351" t="s">
        <v>10</v>
      </c>
      <c r="B139" s="437" t="s">
        <v>381</v>
      </c>
      <c r="C139" s="438" t="s">
        <v>278</v>
      </c>
      <c r="D139" s="351" t="s">
        <v>9</v>
      </c>
      <c r="E139" s="353">
        <v>4838.6249999999991</v>
      </c>
      <c r="F139" s="353"/>
      <c r="G139" s="353">
        <f>$Q$1*10*P139</f>
        <v>0</v>
      </c>
      <c r="H139" s="353">
        <v>31.170158653846148</v>
      </c>
      <c r="I139" s="353">
        <v>58.549500000000002</v>
      </c>
      <c r="J139" s="353">
        <v>148.16</v>
      </c>
      <c r="K139" s="353">
        <v>0.9323999999999999</v>
      </c>
      <c r="L139" s="353">
        <f>SUM(E139:K139)</f>
        <v>5077.4370586538453</v>
      </c>
      <c r="M139" s="353">
        <v>1269.3592646634613</v>
      </c>
      <c r="N139" s="349">
        <f>M139+L139</f>
        <v>6346.7963233173068</v>
      </c>
      <c r="O139" s="441">
        <v>112.49999999999999</v>
      </c>
      <c r="P139" s="441">
        <v>90</v>
      </c>
      <c r="Q139" s="442">
        <v>22.5</v>
      </c>
      <c r="R139" s="443">
        <v>1.7999999999999999E-2</v>
      </c>
      <c r="S139" s="615">
        <f t="shared" si="11"/>
        <v>253.87185293269229</v>
      </c>
      <c r="T139" s="10">
        <f t="shared" si="12"/>
        <v>203.09748234615381</v>
      </c>
      <c r="U139" s="10"/>
      <c r="V139" s="10"/>
      <c r="W139" s="10"/>
      <c r="X139" s="10"/>
      <c r="Y139" s="10"/>
    </row>
    <row r="140" spans="1:25" s="4" customFormat="1" ht="19.899999999999999" customHeight="1">
      <c r="A140" s="351"/>
      <c r="B140" s="437"/>
      <c r="C140" s="438"/>
      <c r="D140" s="351" t="s">
        <v>10</v>
      </c>
      <c r="E140" s="353">
        <v>6048.28125</v>
      </c>
      <c r="F140" s="353"/>
      <c r="G140" s="353">
        <f>$Q$1*10*P140</f>
        <v>0</v>
      </c>
      <c r="H140" s="353">
        <v>38.962698317307684</v>
      </c>
      <c r="I140" s="353">
        <f>$I$139</f>
        <v>58.549500000000002</v>
      </c>
      <c r="J140" s="353">
        <v>181.56000000000003</v>
      </c>
      <c r="K140" s="353">
        <v>0.9323999999999999</v>
      </c>
      <c r="L140" s="353">
        <f>SUM(E140:K140)</f>
        <v>6328.2858483173077</v>
      </c>
      <c r="M140" s="353">
        <v>1582.0714620793269</v>
      </c>
      <c r="N140" s="349">
        <f>M140+L140</f>
        <v>7910.3573103966346</v>
      </c>
      <c r="O140" s="441">
        <v>140.625</v>
      </c>
      <c r="P140" s="441">
        <v>112.5</v>
      </c>
      <c r="Q140" s="442">
        <v>28.125</v>
      </c>
      <c r="R140" s="443">
        <v>2.2499999999999999E-2</v>
      </c>
      <c r="S140" s="615">
        <f t="shared" si="11"/>
        <v>316.41429241586542</v>
      </c>
      <c r="T140" s="10">
        <f t="shared" si="12"/>
        <v>253.13143393269232</v>
      </c>
      <c r="U140" s="10"/>
      <c r="V140" s="10"/>
      <c r="W140" s="10"/>
      <c r="X140" s="10"/>
      <c r="Y140" s="10"/>
    </row>
    <row r="141" spans="1:25" s="4" customFormat="1" ht="19.899999999999999" customHeight="1">
      <c r="A141" s="351"/>
      <c r="B141" s="437"/>
      <c r="C141" s="438"/>
      <c r="D141" s="351" t="s">
        <v>11</v>
      </c>
      <c r="E141" s="353">
        <v>8064.375</v>
      </c>
      <c r="F141" s="353"/>
      <c r="G141" s="353">
        <f>$Q$1*10*P141</f>
        <v>0</v>
      </c>
      <c r="H141" s="353">
        <v>51.950264423076916</v>
      </c>
      <c r="I141" s="353">
        <f>$I$139</f>
        <v>58.549500000000002</v>
      </c>
      <c r="J141" s="353">
        <v>242.28</v>
      </c>
      <c r="K141" s="353">
        <v>1.3985999999999998</v>
      </c>
      <c r="L141" s="353">
        <f>SUM(E141:K141)</f>
        <v>8418.5533644230782</v>
      </c>
      <c r="M141" s="353">
        <v>2104.6383411057695</v>
      </c>
      <c r="N141" s="349">
        <f>M141+L141</f>
        <v>10523.191705528847</v>
      </c>
      <c r="O141" s="441">
        <v>187.5</v>
      </c>
      <c r="P141" s="441">
        <v>150</v>
      </c>
      <c r="Q141" s="442">
        <v>37.5</v>
      </c>
      <c r="R141" s="443">
        <v>0.03</v>
      </c>
      <c r="S141" s="615">
        <f t="shared" si="11"/>
        <v>420.92766822115391</v>
      </c>
      <c r="T141" s="10">
        <f t="shared" si="12"/>
        <v>336.74213457692315</v>
      </c>
      <c r="U141" s="10"/>
      <c r="V141" s="10"/>
      <c r="W141" s="10"/>
      <c r="X141" s="10"/>
      <c r="Y141" s="10"/>
    </row>
    <row r="142" spans="1:25" s="4" customFormat="1" ht="19.899999999999999" customHeight="1">
      <c r="A142" s="351"/>
      <c r="B142" s="437"/>
      <c r="C142" s="438"/>
      <c r="D142" s="351" t="s">
        <v>12</v>
      </c>
      <c r="E142" s="353">
        <v>10886.906250000002</v>
      </c>
      <c r="F142" s="353"/>
      <c r="G142" s="353">
        <f>$Q$1*10*P142</f>
        <v>0</v>
      </c>
      <c r="H142" s="353">
        <v>70.132856971153842</v>
      </c>
      <c r="I142" s="353">
        <f>$I$139</f>
        <v>58.549500000000002</v>
      </c>
      <c r="J142" s="353">
        <v>329.72</v>
      </c>
      <c r="K142" s="353">
        <v>1.8647999999999998</v>
      </c>
      <c r="L142" s="353">
        <f>SUM(E142:K142)</f>
        <v>11347.173406971153</v>
      </c>
      <c r="M142" s="353">
        <v>2836.7933517427882</v>
      </c>
      <c r="N142" s="349">
        <f>M142+L142</f>
        <v>14183.966758713941</v>
      </c>
      <c r="O142" s="441">
        <v>253.12500000000006</v>
      </c>
      <c r="P142" s="441">
        <v>202.50000000000003</v>
      </c>
      <c r="Q142" s="442">
        <v>50.625000000000007</v>
      </c>
      <c r="R142" s="443">
        <v>4.0500000000000008E-2</v>
      </c>
      <c r="S142" s="615">
        <f t="shared" si="11"/>
        <v>567.35867034855767</v>
      </c>
      <c r="T142" s="10">
        <f t="shared" si="12"/>
        <v>453.88693627884612</v>
      </c>
      <c r="U142" s="10"/>
      <c r="V142" s="10"/>
      <c r="W142" s="10"/>
      <c r="X142" s="10"/>
      <c r="Y142" s="10"/>
    </row>
    <row r="143" spans="1:25" s="4" customFormat="1" ht="19.899999999999999" customHeight="1">
      <c r="A143" s="351"/>
      <c r="B143" s="437"/>
      <c r="C143" s="438"/>
      <c r="D143" s="351" t="s">
        <v>13</v>
      </c>
      <c r="E143" s="353">
        <v>13978.25</v>
      </c>
      <c r="F143" s="353"/>
      <c r="G143" s="353">
        <f>$Q$1*10*P143</f>
        <v>0</v>
      </c>
      <c r="H143" s="353">
        <v>90.9129627403846</v>
      </c>
      <c r="I143" s="353">
        <f>$I$139</f>
        <v>58.549500000000002</v>
      </c>
      <c r="J143" s="353">
        <v>417.16</v>
      </c>
      <c r="K143" s="353">
        <v>2.331</v>
      </c>
      <c r="L143" s="353">
        <f>SUM(E143:K143)</f>
        <v>14547.203462740385</v>
      </c>
      <c r="M143" s="353">
        <v>3636.8008656850961</v>
      </c>
      <c r="N143" s="349">
        <f>M143+L143</f>
        <v>18184.004328425479</v>
      </c>
      <c r="O143" s="441">
        <v>325.00000000000006</v>
      </c>
      <c r="P143" s="441">
        <v>260</v>
      </c>
      <c r="Q143" s="442">
        <v>65</v>
      </c>
      <c r="R143" s="443">
        <v>5.2000000000000005E-2</v>
      </c>
      <c r="S143" s="615">
        <f t="shared" si="11"/>
        <v>727.36017313701916</v>
      </c>
      <c r="T143" s="10">
        <f t="shared" si="12"/>
        <v>581.88813850961537</v>
      </c>
      <c r="U143" s="10"/>
      <c r="V143" s="10"/>
      <c r="W143" s="10"/>
      <c r="X143" s="10"/>
      <c r="Y143" s="10"/>
    </row>
    <row r="144" spans="1:25" s="4" customFormat="1" ht="19.899999999999999" customHeight="1">
      <c r="A144" s="437"/>
      <c r="B144" s="437"/>
      <c r="C144" s="437"/>
      <c r="D144" s="351"/>
      <c r="E144" s="353"/>
      <c r="F144" s="353"/>
      <c r="G144" s="353"/>
      <c r="H144" s="353"/>
      <c r="I144" s="353"/>
      <c r="J144" s="353"/>
      <c r="K144" s="353"/>
      <c r="L144" s="353"/>
      <c r="M144" s="353"/>
      <c r="N144" s="349"/>
      <c r="O144" s="441"/>
      <c r="P144" s="441"/>
      <c r="Q144" s="442"/>
      <c r="R144" s="443"/>
      <c r="S144" s="615">
        <f t="shared" si="11"/>
        <v>0</v>
      </c>
      <c r="T144" s="10">
        <f t="shared" si="12"/>
        <v>0</v>
      </c>
      <c r="U144" s="10"/>
      <c r="V144" s="10"/>
      <c r="W144" s="10"/>
      <c r="X144" s="10"/>
      <c r="Y144" s="10"/>
    </row>
    <row r="145" spans="1:25" s="4" customFormat="1" ht="19.899999999999999" customHeight="1">
      <c r="A145" s="351" t="s">
        <v>11</v>
      </c>
      <c r="B145" s="437" t="s">
        <v>77</v>
      </c>
      <c r="C145" s="438" t="s">
        <v>278</v>
      </c>
      <c r="D145" s="351" t="s">
        <v>9</v>
      </c>
      <c r="E145" s="353">
        <v>81853.40625</v>
      </c>
      <c r="F145" s="353">
        <v>5865</v>
      </c>
      <c r="G145" s="353">
        <f>$Q$1*10*P145</f>
        <v>0</v>
      </c>
      <c r="H145" s="353">
        <v>554.38364423076905</v>
      </c>
      <c r="I145" s="353">
        <v>1170.99</v>
      </c>
      <c r="J145" s="353">
        <v>2719.12</v>
      </c>
      <c r="K145" s="353">
        <v>14.763</v>
      </c>
      <c r="L145" s="353">
        <f>SUM(E145:K145)</f>
        <v>92177.662894230773</v>
      </c>
      <c r="M145" s="353">
        <v>23044.415723557689</v>
      </c>
      <c r="N145" s="349">
        <f>M145+L145</f>
        <v>115222.07861778846</v>
      </c>
      <c r="O145" s="441">
        <v>1903.125</v>
      </c>
      <c r="P145" s="441">
        <v>1522.5</v>
      </c>
      <c r="Q145" s="442">
        <v>380.625</v>
      </c>
      <c r="R145" s="443">
        <v>0.30449999999999999</v>
      </c>
      <c r="S145" s="615">
        <f t="shared" si="11"/>
        <v>4608.8831447115381</v>
      </c>
      <c r="T145" s="10">
        <f t="shared" si="12"/>
        <v>3687.106515769231</v>
      </c>
      <c r="U145" s="10"/>
      <c r="V145" s="10"/>
      <c r="W145" s="10"/>
      <c r="X145" s="10"/>
      <c r="Y145" s="10"/>
    </row>
    <row r="146" spans="1:25" s="4" customFormat="1" ht="19.899999999999999" customHeight="1">
      <c r="A146" s="351"/>
      <c r="B146" s="437"/>
      <c r="C146" s="438"/>
      <c r="D146" s="351" t="s">
        <v>10</v>
      </c>
      <c r="E146" s="353">
        <v>98250.968749999985</v>
      </c>
      <c r="F146" s="353">
        <v>7051.8</v>
      </c>
      <c r="G146" s="353">
        <f>$Q$1*10*P146</f>
        <v>0</v>
      </c>
      <c r="H146" s="353">
        <v>692.97955528846137</v>
      </c>
      <c r="I146" s="353">
        <f>$I$145</f>
        <v>1170.99</v>
      </c>
      <c r="J146" s="353">
        <v>3398.6</v>
      </c>
      <c r="K146" s="353">
        <v>18.9588</v>
      </c>
      <c r="L146" s="353">
        <f>SUM(E146:K146)</f>
        <v>110584.29710528845</v>
      </c>
      <c r="M146" s="353">
        <v>27646.074276322113</v>
      </c>
      <c r="N146" s="349">
        <f>M146+L146</f>
        <v>138230.37138161057</v>
      </c>
      <c r="O146" s="441">
        <v>2284.375</v>
      </c>
      <c r="P146" s="441">
        <v>1827.5</v>
      </c>
      <c r="Q146" s="442">
        <v>456.875</v>
      </c>
      <c r="R146" s="443">
        <v>0.36549999999999999</v>
      </c>
      <c r="S146" s="615">
        <f t="shared" si="11"/>
        <v>5529.214855264423</v>
      </c>
      <c r="T146" s="10">
        <f t="shared" si="12"/>
        <v>4423.3718842115386</v>
      </c>
      <c r="U146" s="10"/>
      <c r="V146" s="10"/>
      <c r="W146" s="10"/>
      <c r="X146" s="10"/>
      <c r="Y146" s="10"/>
    </row>
    <row r="147" spans="1:25" s="4" customFormat="1" ht="19.899999999999999" customHeight="1">
      <c r="A147" s="351"/>
      <c r="B147" s="437"/>
      <c r="C147" s="438"/>
      <c r="D147" s="351" t="s">
        <v>11</v>
      </c>
      <c r="E147" s="353">
        <v>117739.875</v>
      </c>
      <c r="F147" s="353">
        <v>8445.6</v>
      </c>
      <c r="G147" s="353">
        <f>$Q$1*10*P147</f>
        <v>0</v>
      </c>
      <c r="H147" s="353">
        <v>923.97274038461512</v>
      </c>
      <c r="I147" s="353">
        <f>$I$145</f>
        <v>1170.99</v>
      </c>
      <c r="J147" s="353">
        <v>4523.16</v>
      </c>
      <c r="K147" s="353">
        <v>25.174800000000001</v>
      </c>
      <c r="L147" s="353">
        <f>SUM(E147:K147)</f>
        <v>132828.77254038464</v>
      </c>
      <c r="M147" s="353">
        <v>33207.19313509616</v>
      </c>
      <c r="N147" s="349">
        <f>M147+L147</f>
        <v>166035.96567548081</v>
      </c>
      <c r="O147" s="441">
        <v>2737.4999999999995</v>
      </c>
      <c r="P147" s="441">
        <v>2189.9999999999995</v>
      </c>
      <c r="Q147" s="442">
        <v>547.49999999999989</v>
      </c>
      <c r="R147" s="443">
        <v>0.43799999999999994</v>
      </c>
      <c r="S147" s="615">
        <f t="shared" si="11"/>
        <v>6641.4386270192326</v>
      </c>
      <c r="T147" s="10">
        <f t="shared" si="12"/>
        <v>5313.1509016153859</v>
      </c>
      <c r="U147" s="10"/>
      <c r="V147" s="10"/>
      <c r="W147" s="10"/>
      <c r="X147" s="10"/>
      <c r="Y147" s="10"/>
    </row>
    <row r="148" spans="1:25" s="4" customFormat="1" ht="19.899999999999999" customHeight="1">
      <c r="A148" s="351"/>
      <c r="B148" s="437"/>
      <c r="C148" s="438"/>
      <c r="D148" s="351" t="s">
        <v>12</v>
      </c>
      <c r="E148" s="353">
        <v>141395.37499999997</v>
      </c>
      <c r="F148" s="353">
        <v>10143</v>
      </c>
      <c r="G148" s="353">
        <f>$Q$1*10*P148</f>
        <v>0</v>
      </c>
      <c r="H148" s="353">
        <v>1247.3631995192304</v>
      </c>
      <c r="I148" s="353">
        <f>$I$145</f>
        <v>1170.99</v>
      </c>
      <c r="J148" s="353">
        <v>6117.72</v>
      </c>
      <c r="K148" s="353">
        <v>33.566400000000002</v>
      </c>
      <c r="L148" s="353">
        <f>SUM(E148:K148)</f>
        <v>160108.0145995192</v>
      </c>
      <c r="M148" s="353">
        <v>40027.0036498798</v>
      </c>
      <c r="N148" s="349">
        <f>M148+L148</f>
        <v>200135.018249399</v>
      </c>
      <c r="O148" s="441">
        <v>3287.4999999999995</v>
      </c>
      <c r="P148" s="441">
        <v>2629.9999999999995</v>
      </c>
      <c r="Q148" s="442">
        <v>657.49999999999989</v>
      </c>
      <c r="R148" s="443">
        <v>0.52599999999999991</v>
      </c>
      <c r="S148" s="615">
        <f t="shared" si="11"/>
        <v>8005.4007299759605</v>
      </c>
      <c r="T148" s="10">
        <f t="shared" si="12"/>
        <v>6404.3205839807679</v>
      </c>
      <c r="U148" s="10"/>
      <c r="V148" s="10"/>
      <c r="W148" s="10"/>
      <c r="X148" s="10"/>
      <c r="Y148" s="10"/>
    </row>
    <row r="149" spans="1:25" s="4" customFormat="1" ht="19.899999999999999" customHeight="1">
      <c r="A149" s="351"/>
      <c r="B149" s="437"/>
      <c r="C149" s="438"/>
      <c r="D149" s="351" t="s">
        <v>13</v>
      </c>
      <c r="E149" s="353">
        <v>169620.68749999997</v>
      </c>
      <c r="F149" s="353">
        <v>12171.6</v>
      </c>
      <c r="G149" s="353">
        <f>$Q$1*10*P149</f>
        <v>0</v>
      </c>
      <c r="H149" s="353">
        <v>1616.9522956730764</v>
      </c>
      <c r="I149" s="353">
        <f>$I$145</f>
        <v>1170.99</v>
      </c>
      <c r="J149" s="353">
        <v>7921.76</v>
      </c>
      <c r="K149" s="353">
        <v>44.133599999999994</v>
      </c>
      <c r="L149" s="353">
        <f>SUM(E149:K149)</f>
        <v>192546.12339567306</v>
      </c>
      <c r="M149" s="353">
        <v>48136.530848918272</v>
      </c>
      <c r="N149" s="349">
        <f>M149+L149</f>
        <v>240682.65424459134</v>
      </c>
      <c r="O149" s="441">
        <v>3943.7499999999995</v>
      </c>
      <c r="P149" s="441">
        <v>3154.9999999999995</v>
      </c>
      <c r="Q149" s="442">
        <v>788.74999999999989</v>
      </c>
      <c r="R149" s="443">
        <v>0.63099999999999989</v>
      </c>
      <c r="S149" s="615">
        <f t="shared" si="11"/>
        <v>9627.3061697836529</v>
      </c>
      <c r="T149" s="10">
        <f t="shared" si="12"/>
        <v>7701.8449358269227</v>
      </c>
      <c r="U149" s="10"/>
      <c r="V149" s="10"/>
      <c r="W149" s="10"/>
      <c r="X149" s="10"/>
      <c r="Y149" s="10"/>
    </row>
    <row r="150" spans="1:25" s="4" customFormat="1" ht="19.899999999999999" customHeight="1">
      <c r="A150" s="351"/>
      <c r="B150" s="437"/>
      <c r="C150" s="438"/>
      <c r="D150" s="351"/>
      <c r="E150" s="353"/>
      <c r="F150" s="353"/>
      <c r="G150" s="353"/>
      <c r="H150" s="353"/>
      <c r="I150" s="353"/>
      <c r="J150" s="353"/>
      <c r="K150" s="353"/>
      <c r="L150" s="353"/>
      <c r="M150" s="353"/>
      <c r="N150" s="349"/>
      <c r="O150" s="353"/>
      <c r="P150" s="441"/>
      <c r="Q150" s="442"/>
      <c r="R150" s="443"/>
      <c r="S150" s="615"/>
      <c r="T150" s="10"/>
      <c r="U150" s="10"/>
      <c r="V150" s="10"/>
      <c r="W150" s="10"/>
      <c r="X150" s="10"/>
      <c r="Y150" s="10"/>
    </row>
    <row r="151" spans="1:25" s="4" customFormat="1" ht="19.899999999999999" customHeight="1">
      <c r="A151" s="557" t="s">
        <v>4</v>
      </c>
      <c r="B151" s="611" t="s">
        <v>382</v>
      </c>
      <c r="C151" s="616"/>
      <c r="D151" s="355"/>
      <c r="E151" s="357"/>
      <c r="F151" s="357"/>
      <c r="G151" s="357"/>
      <c r="H151" s="357"/>
      <c r="I151" s="357"/>
      <c r="J151" s="357"/>
      <c r="K151" s="357"/>
      <c r="L151" s="357"/>
      <c r="M151" s="357"/>
      <c r="N151" s="359"/>
      <c r="O151" s="357"/>
      <c r="P151" s="441"/>
      <c r="Q151" s="442"/>
      <c r="R151" s="443"/>
      <c r="S151" s="615"/>
      <c r="T151" s="10"/>
      <c r="U151" s="10"/>
      <c r="V151" s="10"/>
      <c r="W151" s="10"/>
      <c r="X151" s="10"/>
      <c r="Y151" s="10"/>
    </row>
    <row r="152" spans="1:25" s="4" customFormat="1" ht="19.899999999999999" customHeight="1">
      <c r="A152" s="351" t="s">
        <v>9</v>
      </c>
      <c r="B152" s="437" t="s">
        <v>383</v>
      </c>
      <c r="C152" s="438"/>
      <c r="D152" s="351"/>
      <c r="E152" s="353"/>
      <c r="F152" s="353"/>
      <c r="G152" s="353"/>
      <c r="H152" s="353"/>
      <c r="I152" s="353"/>
      <c r="J152" s="353"/>
      <c r="K152" s="353"/>
      <c r="L152" s="353"/>
      <c r="M152" s="353"/>
      <c r="N152" s="349"/>
      <c r="O152" s="353"/>
      <c r="P152" s="589"/>
      <c r="Q152" s="590"/>
      <c r="R152" s="590"/>
      <c r="S152" s="615"/>
      <c r="T152" s="10"/>
      <c r="U152" s="10"/>
      <c r="V152" s="10"/>
      <c r="W152" s="10"/>
      <c r="X152" s="10"/>
      <c r="Y152" s="10"/>
    </row>
    <row r="153" spans="1:25" s="4" customFormat="1" ht="19.899999999999999" customHeight="1">
      <c r="A153" s="437"/>
      <c r="B153" s="437"/>
      <c r="C153" s="437"/>
      <c r="D153" s="351"/>
      <c r="E153" s="353"/>
      <c r="F153" s="353"/>
      <c r="G153" s="353"/>
      <c r="H153" s="353"/>
      <c r="I153" s="353"/>
      <c r="J153" s="353"/>
      <c r="K153" s="353"/>
      <c r="L153" s="353"/>
      <c r="M153" s="353"/>
      <c r="N153" s="349"/>
      <c r="O153" s="353"/>
      <c r="P153" s="441"/>
      <c r="Q153" s="442"/>
      <c r="R153" s="443"/>
      <c r="S153" s="615"/>
      <c r="T153" s="10">
        <f t="shared" ref="T153:T172" si="13">L153*2%</f>
        <v>0</v>
      </c>
      <c r="U153" s="10"/>
      <c r="V153" s="10"/>
      <c r="W153" s="10"/>
      <c r="X153" s="10"/>
      <c r="Y153" s="10"/>
    </row>
    <row r="154" spans="1:25" s="4" customFormat="1" ht="19.899999999999999" customHeight="1">
      <c r="A154" s="351" t="s">
        <v>12</v>
      </c>
      <c r="B154" s="437" t="s">
        <v>490</v>
      </c>
      <c r="C154" s="438" t="s">
        <v>278</v>
      </c>
      <c r="D154" s="351" t="s">
        <v>9</v>
      </c>
      <c r="E154" s="353">
        <v>2442.5500000000002</v>
      </c>
      <c r="F154" s="353"/>
      <c r="G154" s="353">
        <f>$Q$1*10*P154</f>
        <v>0</v>
      </c>
      <c r="H154" s="353">
        <v>109.5140770769231</v>
      </c>
      <c r="I154" s="353">
        <v>5611.8959999999997</v>
      </c>
      <c r="J154" s="353">
        <v>144.35319999999999</v>
      </c>
      <c r="K154" s="353">
        <v>261.22739999999999</v>
      </c>
      <c r="L154" s="353">
        <f>SUM(E154:K154)</f>
        <v>8569.5406770769223</v>
      </c>
      <c r="M154" s="353">
        <v>1713.9081354153843</v>
      </c>
      <c r="N154" s="349">
        <f>M154+L154</f>
        <v>10283.448812492306</v>
      </c>
      <c r="O154" s="441">
        <v>66</v>
      </c>
      <c r="P154" s="441">
        <v>55.000000000000007</v>
      </c>
      <c r="Q154" s="442">
        <v>11.000000000000002</v>
      </c>
      <c r="R154" s="443">
        <v>1.1000000000000001E-2</v>
      </c>
      <c r="S154" s="615">
        <f t="shared" ref="S154:S172" si="14">N154*3%</f>
        <v>308.50346437476918</v>
      </c>
      <c r="T154" s="10">
        <f t="shared" si="13"/>
        <v>171.39081354153845</v>
      </c>
      <c r="U154" s="10"/>
      <c r="V154" s="10"/>
      <c r="W154" s="10"/>
      <c r="X154" s="10"/>
      <c r="Y154" s="10"/>
    </row>
    <row r="155" spans="1:25" s="4" customFormat="1" ht="19.899999999999999" customHeight="1">
      <c r="A155" s="351"/>
      <c r="B155" s="437"/>
      <c r="C155" s="438"/>
      <c r="D155" s="351" t="s">
        <v>10</v>
      </c>
      <c r="E155" s="353">
        <v>3064.29</v>
      </c>
      <c r="F155" s="353"/>
      <c r="G155" s="353">
        <f>$Q$1*10*P155</f>
        <v>0</v>
      </c>
      <c r="H155" s="353">
        <v>136.89259634615388</v>
      </c>
      <c r="I155" s="353">
        <f>$I$154</f>
        <v>5611.8959999999997</v>
      </c>
      <c r="J155" s="353">
        <v>149.7448</v>
      </c>
      <c r="K155" s="353">
        <v>270.5514</v>
      </c>
      <c r="L155" s="353">
        <f>SUM(E155:K155)</f>
        <v>9233.3747963461537</v>
      </c>
      <c r="M155" s="353">
        <v>1846.6749592692306</v>
      </c>
      <c r="N155" s="349">
        <f>M155+L155</f>
        <v>11080.049755615384</v>
      </c>
      <c r="O155" s="441">
        <v>82.8</v>
      </c>
      <c r="P155" s="441">
        <v>69</v>
      </c>
      <c r="Q155" s="442">
        <v>13.799999999999999</v>
      </c>
      <c r="R155" s="443">
        <v>1.38E-2</v>
      </c>
      <c r="S155" s="615">
        <f t="shared" si="14"/>
        <v>332.40149266846151</v>
      </c>
      <c r="T155" s="10">
        <f t="shared" si="13"/>
        <v>184.66749592692307</v>
      </c>
      <c r="U155" s="10"/>
      <c r="V155" s="10"/>
      <c r="W155" s="10"/>
      <c r="X155" s="10"/>
      <c r="Y155" s="10"/>
    </row>
    <row r="156" spans="1:25" s="4" customFormat="1" ht="19.899999999999999" customHeight="1">
      <c r="A156" s="351"/>
      <c r="B156" s="437"/>
      <c r="C156" s="438"/>
      <c r="D156" s="351" t="s">
        <v>11</v>
      </c>
      <c r="E156" s="353">
        <v>4085.72</v>
      </c>
      <c r="F156" s="353"/>
      <c r="G156" s="353">
        <f>$Q$1*10*P156</f>
        <v>0</v>
      </c>
      <c r="H156" s="353">
        <v>182.52346179487185</v>
      </c>
      <c r="I156" s="353">
        <f>$I$154</f>
        <v>5611.8959999999997</v>
      </c>
      <c r="J156" s="353">
        <v>159.31639999999999</v>
      </c>
      <c r="K156" s="353">
        <v>287.80079999999998</v>
      </c>
      <c r="L156" s="353">
        <f>SUM(E156:K156)</f>
        <v>10327.256661794872</v>
      </c>
      <c r="M156" s="353">
        <v>2065.4513323589745</v>
      </c>
      <c r="N156" s="349">
        <f>M156+L156</f>
        <v>12392.707994153847</v>
      </c>
      <c r="O156" s="441">
        <v>110.39999999999999</v>
      </c>
      <c r="P156" s="441">
        <v>92</v>
      </c>
      <c r="Q156" s="442">
        <v>18.399999999999999</v>
      </c>
      <c r="R156" s="443">
        <v>1.84E-2</v>
      </c>
      <c r="S156" s="615">
        <f t="shared" si="14"/>
        <v>371.7812398246154</v>
      </c>
      <c r="T156" s="10">
        <f t="shared" si="13"/>
        <v>206.54513323589745</v>
      </c>
      <c r="U156" s="10"/>
      <c r="V156" s="10"/>
      <c r="W156" s="10"/>
      <c r="X156" s="10"/>
      <c r="Y156" s="10"/>
    </row>
    <row r="157" spans="1:25" s="4" customFormat="1" ht="19.899999999999999" customHeight="1">
      <c r="A157" s="351"/>
      <c r="B157" s="437"/>
      <c r="C157" s="438"/>
      <c r="D157" s="351" t="s">
        <v>12</v>
      </c>
      <c r="E157" s="353">
        <v>5506.84</v>
      </c>
      <c r="F157" s="353"/>
      <c r="G157" s="353">
        <f>$Q$1*10*P157</f>
        <v>0</v>
      </c>
      <c r="H157" s="353">
        <v>246.40667342307702</v>
      </c>
      <c r="I157" s="353">
        <f>$I$154</f>
        <v>5611.8959999999997</v>
      </c>
      <c r="J157" s="353">
        <v>172.178</v>
      </c>
      <c r="K157" s="353">
        <v>311.11079999999998</v>
      </c>
      <c r="L157" s="353">
        <f>SUM(E157:K157)</f>
        <v>11848.431473423077</v>
      </c>
      <c r="M157" s="353">
        <v>2369.6862946846154</v>
      </c>
      <c r="N157" s="349">
        <f>M157+L157</f>
        <v>14218.117768107693</v>
      </c>
      <c r="O157" s="441">
        <v>148.79999999999998</v>
      </c>
      <c r="P157" s="441">
        <v>124</v>
      </c>
      <c r="Q157" s="442">
        <v>24.8</v>
      </c>
      <c r="R157" s="443">
        <v>2.4799999999999999E-2</v>
      </c>
      <c r="S157" s="615">
        <f t="shared" si="14"/>
        <v>426.54353304323081</v>
      </c>
      <c r="T157" s="10">
        <f t="shared" si="13"/>
        <v>236.96862946846156</v>
      </c>
      <c r="U157" s="10"/>
      <c r="V157" s="10"/>
      <c r="W157" s="10"/>
      <c r="X157" s="10"/>
      <c r="Y157" s="10"/>
    </row>
    <row r="158" spans="1:25" s="4" customFormat="1" ht="19.899999999999999" customHeight="1">
      <c r="A158" s="351"/>
      <c r="B158" s="437"/>
      <c r="C158" s="438"/>
      <c r="D158" s="351" t="s">
        <v>13</v>
      </c>
      <c r="E158" s="353">
        <v>7150.01</v>
      </c>
      <c r="F158" s="353"/>
      <c r="G158" s="353">
        <f>$Q$1*10*P158</f>
        <v>0</v>
      </c>
      <c r="H158" s="353">
        <v>319.41605814102576</v>
      </c>
      <c r="I158" s="353">
        <f>$I$154</f>
        <v>5611.8959999999997</v>
      </c>
      <c r="J158" s="353">
        <v>187.7296</v>
      </c>
      <c r="K158" s="353">
        <v>339.23820000000001</v>
      </c>
      <c r="L158" s="353">
        <f>SUM(E158:K158)</f>
        <v>13608.289858141026</v>
      </c>
      <c r="M158" s="353">
        <v>2721.6579716282054</v>
      </c>
      <c r="N158" s="349">
        <f>M158+L158</f>
        <v>16329.947829769231</v>
      </c>
      <c r="O158" s="441">
        <v>193.2</v>
      </c>
      <c r="P158" s="441">
        <v>161</v>
      </c>
      <c r="Q158" s="442">
        <v>32.200000000000003</v>
      </c>
      <c r="R158" s="443">
        <v>3.2199999999999999E-2</v>
      </c>
      <c r="S158" s="615">
        <f t="shared" si="14"/>
        <v>489.89843489307691</v>
      </c>
      <c r="T158" s="10">
        <f t="shared" si="13"/>
        <v>272.16579716282052</v>
      </c>
      <c r="U158" s="10"/>
      <c r="V158" s="10"/>
      <c r="W158" s="10"/>
      <c r="X158" s="10"/>
      <c r="Y158" s="10"/>
    </row>
    <row r="159" spans="1:25" s="4" customFormat="1" ht="19.899999999999999" customHeight="1">
      <c r="A159" s="437"/>
      <c r="B159" s="437"/>
      <c r="C159" s="437"/>
      <c r="D159" s="351"/>
      <c r="E159" s="353"/>
      <c r="F159" s="353"/>
      <c r="G159" s="353"/>
      <c r="H159" s="353"/>
      <c r="I159" s="353"/>
      <c r="J159" s="353"/>
      <c r="K159" s="353"/>
      <c r="L159" s="353"/>
      <c r="M159" s="353"/>
      <c r="N159" s="349"/>
      <c r="O159" s="441"/>
      <c r="P159" s="441"/>
      <c r="Q159" s="442"/>
      <c r="R159" s="443"/>
      <c r="S159" s="615">
        <f t="shared" si="14"/>
        <v>0</v>
      </c>
      <c r="T159" s="10">
        <f t="shared" si="13"/>
        <v>0</v>
      </c>
      <c r="U159" s="10"/>
      <c r="V159" s="10"/>
      <c r="W159" s="10"/>
      <c r="X159" s="10"/>
      <c r="Y159" s="10"/>
    </row>
    <row r="160" spans="1:25" s="4" customFormat="1" ht="20.25" customHeight="1">
      <c r="A160" s="987" t="s">
        <v>376</v>
      </c>
      <c r="B160" s="989" t="s">
        <v>377</v>
      </c>
      <c r="C160" s="991" t="s">
        <v>378</v>
      </c>
      <c r="D160" s="987" t="s">
        <v>91</v>
      </c>
      <c r="E160" s="996" t="s">
        <v>368</v>
      </c>
      <c r="F160" s="997"/>
      <c r="G160" s="997"/>
      <c r="H160" s="997"/>
      <c r="I160" s="997"/>
      <c r="J160" s="997"/>
      <c r="K160" s="997"/>
      <c r="L160" s="998"/>
      <c r="M160" s="991" t="s">
        <v>427</v>
      </c>
      <c r="N160" s="991" t="s">
        <v>379</v>
      </c>
      <c r="O160" s="579" t="s">
        <v>18</v>
      </c>
      <c r="P160" s="787" t="s">
        <v>19</v>
      </c>
      <c r="Q160" s="580" t="s">
        <v>19</v>
      </c>
      <c r="R160" s="581" t="s">
        <v>16</v>
      </c>
      <c r="S160" s="615"/>
      <c r="T160" s="10"/>
      <c r="U160" s="10"/>
      <c r="V160" s="10"/>
      <c r="W160" s="10"/>
      <c r="X160" s="10"/>
      <c r="Y160" s="10"/>
    </row>
    <row r="161" spans="1:25" s="4" customFormat="1" ht="20.25" customHeight="1">
      <c r="A161" s="988"/>
      <c r="B161" s="990"/>
      <c r="C161" s="992"/>
      <c r="D161" s="988"/>
      <c r="E161" s="582" t="s">
        <v>369</v>
      </c>
      <c r="F161" s="564" t="s">
        <v>370</v>
      </c>
      <c r="G161" s="583">
        <v>0</v>
      </c>
      <c r="H161" s="564" t="s">
        <v>257</v>
      </c>
      <c r="I161" s="564" t="s">
        <v>280</v>
      </c>
      <c r="J161" s="564" t="s">
        <v>261</v>
      </c>
      <c r="K161" s="564" t="s">
        <v>371</v>
      </c>
      <c r="L161" s="564" t="s">
        <v>372</v>
      </c>
      <c r="M161" s="992"/>
      <c r="N161" s="992"/>
      <c r="O161" s="563" t="s">
        <v>20</v>
      </c>
      <c r="P161" s="788" t="s">
        <v>21</v>
      </c>
      <c r="Q161" s="584" t="s">
        <v>22</v>
      </c>
      <c r="R161" s="585" t="s">
        <v>17</v>
      </c>
      <c r="S161" s="615"/>
      <c r="T161" s="10"/>
      <c r="U161" s="10"/>
      <c r="V161" s="10"/>
      <c r="W161" s="10"/>
      <c r="X161" s="10"/>
      <c r="Y161" s="10"/>
    </row>
    <row r="162" spans="1:25" s="4" customFormat="1" ht="17.25" customHeight="1">
      <c r="A162" s="331" t="s">
        <v>52</v>
      </c>
      <c r="B162" s="586" t="s">
        <v>53</v>
      </c>
      <c r="C162" s="586" t="s">
        <v>54</v>
      </c>
      <c r="D162" s="331" t="s">
        <v>55</v>
      </c>
      <c r="E162" s="332" t="s">
        <v>56</v>
      </c>
      <c r="F162" s="332" t="s">
        <v>57</v>
      </c>
      <c r="G162" s="332"/>
      <c r="H162" s="332" t="s">
        <v>58</v>
      </c>
      <c r="I162" s="332" t="s">
        <v>59</v>
      </c>
      <c r="J162" s="332" t="s">
        <v>60</v>
      </c>
      <c r="K162" s="332" t="s">
        <v>61</v>
      </c>
      <c r="L162" s="334" t="s">
        <v>373</v>
      </c>
      <c r="M162" s="334" t="s">
        <v>374</v>
      </c>
      <c r="N162" s="334" t="s">
        <v>375</v>
      </c>
      <c r="O162" s="332" t="s">
        <v>62</v>
      </c>
      <c r="P162" s="48"/>
      <c r="Q162" s="48"/>
      <c r="R162" s="49"/>
      <c r="S162" s="615"/>
      <c r="T162" s="10"/>
      <c r="U162" s="10"/>
      <c r="V162" s="10"/>
      <c r="W162" s="10"/>
      <c r="X162" s="10"/>
      <c r="Y162" s="10"/>
    </row>
    <row r="163" spans="1:25" s="4" customFormat="1" ht="23.45" customHeight="1">
      <c r="A163" s="351" t="s">
        <v>13</v>
      </c>
      <c r="B163" s="437" t="s">
        <v>384</v>
      </c>
      <c r="C163" s="438" t="s">
        <v>278</v>
      </c>
      <c r="D163" s="351" t="s">
        <v>8</v>
      </c>
      <c r="E163" s="353">
        <v>5851.5</v>
      </c>
      <c r="F163" s="353"/>
      <c r="G163" s="353">
        <f>$Q$1*10*P163</f>
        <v>0</v>
      </c>
      <c r="H163" s="353"/>
      <c r="I163" s="353"/>
      <c r="J163" s="353"/>
      <c r="K163" s="353"/>
      <c r="L163" s="353">
        <f>SUM(E163:K163)</f>
        <v>5851.5</v>
      </c>
      <c r="M163" s="353">
        <v>1170.3</v>
      </c>
      <c r="N163" s="349">
        <f>M163+L163</f>
        <v>7021.8</v>
      </c>
      <c r="O163" s="441">
        <v>180</v>
      </c>
      <c r="P163" s="441">
        <v>150</v>
      </c>
      <c r="Q163" s="442">
        <v>30</v>
      </c>
      <c r="R163" s="443">
        <v>0.03</v>
      </c>
      <c r="S163" s="615">
        <f t="shared" si="14"/>
        <v>210.654</v>
      </c>
      <c r="T163" s="10">
        <f t="shared" si="13"/>
        <v>117.03</v>
      </c>
      <c r="U163" s="10"/>
      <c r="V163" s="10"/>
      <c r="W163" s="10"/>
      <c r="X163" s="10"/>
      <c r="Y163" s="10"/>
    </row>
    <row r="164" spans="1:25" s="4" customFormat="1" ht="23.45" customHeight="1">
      <c r="A164" s="351"/>
      <c r="B164" s="437" t="s">
        <v>387</v>
      </c>
      <c r="C164" s="438"/>
      <c r="D164" s="351"/>
      <c r="E164" s="353"/>
      <c r="F164" s="353"/>
      <c r="G164" s="353"/>
      <c r="H164" s="353"/>
      <c r="I164" s="353"/>
      <c r="J164" s="353"/>
      <c r="K164" s="353"/>
      <c r="L164" s="353"/>
      <c r="M164" s="353"/>
      <c r="N164" s="349"/>
      <c r="O164" s="441"/>
      <c r="P164" s="441"/>
      <c r="Q164" s="442"/>
      <c r="R164" s="443"/>
      <c r="S164" s="615">
        <f t="shared" si="14"/>
        <v>0</v>
      </c>
      <c r="T164" s="10">
        <f t="shared" si="13"/>
        <v>0</v>
      </c>
      <c r="U164" s="10"/>
      <c r="V164" s="10"/>
      <c r="W164" s="10"/>
      <c r="X164" s="10"/>
      <c r="Y164" s="10"/>
    </row>
    <row r="165" spans="1:25" s="4" customFormat="1" ht="23.45" customHeight="1">
      <c r="A165" s="351"/>
      <c r="B165" s="437"/>
      <c r="C165" s="438"/>
      <c r="D165" s="351"/>
      <c r="E165" s="353"/>
      <c r="F165" s="353"/>
      <c r="G165" s="353"/>
      <c r="H165" s="353"/>
      <c r="I165" s="353"/>
      <c r="J165" s="353"/>
      <c r="K165" s="353"/>
      <c r="L165" s="353"/>
      <c r="M165" s="353"/>
      <c r="N165" s="349"/>
      <c r="O165" s="441"/>
      <c r="P165" s="441"/>
      <c r="Q165" s="442"/>
      <c r="R165" s="592"/>
      <c r="S165" s="615">
        <f t="shared" si="14"/>
        <v>0</v>
      </c>
      <c r="T165" s="10">
        <f t="shared" si="13"/>
        <v>0</v>
      </c>
      <c r="U165" s="10"/>
      <c r="V165" s="10"/>
      <c r="W165" s="10"/>
      <c r="X165" s="10"/>
      <c r="Y165" s="10"/>
    </row>
    <row r="166" spans="1:25" s="4" customFormat="1" ht="23.45" customHeight="1">
      <c r="A166" s="351" t="s">
        <v>14</v>
      </c>
      <c r="B166" s="437" t="s">
        <v>363</v>
      </c>
      <c r="C166" s="438" t="s">
        <v>278</v>
      </c>
      <c r="D166" s="351" t="s">
        <v>8</v>
      </c>
      <c r="E166" s="352">
        <v>5071.3</v>
      </c>
      <c r="F166" s="353"/>
      <c r="G166" s="353">
        <f>$Q$1*10*P166</f>
        <v>0</v>
      </c>
      <c r="H166" s="353">
        <v>184.59746666666666</v>
      </c>
      <c r="I166" s="353">
        <v>1232.28</v>
      </c>
      <c r="J166" s="353">
        <v>105.78</v>
      </c>
      <c r="K166" s="353">
        <v>191.142</v>
      </c>
      <c r="L166" s="353">
        <f>SUM(E166:K166)</f>
        <v>6785.0994666666666</v>
      </c>
      <c r="M166" s="353">
        <v>1357.0198933333334</v>
      </c>
      <c r="N166" s="349">
        <f>M166+L166</f>
        <v>8142.1193599999997</v>
      </c>
      <c r="O166" s="441">
        <v>156</v>
      </c>
      <c r="P166" s="441">
        <v>130</v>
      </c>
      <c r="Q166" s="442">
        <v>26.000000000000004</v>
      </c>
      <c r="R166" s="443">
        <v>2.6000000000000002E-2</v>
      </c>
      <c r="S166" s="615">
        <f t="shared" si="14"/>
        <v>244.26358079999997</v>
      </c>
      <c r="T166" s="10">
        <f t="shared" si="13"/>
        <v>135.70198933333333</v>
      </c>
      <c r="U166" s="10"/>
      <c r="V166" s="10"/>
      <c r="W166" s="10"/>
      <c r="X166" s="10"/>
      <c r="Y166" s="10"/>
    </row>
    <row r="167" spans="1:25" s="4" customFormat="1" ht="23.45" customHeight="1">
      <c r="A167" s="361"/>
      <c r="B167" s="588"/>
      <c r="C167" s="593"/>
      <c r="D167" s="361"/>
      <c r="E167" s="362"/>
      <c r="F167" s="363"/>
      <c r="G167" s="353"/>
      <c r="H167" s="363"/>
      <c r="I167" s="363"/>
      <c r="J167" s="363"/>
      <c r="K167" s="363"/>
      <c r="L167" s="353"/>
      <c r="M167" s="353"/>
      <c r="N167" s="349"/>
      <c r="O167" s="441"/>
      <c r="P167" s="441"/>
      <c r="Q167" s="442"/>
      <c r="R167" s="592"/>
      <c r="S167" s="615">
        <f t="shared" si="14"/>
        <v>0</v>
      </c>
      <c r="T167" s="10">
        <f t="shared" si="13"/>
        <v>0</v>
      </c>
      <c r="U167" s="10"/>
      <c r="V167" s="10"/>
      <c r="W167" s="10"/>
      <c r="X167" s="10"/>
      <c r="Y167" s="10"/>
    </row>
    <row r="168" spans="1:25" s="4" customFormat="1" ht="23.45" customHeight="1">
      <c r="A168" s="351" t="s">
        <v>85</v>
      </c>
      <c r="B168" s="437" t="s">
        <v>491</v>
      </c>
      <c r="C168" s="438" t="s">
        <v>1</v>
      </c>
      <c r="D168" s="351" t="s">
        <v>8</v>
      </c>
      <c r="E168" s="362">
        <v>5305.36</v>
      </c>
      <c r="F168" s="363"/>
      <c r="G168" s="353">
        <f>$Q$1*10*P168</f>
        <v>0</v>
      </c>
      <c r="H168" s="363">
        <v>334.33269782051281</v>
      </c>
      <c r="I168" s="363">
        <v>3482.1359999999995</v>
      </c>
      <c r="J168" s="363">
        <v>153.16</v>
      </c>
      <c r="K168" s="363">
        <v>211.34399999999997</v>
      </c>
      <c r="L168" s="353">
        <f>SUM(E168:K168)</f>
        <v>9486.3326978205114</v>
      </c>
      <c r="M168" s="353">
        <v>1897.2665395641025</v>
      </c>
      <c r="N168" s="349">
        <f>M168+L168</f>
        <v>11383.599237384613</v>
      </c>
      <c r="O168" s="441">
        <v>163.20000000000002</v>
      </c>
      <c r="P168" s="441">
        <v>136</v>
      </c>
      <c r="Q168" s="442">
        <v>27.200000000000003</v>
      </c>
      <c r="R168" s="592">
        <v>2.7200000000000002E-2</v>
      </c>
      <c r="S168" s="615">
        <f t="shared" si="14"/>
        <v>341.50797712153837</v>
      </c>
      <c r="T168" s="10">
        <f t="shared" si="13"/>
        <v>189.72665395641022</v>
      </c>
      <c r="U168" s="10"/>
      <c r="V168" s="10"/>
      <c r="W168" s="10"/>
      <c r="X168" s="10"/>
      <c r="Y168" s="10"/>
    </row>
    <row r="169" spans="1:25" s="4" customFormat="1" ht="23.45" customHeight="1">
      <c r="A169" s="594"/>
      <c r="B169" s="595"/>
      <c r="C169" s="593"/>
      <c r="D169" s="361"/>
      <c r="E169" s="362"/>
      <c r="F169" s="363"/>
      <c r="G169" s="353"/>
      <c r="H169" s="363"/>
      <c r="I169" s="363"/>
      <c r="J169" s="363"/>
      <c r="K169" s="363"/>
      <c r="L169" s="353"/>
      <c r="M169" s="353"/>
      <c r="N169" s="349"/>
      <c r="O169" s="441"/>
      <c r="P169" s="441"/>
      <c r="Q169" s="442"/>
      <c r="R169" s="592"/>
      <c r="S169" s="615">
        <f t="shared" si="14"/>
        <v>0</v>
      </c>
      <c r="T169" s="10">
        <f t="shared" si="13"/>
        <v>0</v>
      </c>
      <c r="U169" s="10"/>
      <c r="V169" s="10"/>
      <c r="W169" s="10"/>
      <c r="X169" s="10"/>
      <c r="Y169" s="10"/>
    </row>
    <row r="170" spans="1:25" s="4" customFormat="1" ht="23.45" customHeight="1">
      <c r="A170" s="351" t="s">
        <v>87</v>
      </c>
      <c r="B170" s="437" t="s">
        <v>365</v>
      </c>
      <c r="C170" s="438" t="s">
        <v>1</v>
      </c>
      <c r="D170" s="351" t="s">
        <v>8</v>
      </c>
      <c r="E170" s="362">
        <v>6241.6</v>
      </c>
      <c r="F170" s="363"/>
      <c r="G170" s="353">
        <f>$Q$1*10*P170</f>
        <v>0</v>
      </c>
      <c r="H170" s="363">
        <v>71.642720961538458</v>
      </c>
      <c r="I170" s="363">
        <v>746.17199999999991</v>
      </c>
      <c r="J170" s="363"/>
      <c r="K170" s="363"/>
      <c r="L170" s="353">
        <f>SUM(E170:K170)</f>
        <v>7059.4147209615385</v>
      </c>
      <c r="M170" s="353">
        <v>1411.8829441923078</v>
      </c>
      <c r="N170" s="349">
        <f>M170+L170</f>
        <v>8471.2976651538465</v>
      </c>
      <c r="O170" s="441">
        <v>192</v>
      </c>
      <c r="P170" s="441">
        <v>160</v>
      </c>
      <c r="Q170" s="442">
        <v>32</v>
      </c>
      <c r="R170" s="592">
        <v>3.2000000000000001E-2</v>
      </c>
      <c r="S170" s="615">
        <f t="shared" si="14"/>
        <v>254.13892995461538</v>
      </c>
      <c r="T170" s="10">
        <f t="shared" si="13"/>
        <v>141.18829441923077</v>
      </c>
      <c r="U170" s="10"/>
      <c r="V170" s="10"/>
      <c r="W170" s="10"/>
      <c r="X170" s="10"/>
      <c r="Y170" s="10"/>
    </row>
    <row r="171" spans="1:25" s="4" customFormat="1" ht="23.45" customHeight="1">
      <c r="A171" s="361"/>
      <c r="B171" s="588"/>
      <c r="C171" s="593"/>
      <c r="D171" s="361"/>
      <c r="E171" s="362"/>
      <c r="F171" s="363"/>
      <c r="G171" s="353"/>
      <c r="H171" s="363"/>
      <c r="I171" s="363"/>
      <c r="J171" s="363"/>
      <c r="K171" s="363"/>
      <c r="L171" s="353"/>
      <c r="M171" s="353"/>
      <c r="N171" s="349"/>
      <c r="O171" s="441"/>
      <c r="P171" s="441"/>
      <c r="Q171" s="442"/>
      <c r="R171" s="592"/>
      <c r="S171" s="615">
        <f t="shared" si="14"/>
        <v>0</v>
      </c>
      <c r="T171" s="10">
        <f t="shared" si="13"/>
        <v>0</v>
      </c>
      <c r="U171" s="10"/>
      <c r="V171" s="10"/>
      <c r="W171" s="10"/>
      <c r="X171" s="10"/>
      <c r="Y171" s="10"/>
    </row>
    <row r="172" spans="1:25" s="4" customFormat="1" ht="23.45" customHeight="1">
      <c r="A172" s="351" t="s">
        <v>88</v>
      </c>
      <c r="B172" s="437" t="s">
        <v>366</v>
      </c>
      <c r="C172" s="438" t="s">
        <v>1</v>
      </c>
      <c r="D172" s="351" t="s">
        <v>8</v>
      </c>
      <c r="E172" s="353">
        <v>13263.4</v>
      </c>
      <c r="F172" s="353"/>
      <c r="G172" s="353">
        <f>$Q$1*10*P172</f>
        <v>0</v>
      </c>
      <c r="H172" s="353">
        <v>71.642720961538458</v>
      </c>
      <c r="I172" s="353">
        <v>746.17199999999991</v>
      </c>
      <c r="J172" s="353"/>
      <c r="K172" s="353"/>
      <c r="L172" s="353">
        <f>SUM(E172:K172)</f>
        <v>14081.214720961538</v>
      </c>
      <c r="M172" s="353">
        <v>2816.2429441923077</v>
      </c>
      <c r="N172" s="349">
        <f>M172+L172</f>
        <v>16897.457665153845</v>
      </c>
      <c r="O172" s="441">
        <v>408.00000000000006</v>
      </c>
      <c r="P172" s="441">
        <v>340</v>
      </c>
      <c r="Q172" s="442">
        <v>68</v>
      </c>
      <c r="R172" s="443">
        <v>6.8000000000000005E-2</v>
      </c>
      <c r="S172" s="615">
        <f t="shared" si="14"/>
        <v>506.92372995461534</v>
      </c>
      <c r="T172" s="10">
        <f t="shared" si="13"/>
        <v>281.62429441923075</v>
      </c>
      <c r="U172" s="10"/>
      <c r="V172" s="10"/>
      <c r="W172" s="10"/>
      <c r="X172" s="10"/>
      <c r="Y172" s="10"/>
    </row>
    <row r="173" spans="1:25" s="4" customFormat="1" ht="23.45" customHeight="1">
      <c r="A173" s="377"/>
      <c r="B173" s="597"/>
      <c r="C173" s="598"/>
      <c r="D173" s="377"/>
      <c r="E173" s="379"/>
      <c r="F173" s="379"/>
      <c r="G173" s="379"/>
      <c r="H173" s="379"/>
      <c r="I173" s="379"/>
      <c r="J173" s="379"/>
      <c r="K173" s="379"/>
      <c r="L173" s="379"/>
      <c r="M173" s="379"/>
      <c r="N173" s="381"/>
      <c r="O173" s="599"/>
      <c r="P173" s="599"/>
      <c r="Q173" s="600"/>
      <c r="R173" s="617"/>
      <c r="S173" s="615"/>
      <c r="T173" s="10"/>
      <c r="U173" s="10"/>
      <c r="V173" s="10"/>
      <c r="W173" s="10"/>
      <c r="X173" s="10"/>
      <c r="Y173" s="10"/>
    </row>
    <row r="174" spans="1:25" s="4" customFormat="1" ht="5.25" customHeight="1">
      <c r="A174" s="618"/>
      <c r="B174" s="619"/>
      <c r="C174" s="620"/>
      <c r="D174" s="618"/>
      <c r="E174" s="621"/>
      <c r="F174" s="621"/>
      <c r="G174" s="621"/>
      <c r="H174" s="621"/>
      <c r="I174" s="621"/>
      <c r="J174" s="621"/>
      <c r="K174" s="621"/>
      <c r="L174" s="621"/>
      <c r="M174" s="621"/>
      <c r="N174" s="621"/>
      <c r="O174" s="622"/>
      <c r="P174" s="622"/>
      <c r="Q174" s="623"/>
      <c r="R174" s="624"/>
      <c r="S174" s="615"/>
      <c r="T174" s="10"/>
      <c r="U174" s="10"/>
      <c r="V174" s="10"/>
      <c r="W174" s="10"/>
      <c r="X174" s="10"/>
      <c r="Y174" s="10"/>
    </row>
    <row r="175" spans="1:25" s="4" customFormat="1" ht="19.149999999999999" customHeight="1">
      <c r="A175" s="683" t="s">
        <v>502</v>
      </c>
      <c r="B175" s="550" t="s">
        <v>503</v>
      </c>
      <c r="C175" s="609"/>
      <c r="D175" s="625"/>
      <c r="E175" s="550"/>
      <c r="F175" s="550"/>
      <c r="G175" s="550"/>
      <c r="H175" s="550"/>
      <c r="I175" s="550"/>
      <c r="J175" s="550"/>
      <c r="K175" s="550"/>
      <c r="L175" s="550"/>
      <c r="M175" s="550"/>
      <c r="N175" s="550"/>
      <c r="O175" s="552"/>
      <c r="P175" s="553"/>
      <c r="Q175" s="554"/>
      <c r="R175" s="555"/>
      <c r="S175" s="615"/>
      <c r="T175" s="10"/>
      <c r="U175" s="10"/>
      <c r="V175" s="10"/>
      <c r="W175" s="10"/>
      <c r="X175" s="10"/>
      <c r="Y175" s="10"/>
    </row>
    <row r="176" spans="1:25" s="4" customFormat="1" ht="19.149999999999999" customHeight="1">
      <c r="A176" s="978" t="s">
        <v>9</v>
      </c>
      <c r="B176" s="981" t="s">
        <v>492</v>
      </c>
      <c r="C176" s="984" t="s">
        <v>1</v>
      </c>
      <c r="D176" s="694" t="s">
        <v>9</v>
      </c>
      <c r="E176" s="356">
        <f t="shared" ref="E176:Q180" si="15">E133+E$168+E$170+E$172</f>
        <v>158438.00999999998</v>
      </c>
      <c r="F176" s="356">
        <f t="shared" si="15"/>
        <v>0</v>
      </c>
      <c r="G176" s="356">
        <f t="shared" si="15"/>
        <v>0</v>
      </c>
      <c r="H176" s="356">
        <f t="shared" si="15"/>
        <v>2029.4198705128204</v>
      </c>
      <c r="I176" s="356">
        <f t="shared" si="15"/>
        <v>7976.8799999999992</v>
      </c>
      <c r="J176" s="356">
        <f t="shared" si="15"/>
        <v>153.16</v>
      </c>
      <c r="K176" s="356">
        <f t="shared" si="15"/>
        <v>211.34399999999997</v>
      </c>
      <c r="L176" s="356">
        <f t="shared" si="15"/>
        <v>168808.81387051279</v>
      </c>
      <c r="M176" s="356">
        <f t="shared" si="15"/>
        <v>40670.855360641021</v>
      </c>
      <c r="N176" s="556">
        <f t="shared" si="15"/>
        <v>209479.66923115382</v>
      </c>
      <c r="O176" s="356">
        <f t="shared" si="15"/>
        <v>4078.2</v>
      </c>
      <c r="P176" s="556">
        <f t="shared" si="15"/>
        <v>3288</v>
      </c>
      <c r="Q176" s="556">
        <f t="shared" si="15"/>
        <v>790.2</v>
      </c>
      <c r="R176" s="556"/>
      <c r="S176" s="626">
        <f t="shared" ref="S176:T180" si="16">S133+S$168+S$170+S$172</f>
        <v>8011.6632235692314</v>
      </c>
      <c r="T176" s="626">
        <f t="shared" si="16"/>
        <v>6139.8133120256407</v>
      </c>
      <c r="U176" s="10"/>
      <c r="V176" s="10"/>
      <c r="W176" s="10"/>
      <c r="X176" s="10"/>
      <c r="Y176" s="10"/>
    </row>
    <row r="177" spans="1:25" s="4" customFormat="1" ht="19.149999999999999" customHeight="1">
      <c r="A177" s="979"/>
      <c r="B177" s="982"/>
      <c r="C177" s="985"/>
      <c r="D177" s="695" t="s">
        <v>10</v>
      </c>
      <c r="E177" s="356">
        <f t="shared" si="15"/>
        <v>198546.45999999996</v>
      </c>
      <c r="F177" s="356">
        <f t="shared" si="15"/>
        <v>0</v>
      </c>
      <c r="G177" s="356">
        <f t="shared" si="15"/>
        <v>0</v>
      </c>
      <c r="H177" s="356">
        <f t="shared" si="15"/>
        <v>2417.370303205128</v>
      </c>
      <c r="I177" s="356">
        <f t="shared" si="15"/>
        <v>7976.8799999999992</v>
      </c>
      <c r="J177" s="356">
        <f t="shared" si="15"/>
        <v>153.16</v>
      </c>
      <c r="K177" s="356">
        <f t="shared" si="15"/>
        <v>211.34399999999997</v>
      </c>
      <c r="L177" s="356">
        <f t="shared" si="15"/>
        <v>209305.21430320508</v>
      </c>
      <c r="M177" s="356">
        <f t="shared" si="15"/>
        <v>50794.955468814092</v>
      </c>
      <c r="N177" s="556">
        <f t="shared" si="15"/>
        <v>260100.16977201917</v>
      </c>
      <c r="O177" s="356">
        <f t="shared" si="15"/>
        <v>5073.2</v>
      </c>
      <c r="P177" s="556">
        <f t="shared" si="15"/>
        <v>4084</v>
      </c>
      <c r="Q177" s="556">
        <f t="shared" si="15"/>
        <v>989.2</v>
      </c>
      <c r="R177" s="556"/>
      <c r="S177" s="626">
        <f t="shared" si="16"/>
        <v>10036.483245203844</v>
      </c>
      <c r="T177" s="626">
        <f t="shared" si="16"/>
        <v>7759.6693293333319</v>
      </c>
      <c r="U177" s="10"/>
      <c r="V177" s="10"/>
      <c r="W177" s="10"/>
      <c r="X177" s="10"/>
      <c r="Y177" s="10"/>
    </row>
    <row r="178" spans="1:25" s="4" customFormat="1" ht="19.149999999999999" customHeight="1">
      <c r="A178" s="979"/>
      <c r="B178" s="982"/>
      <c r="C178" s="985"/>
      <c r="D178" s="695" t="s">
        <v>11</v>
      </c>
      <c r="E178" s="356">
        <f t="shared" si="15"/>
        <v>250546.36</v>
      </c>
      <c r="F178" s="356">
        <f t="shared" si="15"/>
        <v>0</v>
      </c>
      <c r="G178" s="356">
        <f t="shared" si="15"/>
        <v>0</v>
      </c>
      <c r="H178" s="356">
        <f t="shared" si="15"/>
        <v>3063.9543576923074</v>
      </c>
      <c r="I178" s="356">
        <f t="shared" si="15"/>
        <v>7976.8799999999992</v>
      </c>
      <c r="J178" s="356">
        <f t="shared" si="15"/>
        <v>153.16</v>
      </c>
      <c r="K178" s="356">
        <f t="shared" si="15"/>
        <v>211.34399999999997</v>
      </c>
      <c r="L178" s="356">
        <f t="shared" si="15"/>
        <v>261951.69835769231</v>
      </c>
      <c r="M178" s="356">
        <f t="shared" si="15"/>
        <v>63956.576482435899</v>
      </c>
      <c r="N178" s="556">
        <f t="shared" si="15"/>
        <v>325908.2748401282</v>
      </c>
      <c r="O178" s="356">
        <f t="shared" si="15"/>
        <v>6363.1999999999989</v>
      </c>
      <c r="P178" s="556">
        <f t="shared" si="15"/>
        <v>5115.9999999999991</v>
      </c>
      <c r="Q178" s="556">
        <f t="shared" si="15"/>
        <v>1247.1999999999998</v>
      </c>
      <c r="R178" s="556"/>
      <c r="S178" s="626">
        <f t="shared" si="16"/>
        <v>12668.807447928204</v>
      </c>
      <c r="T178" s="626">
        <f t="shared" si="16"/>
        <v>9865.5286915128218</v>
      </c>
      <c r="U178" s="10"/>
      <c r="V178" s="10"/>
      <c r="W178" s="10"/>
      <c r="X178" s="10"/>
      <c r="Y178" s="10"/>
    </row>
    <row r="179" spans="1:25" s="4" customFormat="1" ht="19.149999999999999" customHeight="1">
      <c r="A179" s="979"/>
      <c r="B179" s="982"/>
      <c r="C179" s="985"/>
      <c r="D179" s="698" t="s">
        <v>12</v>
      </c>
      <c r="E179" s="356">
        <f t="shared" si="15"/>
        <v>318267.15999999997</v>
      </c>
      <c r="F179" s="356">
        <f t="shared" si="15"/>
        <v>0</v>
      </c>
      <c r="G179" s="356">
        <f t="shared" si="15"/>
        <v>0</v>
      </c>
      <c r="H179" s="356">
        <f t="shared" si="15"/>
        <v>3969.1720339743588</v>
      </c>
      <c r="I179" s="356">
        <f t="shared" si="15"/>
        <v>7976.8799999999992</v>
      </c>
      <c r="J179" s="356">
        <f t="shared" si="15"/>
        <v>153.16</v>
      </c>
      <c r="K179" s="356">
        <f t="shared" si="15"/>
        <v>211.34399999999997</v>
      </c>
      <c r="L179" s="356">
        <f t="shared" si="15"/>
        <v>330577.71603397431</v>
      </c>
      <c r="M179" s="356">
        <f t="shared" si="15"/>
        <v>81113.080901506401</v>
      </c>
      <c r="N179" s="556">
        <f t="shared" si="15"/>
        <v>411690.79693548079</v>
      </c>
      <c r="O179" s="356">
        <f t="shared" si="15"/>
        <v>8043.2</v>
      </c>
      <c r="P179" s="556">
        <f t="shared" si="15"/>
        <v>6460</v>
      </c>
      <c r="Q179" s="556">
        <f t="shared" si="15"/>
        <v>1583.2</v>
      </c>
      <c r="R179" s="556"/>
      <c r="S179" s="626">
        <f t="shared" si="16"/>
        <v>16100.108331742307</v>
      </c>
      <c r="T179" s="626">
        <f t="shared" si="16"/>
        <v>12610.569398564103</v>
      </c>
      <c r="U179" s="10"/>
      <c r="V179" s="10"/>
      <c r="W179" s="10"/>
      <c r="X179" s="10"/>
      <c r="Y179" s="10"/>
    </row>
    <row r="180" spans="1:25" s="4" customFormat="1" ht="19.149999999999999" customHeight="1">
      <c r="A180" s="979"/>
      <c r="B180" s="982"/>
      <c r="C180" s="985"/>
      <c r="D180" s="695" t="s">
        <v>13</v>
      </c>
      <c r="E180" s="356">
        <f t="shared" si="15"/>
        <v>406344.51</v>
      </c>
      <c r="F180" s="356">
        <f t="shared" si="15"/>
        <v>0</v>
      </c>
      <c r="G180" s="356">
        <f t="shared" si="15"/>
        <v>0</v>
      </c>
      <c r="H180" s="356">
        <f t="shared" si="15"/>
        <v>5003.7065211538466</v>
      </c>
      <c r="I180" s="356">
        <f t="shared" si="15"/>
        <v>7976.8799999999992</v>
      </c>
      <c r="J180" s="356">
        <f t="shared" si="15"/>
        <v>153.16</v>
      </c>
      <c r="K180" s="356">
        <f t="shared" si="15"/>
        <v>211.34399999999997</v>
      </c>
      <c r="L180" s="356">
        <f t="shared" si="15"/>
        <v>419689.60052115383</v>
      </c>
      <c r="M180" s="356">
        <f t="shared" si="15"/>
        <v>103391.05202330126</v>
      </c>
      <c r="N180" s="556">
        <f t="shared" si="15"/>
        <v>523080.65254445514</v>
      </c>
      <c r="O180" s="356">
        <f t="shared" si="15"/>
        <v>10228.200000000001</v>
      </c>
      <c r="P180" s="556">
        <f t="shared" si="15"/>
        <v>8208</v>
      </c>
      <c r="Q180" s="556">
        <f t="shared" si="15"/>
        <v>2020.2</v>
      </c>
      <c r="R180" s="556"/>
      <c r="S180" s="626">
        <f t="shared" si="16"/>
        <v>20555.702556101285</v>
      </c>
      <c r="T180" s="626">
        <f t="shared" si="16"/>
        <v>16175.044778051282</v>
      </c>
      <c r="U180" s="10"/>
      <c r="V180" s="10"/>
      <c r="W180" s="10"/>
      <c r="X180" s="10"/>
      <c r="Y180" s="10"/>
    </row>
    <row r="181" spans="1:25" s="4" customFormat="1" ht="4.9000000000000004" customHeight="1">
      <c r="A181" s="355"/>
      <c r="B181" s="699"/>
      <c r="C181" s="645"/>
      <c r="D181" s="694"/>
      <c r="E181" s="352"/>
      <c r="F181" s="352"/>
      <c r="G181" s="352"/>
      <c r="H181" s="352"/>
      <c r="I181" s="352"/>
      <c r="J181" s="352"/>
      <c r="K181" s="352"/>
      <c r="L181" s="352"/>
      <c r="M181" s="352"/>
      <c r="N181" s="560"/>
      <c r="O181" s="352"/>
      <c r="P181" s="352"/>
      <c r="Q181" s="561"/>
      <c r="R181" s="562"/>
      <c r="S181" s="615"/>
      <c r="T181" s="615"/>
      <c r="U181" s="10"/>
      <c r="V181" s="10"/>
      <c r="W181" s="10"/>
      <c r="X181" s="10"/>
      <c r="Y181" s="10"/>
    </row>
    <row r="182" spans="1:25" s="4" customFormat="1" ht="19.149999999999999" customHeight="1">
      <c r="A182" s="978" t="s">
        <v>10</v>
      </c>
      <c r="B182" s="981" t="s">
        <v>391</v>
      </c>
      <c r="C182" s="984" t="s">
        <v>278</v>
      </c>
      <c r="D182" s="695" t="s">
        <v>9</v>
      </c>
      <c r="E182" s="353">
        <f>E139+E145+E154+E$163+E$166</f>
        <v>100057.38125000001</v>
      </c>
      <c r="F182" s="353">
        <f t="shared" ref="F182:Q182" si="17">F139+F145+F154+F$163+F$166</f>
        <v>5865</v>
      </c>
      <c r="G182" s="353">
        <f t="shared" si="17"/>
        <v>0</v>
      </c>
      <c r="H182" s="353">
        <f t="shared" si="17"/>
        <v>879.66534662820482</v>
      </c>
      <c r="I182" s="353">
        <f t="shared" si="17"/>
        <v>8073.7154999999993</v>
      </c>
      <c r="J182" s="353">
        <f t="shared" si="17"/>
        <v>3117.4132</v>
      </c>
      <c r="K182" s="353">
        <f t="shared" si="17"/>
        <v>468.06479999999999</v>
      </c>
      <c r="L182" s="353">
        <f t="shared" si="17"/>
        <v>118461.2400966282</v>
      </c>
      <c r="M182" s="353">
        <f t="shared" si="17"/>
        <v>28555.003016969869</v>
      </c>
      <c r="N182" s="349">
        <f t="shared" si="17"/>
        <v>147016.24311359806</v>
      </c>
      <c r="O182" s="353">
        <f t="shared" si="17"/>
        <v>2417.625</v>
      </c>
      <c r="P182" s="349">
        <f t="shared" si="17"/>
        <v>1947.5</v>
      </c>
      <c r="Q182" s="349">
        <f t="shared" si="17"/>
        <v>470.125</v>
      </c>
      <c r="R182" s="349"/>
      <c r="S182" s="627" t="e">
        <f>S139+S145+#REF!+#REF!+S154+S$163+S$166</f>
        <v>#REF!</v>
      </c>
      <c r="T182" s="627" t="e">
        <f>T139+T145+#REF!+#REF!+T154+T$163+T$166</f>
        <v>#REF!</v>
      </c>
      <c r="U182" s="10"/>
      <c r="V182" s="10"/>
      <c r="W182" s="10"/>
      <c r="X182" s="10"/>
      <c r="Y182" s="10"/>
    </row>
    <row r="183" spans="1:25" s="4" customFormat="1" ht="19.149999999999999" customHeight="1">
      <c r="A183" s="979"/>
      <c r="B183" s="982"/>
      <c r="C183" s="985"/>
      <c r="D183" s="695" t="s">
        <v>10</v>
      </c>
      <c r="E183" s="353">
        <f t="shared" ref="E183:T186" si="18">E140+E146+E155+E$163+E$166</f>
        <v>118286.33999999998</v>
      </c>
      <c r="F183" s="353">
        <f t="shared" si="18"/>
        <v>7051.8</v>
      </c>
      <c r="G183" s="353">
        <f t="shared" si="18"/>
        <v>0</v>
      </c>
      <c r="H183" s="353">
        <f t="shared" si="18"/>
        <v>1053.4323166185895</v>
      </c>
      <c r="I183" s="353">
        <f t="shared" si="18"/>
        <v>8073.7154999999993</v>
      </c>
      <c r="J183" s="353">
        <f t="shared" si="18"/>
        <v>3835.6848</v>
      </c>
      <c r="K183" s="353">
        <f t="shared" si="18"/>
        <v>481.58460000000002</v>
      </c>
      <c r="L183" s="353">
        <f t="shared" si="18"/>
        <v>138782.55721661859</v>
      </c>
      <c r="M183" s="353">
        <f t="shared" si="18"/>
        <v>33602.140591004005</v>
      </c>
      <c r="N183" s="349">
        <f t="shared" si="18"/>
        <v>172384.69780762261</v>
      </c>
      <c r="O183" s="353">
        <f t="shared" si="18"/>
        <v>2843.8</v>
      </c>
      <c r="P183" s="349">
        <f t="shared" si="18"/>
        <v>2289</v>
      </c>
      <c r="Q183" s="349">
        <f t="shared" si="18"/>
        <v>554.79999999999995</v>
      </c>
      <c r="R183" s="349"/>
      <c r="S183" s="628" t="e">
        <f>S140+S146+#REF!+#REF!+S155+S$163+S$166</f>
        <v>#REF!</v>
      </c>
      <c r="T183" s="628" t="e">
        <f>T140+T146+#REF!+#REF!+T155+T$163+T$166</f>
        <v>#REF!</v>
      </c>
      <c r="U183" s="10"/>
      <c r="V183" s="10"/>
      <c r="W183" s="10"/>
      <c r="X183" s="10"/>
      <c r="Y183" s="10"/>
    </row>
    <row r="184" spans="1:25" s="4" customFormat="1" ht="19.149999999999999" customHeight="1">
      <c r="A184" s="979"/>
      <c r="B184" s="982"/>
      <c r="C184" s="985"/>
      <c r="D184" s="695" t="s">
        <v>11</v>
      </c>
      <c r="E184" s="353">
        <f t="shared" si="18"/>
        <v>140812.76999999999</v>
      </c>
      <c r="F184" s="353">
        <f t="shared" si="18"/>
        <v>8445.6</v>
      </c>
      <c r="G184" s="353">
        <f t="shared" si="18"/>
        <v>0</v>
      </c>
      <c r="H184" s="353">
        <f t="shared" si="18"/>
        <v>1343.0439332692304</v>
      </c>
      <c r="I184" s="353">
        <f t="shared" si="18"/>
        <v>8073.7154999999993</v>
      </c>
      <c r="J184" s="353">
        <f t="shared" si="18"/>
        <v>5030.536399999999</v>
      </c>
      <c r="K184" s="353">
        <f t="shared" si="18"/>
        <v>505.51619999999997</v>
      </c>
      <c r="L184" s="353">
        <f t="shared" si="18"/>
        <v>164211.18203326926</v>
      </c>
      <c r="M184" s="353">
        <f t="shared" si="18"/>
        <v>39904.60270189424</v>
      </c>
      <c r="N184" s="349">
        <f t="shared" si="18"/>
        <v>204115.7847351635</v>
      </c>
      <c r="O184" s="353">
        <f t="shared" si="18"/>
        <v>3371.3999999999996</v>
      </c>
      <c r="P184" s="349">
        <f t="shared" si="18"/>
        <v>2711.9999999999995</v>
      </c>
      <c r="Q184" s="349">
        <f t="shared" si="18"/>
        <v>659.39999999999986</v>
      </c>
      <c r="R184" s="349"/>
      <c r="S184" s="349">
        <f t="shared" si="18"/>
        <v>7889.0651158650016</v>
      </c>
      <c r="T184" s="349">
        <f t="shared" si="18"/>
        <v>6109.1701587615398</v>
      </c>
      <c r="U184" s="10"/>
      <c r="V184" s="10"/>
      <c r="W184" s="10"/>
      <c r="X184" s="10"/>
      <c r="Y184" s="10"/>
    </row>
    <row r="185" spans="1:25" s="4" customFormat="1" ht="19.149999999999999" customHeight="1">
      <c r="A185" s="979"/>
      <c r="B185" s="982"/>
      <c r="C185" s="985"/>
      <c r="D185" s="698" t="s">
        <v>12</v>
      </c>
      <c r="E185" s="353">
        <f t="shared" si="18"/>
        <v>168711.92124999996</v>
      </c>
      <c r="F185" s="353">
        <f t="shared" si="18"/>
        <v>10143</v>
      </c>
      <c r="G185" s="353">
        <f t="shared" si="18"/>
        <v>0</v>
      </c>
      <c r="H185" s="353">
        <f t="shared" si="18"/>
        <v>1748.500196580128</v>
      </c>
      <c r="I185" s="353">
        <f t="shared" si="18"/>
        <v>8073.7154999999993</v>
      </c>
      <c r="J185" s="353">
        <f t="shared" si="18"/>
        <v>6725.3980000000001</v>
      </c>
      <c r="K185" s="353">
        <f t="shared" si="18"/>
        <v>537.68399999999997</v>
      </c>
      <c r="L185" s="353">
        <f t="shared" si="18"/>
        <v>195940.21894658011</v>
      </c>
      <c r="M185" s="353">
        <f t="shared" si="18"/>
        <v>47760.803189640537</v>
      </c>
      <c r="N185" s="349">
        <f t="shared" si="18"/>
        <v>243701.02213622062</v>
      </c>
      <c r="O185" s="353">
        <f t="shared" si="18"/>
        <v>4025.4249999999997</v>
      </c>
      <c r="P185" s="349">
        <f t="shared" si="18"/>
        <v>3236.4999999999995</v>
      </c>
      <c r="Q185" s="349">
        <f t="shared" si="18"/>
        <v>788.92499999999984</v>
      </c>
      <c r="R185" s="349"/>
      <c r="S185" s="628" t="e">
        <f>S142+S148+#REF!+#REF!+S157+S$163+S$166</f>
        <v>#REF!</v>
      </c>
      <c r="T185" s="628" t="e">
        <f>T142+T148+#REF!+#REF!+T157+T$163+T$166</f>
        <v>#REF!</v>
      </c>
      <c r="U185" s="10"/>
      <c r="V185" s="10"/>
      <c r="W185" s="10"/>
      <c r="X185" s="10"/>
      <c r="Y185" s="10"/>
    </row>
    <row r="186" spans="1:25" s="4" customFormat="1" ht="19.149999999999999" customHeight="1">
      <c r="A186" s="980"/>
      <c r="B186" s="983"/>
      <c r="C186" s="986"/>
      <c r="D186" s="697" t="s">
        <v>13</v>
      </c>
      <c r="E186" s="379">
        <f t="shared" si="18"/>
        <v>201671.74749999997</v>
      </c>
      <c r="F186" s="379">
        <f t="shared" si="18"/>
        <v>12171.6</v>
      </c>
      <c r="G186" s="379">
        <f t="shared" si="18"/>
        <v>0</v>
      </c>
      <c r="H186" s="379">
        <f t="shared" si="18"/>
        <v>2211.8787832211533</v>
      </c>
      <c r="I186" s="379">
        <f t="shared" si="18"/>
        <v>8073.7154999999993</v>
      </c>
      <c r="J186" s="379">
        <f t="shared" si="18"/>
        <v>8632.4296000000013</v>
      </c>
      <c r="K186" s="379">
        <f t="shared" si="18"/>
        <v>576.84480000000008</v>
      </c>
      <c r="L186" s="379">
        <f t="shared" si="18"/>
        <v>233338.21618322111</v>
      </c>
      <c r="M186" s="379">
        <f t="shared" si="18"/>
        <v>57022.309579564906</v>
      </c>
      <c r="N186" s="381">
        <f t="shared" si="18"/>
        <v>290360.52576278604</v>
      </c>
      <c r="O186" s="379">
        <f t="shared" si="18"/>
        <v>4797.95</v>
      </c>
      <c r="P186" s="381">
        <f t="shared" si="18"/>
        <v>3855.9999999999995</v>
      </c>
      <c r="Q186" s="381">
        <f t="shared" si="18"/>
        <v>941.94999999999993</v>
      </c>
      <c r="R186" s="381"/>
      <c r="S186" s="628" t="e">
        <f>S143+S149+#REF!+#REF!+S158+S$163+S$166</f>
        <v>#REF!</v>
      </c>
      <c r="T186" s="628" t="e">
        <f>T143+T149+#REF!+#REF!+T158+T$163+T$166</f>
        <v>#REF!</v>
      </c>
      <c r="U186" s="10"/>
      <c r="V186" s="10"/>
      <c r="W186" s="10"/>
      <c r="X186" s="10"/>
      <c r="Y186" s="10"/>
    </row>
    <row r="187" spans="1:25" s="4" customFormat="1" ht="30" customHeight="1">
      <c r="A187" s="566"/>
      <c r="B187" s="567"/>
      <c r="C187" s="567"/>
      <c r="D187" s="566"/>
      <c r="E187" s="568"/>
      <c r="F187" s="568"/>
      <c r="G187" s="568"/>
      <c r="H187" s="568"/>
      <c r="I187" s="568"/>
      <c r="J187" s="568"/>
      <c r="K187" s="568"/>
      <c r="L187" s="568"/>
      <c r="M187" s="568"/>
      <c r="N187" s="568"/>
      <c r="O187" s="569"/>
      <c r="P187" s="629"/>
      <c r="Q187" s="630"/>
      <c r="R187" s="631"/>
      <c r="S187" s="10"/>
      <c r="T187" s="10"/>
      <c r="U187" s="10"/>
      <c r="V187" s="10"/>
      <c r="W187" s="10"/>
      <c r="X187" s="10"/>
      <c r="Y187" s="10"/>
    </row>
    <row r="188" spans="1:25" s="4" customFormat="1" ht="32.450000000000003" customHeight="1">
      <c r="A188" s="566"/>
      <c r="B188" s="567"/>
      <c r="C188" s="567"/>
      <c r="D188" s="566"/>
      <c r="E188" s="568"/>
      <c r="F188" s="568"/>
      <c r="G188" s="568"/>
      <c r="H188" s="568"/>
      <c r="I188" s="568"/>
      <c r="J188" s="568"/>
      <c r="K188" s="568"/>
      <c r="L188" s="568"/>
      <c r="M188" s="568"/>
      <c r="N188" s="568"/>
      <c r="O188" s="569"/>
      <c r="P188" s="629"/>
      <c r="Q188" s="630"/>
      <c r="R188" s="631"/>
      <c r="S188" s="10"/>
      <c r="T188" s="10"/>
      <c r="U188" s="10"/>
      <c r="V188" s="10"/>
      <c r="W188" s="10"/>
      <c r="X188" s="10"/>
      <c r="Y188" s="10"/>
    </row>
    <row r="189" spans="1:25" s="4" customFormat="1" ht="21.75" customHeight="1">
      <c r="A189" s="999" t="s">
        <v>367</v>
      </c>
      <c r="B189" s="999"/>
      <c r="C189" s="999"/>
      <c r="D189" s="999"/>
      <c r="E189" s="999"/>
      <c r="F189" s="999"/>
      <c r="G189" s="999"/>
      <c r="H189" s="999"/>
      <c r="I189" s="999"/>
      <c r="J189" s="999"/>
      <c r="K189" s="999"/>
      <c r="L189" s="999"/>
      <c r="M189" s="999"/>
      <c r="N189" s="999"/>
      <c r="O189" s="999"/>
      <c r="P189" s="632"/>
      <c r="Q189" s="630"/>
      <c r="R189" s="631"/>
      <c r="S189" s="10"/>
      <c r="T189" s="10"/>
      <c r="U189" s="10"/>
      <c r="V189" s="10"/>
      <c r="W189" s="10"/>
      <c r="X189" s="10"/>
      <c r="Y189" s="10"/>
    </row>
    <row r="190" spans="1:25" s="4" customFormat="1" ht="16.5" customHeight="1">
      <c r="A190" s="633"/>
      <c r="B190" s="634"/>
      <c r="C190" s="635"/>
      <c r="D190" s="413"/>
      <c r="E190" s="636"/>
      <c r="F190" s="636"/>
      <c r="G190" s="636"/>
      <c r="H190" s="636"/>
      <c r="I190" s="636"/>
      <c r="J190" s="636"/>
      <c r="K190" s="636"/>
      <c r="L190" s="636"/>
      <c r="M190" s="637"/>
      <c r="N190" s="1000" t="s">
        <v>428</v>
      </c>
      <c r="O190" s="1000"/>
      <c r="P190" s="569"/>
      <c r="Q190" s="638"/>
      <c r="R190" s="639"/>
      <c r="S190" s="10"/>
      <c r="T190" s="10"/>
      <c r="U190" s="10"/>
      <c r="V190" s="10"/>
      <c r="W190" s="10"/>
      <c r="X190" s="10"/>
      <c r="Y190" s="10"/>
    </row>
    <row r="191" spans="1:25" s="4" customFormat="1" ht="19.149999999999999" customHeight="1">
      <c r="A191" s="987" t="s">
        <v>376</v>
      </c>
      <c r="B191" s="989" t="s">
        <v>377</v>
      </c>
      <c r="C191" s="991" t="s">
        <v>378</v>
      </c>
      <c r="D191" s="987" t="s">
        <v>91</v>
      </c>
      <c r="E191" s="996" t="s">
        <v>368</v>
      </c>
      <c r="F191" s="997"/>
      <c r="G191" s="997"/>
      <c r="H191" s="997"/>
      <c r="I191" s="997"/>
      <c r="J191" s="997"/>
      <c r="K191" s="997"/>
      <c r="L191" s="998"/>
      <c r="M191" s="991" t="s">
        <v>427</v>
      </c>
      <c r="N191" s="991" t="s">
        <v>379</v>
      </c>
      <c r="O191" s="579" t="s">
        <v>18</v>
      </c>
      <c r="P191" s="787" t="s">
        <v>19</v>
      </c>
      <c r="Q191" s="580" t="s">
        <v>19</v>
      </c>
      <c r="R191" s="581" t="s">
        <v>16</v>
      </c>
      <c r="S191" s="10"/>
      <c r="T191" s="10"/>
      <c r="U191" s="10"/>
      <c r="V191" s="10"/>
      <c r="W191" s="10"/>
      <c r="X191" s="10"/>
      <c r="Y191" s="10"/>
    </row>
    <row r="192" spans="1:25" s="4" customFormat="1" ht="19.149999999999999" customHeight="1">
      <c r="A192" s="988"/>
      <c r="B192" s="990"/>
      <c r="C192" s="992"/>
      <c r="D192" s="988"/>
      <c r="E192" s="582" t="s">
        <v>369</v>
      </c>
      <c r="F192" s="564" t="s">
        <v>370</v>
      </c>
      <c r="G192" s="583">
        <v>0</v>
      </c>
      <c r="H192" s="564" t="s">
        <v>257</v>
      </c>
      <c r="I192" s="564" t="s">
        <v>280</v>
      </c>
      <c r="J192" s="564" t="s">
        <v>261</v>
      </c>
      <c r="K192" s="564" t="s">
        <v>371</v>
      </c>
      <c r="L192" s="564" t="s">
        <v>372</v>
      </c>
      <c r="M192" s="992"/>
      <c r="N192" s="992"/>
      <c r="O192" s="563" t="s">
        <v>20</v>
      </c>
      <c r="P192" s="788" t="s">
        <v>21</v>
      </c>
      <c r="Q192" s="584" t="s">
        <v>22</v>
      </c>
      <c r="R192" s="585" t="s">
        <v>17</v>
      </c>
      <c r="S192" s="10"/>
      <c r="T192" s="10"/>
      <c r="U192" s="10"/>
      <c r="V192" s="10"/>
      <c r="W192" s="10"/>
      <c r="X192" s="10"/>
      <c r="Y192" s="10"/>
    </row>
    <row r="193" spans="1:25" s="4" customFormat="1" ht="19.149999999999999" customHeight="1">
      <c r="A193" s="331" t="s">
        <v>52</v>
      </c>
      <c r="B193" s="586" t="s">
        <v>53</v>
      </c>
      <c r="C193" s="586" t="s">
        <v>54</v>
      </c>
      <c r="D193" s="331" t="s">
        <v>55</v>
      </c>
      <c r="E193" s="332" t="s">
        <v>56</v>
      </c>
      <c r="F193" s="332" t="s">
        <v>57</v>
      </c>
      <c r="G193" s="332"/>
      <c r="H193" s="332" t="s">
        <v>58</v>
      </c>
      <c r="I193" s="332" t="s">
        <v>59</v>
      </c>
      <c r="J193" s="332" t="s">
        <v>60</v>
      </c>
      <c r="K193" s="332" t="s">
        <v>61</v>
      </c>
      <c r="L193" s="334" t="s">
        <v>373</v>
      </c>
      <c r="M193" s="334" t="s">
        <v>374</v>
      </c>
      <c r="N193" s="334" t="s">
        <v>375</v>
      </c>
      <c r="O193" s="332" t="s">
        <v>62</v>
      </c>
      <c r="P193" s="48"/>
      <c r="Q193" s="48"/>
      <c r="R193" s="49"/>
      <c r="S193" s="10"/>
      <c r="T193" s="10"/>
      <c r="U193" s="10"/>
      <c r="V193" s="10"/>
      <c r="W193" s="10"/>
      <c r="X193" s="10"/>
      <c r="Y193" s="10"/>
    </row>
    <row r="194" spans="1:25" s="4" customFormat="1" ht="22.15" customHeight="1">
      <c r="A194" s="551" t="s">
        <v>3</v>
      </c>
      <c r="B194" s="550" t="s">
        <v>380</v>
      </c>
      <c r="C194" s="587"/>
      <c r="D194" s="344"/>
      <c r="E194" s="345"/>
      <c r="F194" s="345"/>
      <c r="G194" s="345"/>
      <c r="H194" s="345"/>
      <c r="I194" s="345"/>
      <c r="J194" s="345"/>
      <c r="K194" s="345"/>
      <c r="L194" s="345"/>
      <c r="M194" s="345"/>
      <c r="N194" s="345"/>
      <c r="O194" s="347"/>
      <c r="P194" s="98"/>
      <c r="Q194" s="48"/>
      <c r="R194" s="49"/>
      <c r="S194" s="10"/>
      <c r="T194" s="10"/>
      <c r="U194" s="10"/>
      <c r="V194" s="10"/>
      <c r="W194" s="10"/>
      <c r="X194" s="10"/>
      <c r="Y194" s="10"/>
    </row>
    <row r="195" spans="1:25" s="4" customFormat="1" ht="19.149999999999999" customHeight="1">
      <c r="A195" s="351" t="s">
        <v>9</v>
      </c>
      <c r="B195" s="437" t="s">
        <v>73</v>
      </c>
      <c r="C195" s="438" t="s">
        <v>1</v>
      </c>
      <c r="D195" s="351">
        <v>1</v>
      </c>
      <c r="E195" s="352">
        <v>58751.824999999997</v>
      </c>
      <c r="F195" s="353"/>
      <c r="G195" s="353">
        <f>$Q$1*10*P195</f>
        <v>0</v>
      </c>
      <c r="H195" s="353">
        <v>581.97528846153864</v>
      </c>
      <c r="I195" s="353">
        <v>750.6</v>
      </c>
      <c r="J195" s="353"/>
      <c r="K195" s="353"/>
      <c r="L195" s="353">
        <f>SUM(E195:K195)</f>
        <v>60084.400288461533</v>
      </c>
      <c r="M195" s="353">
        <v>15021.100072115383</v>
      </c>
      <c r="N195" s="349">
        <f>M195+L195</f>
        <v>75105.500360576916</v>
      </c>
      <c r="O195" s="441">
        <v>1457.5</v>
      </c>
      <c r="P195" s="441">
        <v>1166</v>
      </c>
      <c r="Q195" s="442">
        <v>291.5</v>
      </c>
      <c r="R195" s="640">
        <v>0.23319999999999999</v>
      </c>
      <c r="S195" s="615">
        <f>N195*4%</f>
        <v>3004.2200144230769</v>
      </c>
      <c r="T195" s="641">
        <f>L195*4%</f>
        <v>2403.3760115384612</v>
      </c>
      <c r="U195" s="10"/>
      <c r="V195" s="10"/>
      <c r="W195" s="10"/>
      <c r="X195" s="10"/>
      <c r="Y195" s="10"/>
    </row>
    <row r="196" spans="1:25" s="4" customFormat="1" ht="19.149999999999999" customHeight="1">
      <c r="A196" s="437"/>
      <c r="B196" s="636"/>
      <c r="C196" s="438"/>
      <c r="D196" s="351">
        <v>2</v>
      </c>
      <c r="E196" s="352">
        <v>70542.5</v>
      </c>
      <c r="F196" s="353"/>
      <c r="G196" s="353">
        <f>$Q$1*10*P196</f>
        <v>0</v>
      </c>
      <c r="H196" s="353">
        <v>727.4691105769233</v>
      </c>
      <c r="I196" s="353">
        <f>$I$195</f>
        <v>750.6</v>
      </c>
      <c r="J196" s="353"/>
      <c r="K196" s="353"/>
      <c r="L196" s="353">
        <f>SUM(E196:K196)</f>
        <v>72020.569110576922</v>
      </c>
      <c r="M196" s="353">
        <v>18005.14227764423</v>
      </c>
      <c r="N196" s="349">
        <f>M196+L196</f>
        <v>90025.711388221156</v>
      </c>
      <c r="O196" s="441">
        <v>1750.0000000000002</v>
      </c>
      <c r="P196" s="441">
        <v>1400.0000000000002</v>
      </c>
      <c r="Q196" s="442">
        <v>350.00000000000006</v>
      </c>
      <c r="R196" s="640">
        <v>0.28000000000000003</v>
      </c>
      <c r="S196" s="615">
        <f t="shared" ref="S196:S211" si="19">N196*4%</f>
        <v>3601.0284555288463</v>
      </c>
      <c r="T196" s="641">
        <f t="shared" ref="T196:T211" si="20">L196*4%</f>
        <v>2880.8227644230769</v>
      </c>
      <c r="U196" s="10"/>
      <c r="V196" s="10"/>
      <c r="W196" s="10"/>
      <c r="X196" s="10"/>
      <c r="Y196" s="10"/>
    </row>
    <row r="197" spans="1:25" s="4" customFormat="1" ht="19.149999999999999" customHeight="1">
      <c r="A197" s="351"/>
      <c r="B197" s="437"/>
      <c r="C197" s="438"/>
      <c r="D197" s="351">
        <v>3</v>
      </c>
      <c r="E197" s="352">
        <v>84651</v>
      </c>
      <c r="F197" s="353"/>
      <c r="G197" s="353">
        <f>$Q$1*10*P197</f>
        <v>0</v>
      </c>
      <c r="H197" s="353">
        <v>969.95881410256436</v>
      </c>
      <c r="I197" s="353">
        <f>$I$195</f>
        <v>750.6</v>
      </c>
      <c r="J197" s="353"/>
      <c r="K197" s="353"/>
      <c r="L197" s="353">
        <f>SUM(E197:K197)</f>
        <v>86371.558814102566</v>
      </c>
      <c r="M197" s="353">
        <v>21592.889703525641</v>
      </c>
      <c r="N197" s="349">
        <f>M197+L197</f>
        <v>107964.4485176282</v>
      </c>
      <c r="O197" s="441">
        <v>2100</v>
      </c>
      <c r="P197" s="441">
        <v>1680</v>
      </c>
      <c r="Q197" s="442">
        <v>420</v>
      </c>
      <c r="R197" s="640">
        <v>0.33600000000000002</v>
      </c>
      <c r="S197" s="615">
        <f t="shared" si="19"/>
        <v>4318.5779407051286</v>
      </c>
      <c r="T197" s="641">
        <f t="shared" si="20"/>
        <v>3454.8623525641028</v>
      </c>
      <c r="U197" s="10"/>
      <c r="V197" s="10"/>
      <c r="W197" s="10"/>
      <c r="X197" s="10"/>
      <c r="Y197" s="10"/>
    </row>
    <row r="198" spans="1:25" s="4" customFormat="1" ht="19.149999999999999" customHeight="1">
      <c r="A198" s="351"/>
      <c r="B198" s="437"/>
      <c r="C198" s="438"/>
      <c r="D198" s="351">
        <v>4</v>
      </c>
      <c r="E198" s="352">
        <v>101581.2</v>
      </c>
      <c r="F198" s="353"/>
      <c r="G198" s="353">
        <f>$Q$1*10*P198</f>
        <v>0</v>
      </c>
      <c r="H198" s="353">
        <v>1309.4443990384621</v>
      </c>
      <c r="I198" s="353">
        <f>$I$195</f>
        <v>750.6</v>
      </c>
      <c r="J198" s="353"/>
      <c r="K198" s="353"/>
      <c r="L198" s="353">
        <f>SUM(E198:K198)</f>
        <v>103641.24439903846</v>
      </c>
      <c r="M198" s="353">
        <v>25910.311099759616</v>
      </c>
      <c r="N198" s="349">
        <f>M198+L198</f>
        <v>129551.55549879809</v>
      </c>
      <c r="O198" s="441">
        <v>2520</v>
      </c>
      <c r="P198" s="441">
        <v>2016</v>
      </c>
      <c r="Q198" s="442">
        <v>504</v>
      </c>
      <c r="R198" s="640">
        <v>0.4032</v>
      </c>
      <c r="S198" s="615">
        <f t="shared" si="19"/>
        <v>5182.0622199519239</v>
      </c>
      <c r="T198" s="641">
        <f t="shared" si="20"/>
        <v>4145.6497759615386</v>
      </c>
      <c r="U198" s="10"/>
      <c r="V198" s="10"/>
      <c r="W198" s="10"/>
      <c r="X198" s="10"/>
      <c r="Y198" s="10"/>
    </row>
    <row r="199" spans="1:25" s="4" customFormat="1" ht="19.149999999999999" customHeight="1">
      <c r="A199" s="351"/>
      <c r="B199" s="437"/>
      <c r="C199" s="438"/>
      <c r="D199" s="351" t="s">
        <v>13</v>
      </c>
      <c r="E199" s="352">
        <v>121887.3625</v>
      </c>
      <c r="F199" s="353"/>
      <c r="G199" s="353">
        <f>$Q$1*10*P199</f>
        <v>0</v>
      </c>
      <c r="H199" s="353">
        <v>1697.4279246794877</v>
      </c>
      <c r="I199" s="353">
        <v>750.6</v>
      </c>
      <c r="J199" s="353"/>
      <c r="K199" s="353"/>
      <c r="L199" s="353">
        <f>SUM(E199:K199)</f>
        <v>124335.3904246795</v>
      </c>
      <c r="M199" s="353">
        <v>31083.847606169875</v>
      </c>
      <c r="N199" s="349">
        <f>M199+L199</f>
        <v>155419.23803084937</v>
      </c>
      <c r="O199" s="441">
        <v>3023.75</v>
      </c>
      <c r="P199" s="441">
        <v>2419</v>
      </c>
      <c r="Q199" s="442">
        <v>604.75</v>
      </c>
      <c r="R199" s="640">
        <v>0.48380000000000001</v>
      </c>
      <c r="S199" s="615">
        <f t="shared" si="19"/>
        <v>6216.769521233975</v>
      </c>
      <c r="T199" s="641">
        <f t="shared" si="20"/>
        <v>4973.4156169871803</v>
      </c>
      <c r="U199" s="10"/>
      <c r="V199" s="10"/>
      <c r="W199" s="10"/>
      <c r="X199" s="10"/>
      <c r="Y199" s="10"/>
    </row>
    <row r="200" spans="1:25" s="4" customFormat="1" ht="19.149999999999999" customHeight="1">
      <c r="A200" s="351"/>
      <c r="B200" s="437"/>
      <c r="C200" s="642"/>
      <c r="D200" s="351"/>
      <c r="E200" s="352"/>
      <c r="F200" s="353"/>
      <c r="G200" s="353"/>
      <c r="H200" s="353"/>
      <c r="I200" s="353"/>
      <c r="J200" s="353"/>
      <c r="K200" s="353"/>
      <c r="L200" s="353"/>
      <c r="M200" s="353"/>
      <c r="N200" s="349"/>
      <c r="O200" s="441"/>
      <c r="P200" s="441"/>
      <c r="Q200" s="442"/>
      <c r="R200" s="640"/>
      <c r="S200" s="615">
        <f t="shared" si="19"/>
        <v>0</v>
      </c>
      <c r="T200" s="641">
        <f t="shared" si="20"/>
        <v>0</v>
      </c>
      <c r="U200" s="10"/>
      <c r="V200" s="10"/>
      <c r="W200" s="10"/>
      <c r="X200" s="10"/>
      <c r="Y200" s="10"/>
    </row>
    <row r="201" spans="1:25" s="4" customFormat="1" ht="19.149999999999999" customHeight="1">
      <c r="A201" s="351" t="s">
        <v>10</v>
      </c>
      <c r="B201" s="437" t="s">
        <v>381</v>
      </c>
      <c r="C201" s="438" t="s">
        <v>278</v>
      </c>
      <c r="D201" s="351">
        <v>1</v>
      </c>
      <c r="E201" s="352">
        <v>4166.59375</v>
      </c>
      <c r="F201" s="353"/>
      <c r="G201" s="353">
        <f>$Q$1*10*P201</f>
        <v>0</v>
      </c>
      <c r="H201" s="353">
        <v>26.93628605769231</v>
      </c>
      <c r="I201" s="353">
        <v>22.769099999999998</v>
      </c>
      <c r="J201" s="353">
        <v>128.12</v>
      </c>
      <c r="K201" s="353">
        <v>0.9323999999999999</v>
      </c>
      <c r="L201" s="353">
        <f>SUM(E201:K201)</f>
        <v>4345.3515360576921</v>
      </c>
      <c r="M201" s="353">
        <v>1086.337884014423</v>
      </c>
      <c r="N201" s="349">
        <f>M201+L201</f>
        <v>5431.6894200721154</v>
      </c>
      <c r="O201" s="441">
        <v>96.875</v>
      </c>
      <c r="P201" s="441">
        <v>77.5</v>
      </c>
      <c r="Q201" s="442">
        <v>19.375</v>
      </c>
      <c r="R201" s="640">
        <v>1.55E-2</v>
      </c>
      <c r="S201" s="615">
        <f t="shared" si="19"/>
        <v>217.26757680288461</v>
      </c>
      <c r="T201" s="641">
        <f t="shared" si="20"/>
        <v>173.81406144230769</v>
      </c>
      <c r="U201" s="10"/>
      <c r="V201" s="10"/>
      <c r="W201" s="10"/>
      <c r="X201" s="10"/>
      <c r="Y201" s="10"/>
    </row>
    <row r="202" spans="1:25" s="4" customFormat="1" ht="19.149999999999999" customHeight="1">
      <c r="A202" s="437"/>
      <c r="B202" s="636"/>
      <c r="C202" s="438"/>
      <c r="D202" s="351">
        <v>2</v>
      </c>
      <c r="E202" s="352">
        <v>5645.0625</v>
      </c>
      <c r="F202" s="353"/>
      <c r="G202" s="353">
        <f>$Q$1*10*P202</f>
        <v>0</v>
      </c>
      <c r="H202" s="353">
        <v>33.670357572115385</v>
      </c>
      <c r="I202" s="353">
        <f>I201</f>
        <v>22.769099999999998</v>
      </c>
      <c r="J202" s="353">
        <v>168.2</v>
      </c>
      <c r="K202" s="353">
        <v>1.2432000000000001</v>
      </c>
      <c r="L202" s="353">
        <f>SUM(E202:K202)</f>
        <v>5870.9451575721159</v>
      </c>
      <c r="M202" s="353">
        <v>1467.736289393029</v>
      </c>
      <c r="N202" s="349">
        <f>M202+L202</f>
        <v>7338.6814469651454</v>
      </c>
      <c r="O202" s="441">
        <v>131.25</v>
      </c>
      <c r="P202" s="441">
        <v>105</v>
      </c>
      <c r="Q202" s="442">
        <v>26.25</v>
      </c>
      <c r="R202" s="640">
        <v>2.1000000000000001E-2</v>
      </c>
      <c r="S202" s="615">
        <f t="shared" si="19"/>
        <v>293.54725787860582</v>
      </c>
      <c r="T202" s="641">
        <f t="shared" si="20"/>
        <v>234.83780630288464</v>
      </c>
      <c r="U202" s="10"/>
      <c r="V202" s="10"/>
      <c r="W202" s="10"/>
      <c r="X202" s="10"/>
      <c r="Y202" s="10"/>
    </row>
    <row r="203" spans="1:25" s="4" customFormat="1" ht="19.149999999999999" customHeight="1">
      <c r="A203" s="351"/>
      <c r="B203" s="437"/>
      <c r="C203" s="438"/>
      <c r="D203" s="351">
        <v>3</v>
      </c>
      <c r="E203" s="352">
        <v>6989.125</v>
      </c>
      <c r="F203" s="353"/>
      <c r="G203" s="353">
        <f>$Q$1*10*P203</f>
        <v>0</v>
      </c>
      <c r="H203" s="353">
        <v>44.89381009615385</v>
      </c>
      <c r="I203" s="353">
        <f>I202</f>
        <v>22.769099999999998</v>
      </c>
      <c r="J203" s="353">
        <v>208.88</v>
      </c>
      <c r="K203" s="353">
        <v>1.3985999999999998</v>
      </c>
      <c r="L203" s="353">
        <f>SUM(E203:K203)</f>
        <v>7267.0665100961551</v>
      </c>
      <c r="M203" s="353">
        <v>1816.7666275240388</v>
      </c>
      <c r="N203" s="349">
        <f>M203+L203</f>
        <v>9083.8331376201932</v>
      </c>
      <c r="O203" s="441">
        <v>162.50000000000003</v>
      </c>
      <c r="P203" s="441">
        <v>130</v>
      </c>
      <c r="Q203" s="442">
        <v>32.5</v>
      </c>
      <c r="R203" s="640">
        <v>2.6000000000000002E-2</v>
      </c>
      <c r="S203" s="615">
        <f t="shared" si="19"/>
        <v>363.35332550480774</v>
      </c>
      <c r="T203" s="641">
        <f t="shared" si="20"/>
        <v>290.68266040384623</v>
      </c>
      <c r="U203" s="10"/>
      <c r="V203" s="10"/>
      <c r="W203" s="10"/>
      <c r="X203" s="10"/>
      <c r="Y203" s="10"/>
    </row>
    <row r="204" spans="1:25" s="4" customFormat="1" ht="19.149999999999999" customHeight="1">
      <c r="A204" s="351"/>
      <c r="B204" s="437"/>
      <c r="C204" s="438"/>
      <c r="D204" s="351">
        <v>4</v>
      </c>
      <c r="E204" s="352">
        <v>8736.40625</v>
      </c>
      <c r="F204" s="353"/>
      <c r="G204" s="353">
        <f>$Q$1*10*P204</f>
        <v>0</v>
      </c>
      <c r="H204" s="353">
        <v>60.606643629807699</v>
      </c>
      <c r="I204" s="353">
        <f>I203</f>
        <v>22.769099999999998</v>
      </c>
      <c r="J204" s="353">
        <v>262.32</v>
      </c>
      <c r="K204" s="353">
        <v>1.554</v>
      </c>
      <c r="L204" s="353">
        <f>SUM(E204:K204)</f>
        <v>9083.6559936298072</v>
      </c>
      <c r="M204" s="353">
        <v>2270.9139984074518</v>
      </c>
      <c r="N204" s="349">
        <f>M204+L204</f>
        <v>11354.569992037259</v>
      </c>
      <c r="O204" s="441">
        <v>203.125</v>
      </c>
      <c r="P204" s="441">
        <v>162.5</v>
      </c>
      <c r="Q204" s="442">
        <v>40.625</v>
      </c>
      <c r="R204" s="640">
        <v>3.2500000000000001E-2</v>
      </c>
      <c r="S204" s="615">
        <f t="shared" si="19"/>
        <v>454.18279968149039</v>
      </c>
      <c r="T204" s="641">
        <f t="shared" si="20"/>
        <v>363.34623974519229</v>
      </c>
      <c r="U204" s="10"/>
      <c r="V204" s="10"/>
      <c r="W204" s="10"/>
      <c r="X204" s="10"/>
      <c r="Y204" s="10"/>
    </row>
    <row r="205" spans="1:25" s="4" customFormat="1" ht="19.149999999999999" customHeight="1">
      <c r="A205" s="351"/>
      <c r="B205" s="437"/>
      <c r="C205" s="642"/>
      <c r="D205" s="351" t="s">
        <v>13</v>
      </c>
      <c r="E205" s="352">
        <v>12230.96875</v>
      </c>
      <c r="F205" s="353"/>
      <c r="G205" s="353">
        <f>$Q$1*10*P205</f>
        <v>0</v>
      </c>
      <c r="H205" s="353">
        <v>78.564167668269235</v>
      </c>
      <c r="I205" s="353">
        <v>22.769099999999998</v>
      </c>
      <c r="J205" s="353">
        <v>369.8</v>
      </c>
      <c r="K205" s="353">
        <v>1.8647999999999998</v>
      </c>
      <c r="L205" s="353">
        <f>SUM(E205:K205)</f>
        <v>12703.966817668268</v>
      </c>
      <c r="M205" s="353">
        <v>3175.991704417067</v>
      </c>
      <c r="N205" s="349">
        <f>M205+L205</f>
        <v>15879.958522085335</v>
      </c>
      <c r="O205" s="441">
        <v>284.375</v>
      </c>
      <c r="P205" s="441">
        <v>227.5</v>
      </c>
      <c r="Q205" s="442">
        <v>56.875</v>
      </c>
      <c r="R205" s="640">
        <v>4.5499999999999999E-2</v>
      </c>
      <c r="S205" s="615">
        <f t="shared" si="19"/>
        <v>635.19834088341338</v>
      </c>
      <c r="T205" s="641">
        <f t="shared" si="20"/>
        <v>508.15867270673073</v>
      </c>
      <c r="U205" s="10"/>
      <c r="V205" s="10"/>
      <c r="W205" s="10"/>
      <c r="X205" s="10"/>
      <c r="Y205" s="10"/>
    </row>
    <row r="206" spans="1:25" s="4" customFormat="1" ht="19.149999999999999" customHeight="1">
      <c r="A206" s="351"/>
      <c r="B206" s="437"/>
      <c r="C206" s="642"/>
      <c r="D206" s="351"/>
      <c r="E206" s="352"/>
      <c r="F206" s="353"/>
      <c r="G206" s="353"/>
      <c r="H206" s="353"/>
      <c r="I206" s="353"/>
      <c r="J206" s="353"/>
      <c r="K206" s="353"/>
      <c r="L206" s="353"/>
      <c r="M206" s="353"/>
      <c r="N206" s="349"/>
      <c r="O206" s="441"/>
      <c r="P206" s="441"/>
      <c r="Q206" s="442"/>
      <c r="R206" s="640"/>
      <c r="S206" s="615">
        <f t="shared" si="19"/>
        <v>0</v>
      </c>
      <c r="T206" s="641">
        <f t="shared" si="20"/>
        <v>0</v>
      </c>
      <c r="U206" s="10"/>
      <c r="V206" s="10"/>
      <c r="W206" s="10"/>
      <c r="X206" s="10"/>
      <c r="Y206" s="10"/>
    </row>
    <row r="207" spans="1:25" s="4" customFormat="1" ht="19.149999999999999" customHeight="1">
      <c r="A207" s="351" t="s">
        <v>11</v>
      </c>
      <c r="B207" s="437" t="s">
        <v>77</v>
      </c>
      <c r="C207" s="438" t="s">
        <v>278</v>
      </c>
      <c r="D207" s="351">
        <v>1</v>
      </c>
      <c r="E207" s="352">
        <v>114648.53125</v>
      </c>
      <c r="F207" s="353">
        <v>8224.7999999999993</v>
      </c>
      <c r="G207" s="353">
        <f>$Q$1*10*P207</f>
        <v>0</v>
      </c>
      <c r="H207" s="353">
        <v>575.24236538461537</v>
      </c>
      <c r="I207" s="353">
        <v>455.38199999999995</v>
      </c>
      <c r="J207" s="353">
        <v>2819.9200000000005</v>
      </c>
      <c r="K207" s="353">
        <v>16.783200000000001</v>
      </c>
      <c r="L207" s="353">
        <f>SUM(E207:K207)</f>
        <v>126740.65881538462</v>
      </c>
      <c r="M207" s="353">
        <v>31685.164703846156</v>
      </c>
      <c r="N207" s="349">
        <f>M207+L207</f>
        <v>158425.82351923079</v>
      </c>
      <c r="O207" s="441">
        <v>2665.625</v>
      </c>
      <c r="P207" s="441">
        <v>2132.5</v>
      </c>
      <c r="Q207" s="442">
        <v>533.125</v>
      </c>
      <c r="R207" s="640">
        <v>0.42649999999999999</v>
      </c>
      <c r="S207" s="615">
        <f t="shared" si="19"/>
        <v>6337.0329407692316</v>
      </c>
      <c r="T207" s="641">
        <f t="shared" si="20"/>
        <v>5069.6263526153853</v>
      </c>
      <c r="U207" s="10"/>
      <c r="V207" s="10"/>
      <c r="W207" s="10"/>
      <c r="X207" s="10"/>
      <c r="Y207" s="10"/>
    </row>
    <row r="208" spans="1:25" s="4" customFormat="1" ht="19.149999999999999" customHeight="1">
      <c r="A208" s="351"/>
      <c r="B208" s="437"/>
      <c r="C208" s="438"/>
      <c r="D208" s="351">
        <v>2</v>
      </c>
      <c r="E208" s="352">
        <v>137632</v>
      </c>
      <c r="F208" s="353">
        <v>9880.7999999999993</v>
      </c>
      <c r="G208" s="353">
        <f>$Q$1*10*P208</f>
        <v>0</v>
      </c>
      <c r="H208" s="353">
        <v>719.05295673076921</v>
      </c>
      <c r="I208" s="353">
        <f>I207</f>
        <v>455.38199999999995</v>
      </c>
      <c r="J208" s="353">
        <v>3762.32</v>
      </c>
      <c r="K208" s="353">
        <v>20.978999999999999</v>
      </c>
      <c r="L208" s="353">
        <f>SUM(E208:K208)</f>
        <v>152470.53395673077</v>
      </c>
      <c r="M208" s="353">
        <v>38117.633489182692</v>
      </c>
      <c r="N208" s="349">
        <f>M208+L208</f>
        <v>190588.16744591345</v>
      </c>
      <c r="O208" s="441">
        <v>3200</v>
      </c>
      <c r="P208" s="441">
        <v>2560</v>
      </c>
      <c r="Q208" s="442">
        <v>640</v>
      </c>
      <c r="R208" s="640">
        <v>0.51200000000000001</v>
      </c>
      <c r="S208" s="615">
        <f t="shared" si="19"/>
        <v>7623.526697836538</v>
      </c>
      <c r="T208" s="641">
        <f t="shared" si="20"/>
        <v>6098.8213582692306</v>
      </c>
      <c r="U208" s="10"/>
      <c r="V208" s="10"/>
      <c r="W208" s="10"/>
      <c r="X208" s="10"/>
      <c r="Y208" s="10"/>
    </row>
    <row r="209" spans="1:25" s="4" customFormat="1" ht="19.149999999999999" customHeight="1">
      <c r="A209" s="351"/>
      <c r="B209" s="437"/>
      <c r="C209" s="438"/>
      <c r="D209" s="351">
        <v>3</v>
      </c>
      <c r="E209" s="352">
        <v>165050.875</v>
      </c>
      <c r="F209" s="353">
        <v>11854.2</v>
      </c>
      <c r="G209" s="353">
        <f>$Q$1*10*P209</f>
        <v>0</v>
      </c>
      <c r="H209" s="353">
        <v>958.73727564102558</v>
      </c>
      <c r="I209" s="353">
        <f>I208</f>
        <v>455.38199999999995</v>
      </c>
      <c r="J209" s="353">
        <v>4697.4399999999996</v>
      </c>
      <c r="K209" s="353">
        <v>27.3504</v>
      </c>
      <c r="L209" s="353">
        <f>SUM(E209:K209)</f>
        <v>183043.98467564106</v>
      </c>
      <c r="M209" s="353">
        <v>45760.996168910264</v>
      </c>
      <c r="N209" s="349">
        <f>M209+L209</f>
        <v>228804.98084455132</v>
      </c>
      <c r="O209" s="441">
        <v>3837.5</v>
      </c>
      <c r="P209" s="441">
        <v>3070</v>
      </c>
      <c r="Q209" s="442">
        <v>767.5</v>
      </c>
      <c r="R209" s="640">
        <v>0.61399999999999999</v>
      </c>
      <c r="S209" s="615">
        <f t="shared" si="19"/>
        <v>9152.1992337820539</v>
      </c>
      <c r="T209" s="641">
        <f t="shared" si="20"/>
        <v>7321.7593870256424</v>
      </c>
      <c r="U209" s="10"/>
      <c r="V209" s="10"/>
      <c r="W209" s="10"/>
      <c r="X209" s="10"/>
      <c r="Y209" s="10"/>
    </row>
    <row r="210" spans="1:25" s="4" customFormat="1" ht="19.149999999999999" customHeight="1">
      <c r="A210" s="351"/>
      <c r="B210" s="437"/>
      <c r="C210" s="438"/>
      <c r="D210" s="351">
        <v>4</v>
      </c>
      <c r="E210" s="352">
        <v>198114.8125</v>
      </c>
      <c r="F210" s="353">
        <v>14227.8</v>
      </c>
      <c r="G210" s="353">
        <f>$Q$1*10*P210</f>
        <v>0</v>
      </c>
      <c r="H210" s="353">
        <v>1294.2953221153846</v>
      </c>
      <c r="I210" s="353">
        <f>I209</f>
        <v>455.38199999999995</v>
      </c>
      <c r="J210" s="353">
        <v>5875.44</v>
      </c>
      <c r="K210" s="353">
        <v>33.566400000000002</v>
      </c>
      <c r="L210" s="353">
        <f>SUM(E210:K210)</f>
        <v>220001.2962221154</v>
      </c>
      <c r="M210" s="353">
        <v>55000.324055528843</v>
      </c>
      <c r="N210" s="349">
        <f>M210+L210</f>
        <v>275001.62027764425</v>
      </c>
      <c r="O210" s="441">
        <v>4606.25</v>
      </c>
      <c r="P210" s="441">
        <v>3685</v>
      </c>
      <c r="Q210" s="442">
        <v>921.25</v>
      </c>
      <c r="R210" s="640">
        <v>0.73699999999999999</v>
      </c>
      <c r="S210" s="615">
        <f t="shared" si="19"/>
        <v>11000.064811105771</v>
      </c>
      <c r="T210" s="641">
        <f t="shared" si="20"/>
        <v>8800.0518488846155</v>
      </c>
      <c r="U210" s="10"/>
      <c r="V210" s="10"/>
      <c r="W210" s="10"/>
      <c r="X210" s="10"/>
      <c r="Y210" s="10"/>
    </row>
    <row r="211" spans="1:25" s="4" customFormat="1" ht="19.149999999999999" customHeight="1">
      <c r="A211" s="351"/>
      <c r="B211" s="437"/>
      <c r="C211" s="438"/>
      <c r="D211" s="351" t="s">
        <v>13</v>
      </c>
      <c r="E211" s="352">
        <v>237764.65625</v>
      </c>
      <c r="F211" s="353">
        <v>17070.599999999999</v>
      </c>
      <c r="G211" s="353">
        <f>$Q$1*10*P211</f>
        <v>0</v>
      </c>
      <c r="H211" s="353">
        <v>1677.7902323717947</v>
      </c>
      <c r="I211" s="353">
        <v>455.38199999999995</v>
      </c>
      <c r="J211" s="353">
        <v>8206.76</v>
      </c>
      <c r="K211" s="353">
        <v>33.566400000000002</v>
      </c>
      <c r="L211" s="353">
        <f>SUM(E211:K211)</f>
        <v>265208.75488237181</v>
      </c>
      <c r="M211" s="353">
        <v>66302.188720592952</v>
      </c>
      <c r="N211" s="349">
        <f>M211+L211</f>
        <v>331510.94360296475</v>
      </c>
      <c r="O211" s="441">
        <v>5528.125</v>
      </c>
      <c r="P211" s="441">
        <v>4422.5</v>
      </c>
      <c r="Q211" s="442">
        <v>1105.625</v>
      </c>
      <c r="R211" s="640">
        <v>0.88450000000000006</v>
      </c>
      <c r="S211" s="615">
        <f t="shared" si="19"/>
        <v>13260.43774411859</v>
      </c>
      <c r="T211" s="641">
        <f t="shared" si="20"/>
        <v>10608.350195294872</v>
      </c>
      <c r="U211" s="10"/>
      <c r="V211" s="10"/>
      <c r="W211" s="10"/>
      <c r="X211" s="10"/>
      <c r="Y211" s="10"/>
    </row>
    <row r="212" spans="1:25" s="4" customFormat="1" ht="19.149999999999999" customHeight="1">
      <c r="A212" s="351"/>
      <c r="B212" s="437"/>
      <c r="C212" s="438"/>
      <c r="D212" s="351"/>
      <c r="E212" s="352"/>
      <c r="F212" s="353"/>
      <c r="G212" s="353"/>
      <c r="H212" s="353"/>
      <c r="I212" s="353"/>
      <c r="J212" s="353"/>
      <c r="K212" s="353"/>
      <c r="L212" s="353"/>
      <c r="M212" s="353"/>
      <c r="N212" s="349"/>
      <c r="O212" s="441"/>
      <c r="P212" s="643"/>
      <c r="Q212" s="644"/>
      <c r="R212" s="640"/>
      <c r="S212" s="615"/>
      <c r="T212" s="10"/>
      <c r="U212" s="10"/>
      <c r="V212" s="10"/>
      <c r="W212" s="10"/>
      <c r="X212" s="10"/>
      <c r="Y212" s="10"/>
    </row>
    <row r="213" spans="1:25" s="4" customFormat="1" ht="24" customHeight="1">
      <c r="A213" s="557" t="s">
        <v>4</v>
      </c>
      <c r="B213" s="611" t="s">
        <v>382</v>
      </c>
      <c r="C213" s="645"/>
      <c r="D213" s="355"/>
      <c r="E213" s="356"/>
      <c r="F213" s="357"/>
      <c r="G213" s="353"/>
      <c r="H213" s="357"/>
      <c r="I213" s="357"/>
      <c r="J213" s="357"/>
      <c r="K213" s="357"/>
      <c r="L213" s="357"/>
      <c r="M213" s="357"/>
      <c r="N213" s="359"/>
      <c r="O213" s="646"/>
      <c r="P213" s="643"/>
      <c r="Q213" s="644"/>
      <c r="R213" s="640"/>
      <c r="S213" s="615"/>
      <c r="T213" s="10"/>
      <c r="U213" s="10"/>
      <c r="V213" s="10"/>
      <c r="W213" s="10"/>
      <c r="X213" s="10"/>
      <c r="Y213" s="10"/>
    </row>
    <row r="214" spans="1:25" s="4" customFormat="1" ht="19.149999999999999" customHeight="1">
      <c r="A214" s="351" t="s">
        <v>9</v>
      </c>
      <c r="B214" s="437" t="s">
        <v>383</v>
      </c>
      <c r="C214" s="438"/>
      <c r="D214" s="351"/>
      <c r="E214" s="352"/>
      <c r="F214" s="353"/>
      <c r="G214" s="353"/>
      <c r="H214" s="353"/>
      <c r="I214" s="353"/>
      <c r="J214" s="353"/>
      <c r="K214" s="353"/>
      <c r="L214" s="353"/>
      <c r="M214" s="353"/>
      <c r="N214" s="349"/>
      <c r="O214" s="441"/>
      <c r="P214" s="643"/>
      <c r="Q214" s="644"/>
      <c r="R214" s="640"/>
      <c r="S214" s="615"/>
      <c r="T214" s="10"/>
      <c r="U214" s="10"/>
      <c r="V214" s="10"/>
      <c r="W214" s="10"/>
      <c r="X214" s="10"/>
      <c r="Y214" s="10"/>
    </row>
    <row r="215" spans="1:25" s="4" customFormat="1" ht="19.149999999999999" customHeight="1">
      <c r="A215" s="351"/>
      <c r="B215" s="437"/>
      <c r="C215" s="438"/>
      <c r="D215" s="351"/>
      <c r="E215" s="352"/>
      <c r="F215" s="353"/>
      <c r="G215" s="353"/>
      <c r="H215" s="353"/>
      <c r="I215" s="353"/>
      <c r="J215" s="353"/>
      <c r="K215" s="353"/>
      <c r="L215" s="353"/>
      <c r="M215" s="353"/>
      <c r="N215" s="349"/>
      <c r="O215" s="441"/>
      <c r="P215" s="643"/>
      <c r="Q215" s="644"/>
      <c r="R215" s="640"/>
      <c r="S215" s="615"/>
      <c r="T215" s="591">
        <f t="shared" ref="T215:T234" si="21">L215*2%</f>
        <v>0</v>
      </c>
      <c r="U215" s="10"/>
      <c r="V215" s="10"/>
      <c r="W215" s="10"/>
      <c r="X215" s="10"/>
      <c r="Y215" s="10"/>
    </row>
    <row r="216" spans="1:25" s="4" customFormat="1" ht="21" customHeight="1">
      <c r="A216" s="351" t="s">
        <v>10</v>
      </c>
      <c r="B216" s="437" t="s">
        <v>81</v>
      </c>
      <c r="C216" s="438" t="s">
        <v>278</v>
      </c>
      <c r="D216" s="351" t="s">
        <v>9</v>
      </c>
      <c r="E216" s="352">
        <v>2975.47</v>
      </c>
      <c r="F216" s="353"/>
      <c r="G216" s="353">
        <f>$Q$1*10*P216</f>
        <v>0</v>
      </c>
      <c r="H216" s="353">
        <v>116.20497323076926</v>
      </c>
      <c r="I216" s="353">
        <v>5611.8959999999997</v>
      </c>
      <c r="J216" s="353">
        <v>149.13320000000002</v>
      </c>
      <c r="K216" s="353">
        <v>268.99739999999997</v>
      </c>
      <c r="L216" s="353">
        <f>SUM(E216:K216)</f>
        <v>9121.70157323077</v>
      </c>
      <c r="M216" s="353">
        <v>1824.340314646154</v>
      </c>
      <c r="N216" s="349">
        <f>M216+L216</f>
        <v>10946.041887876923</v>
      </c>
      <c r="O216" s="441">
        <v>80.400000000000006</v>
      </c>
      <c r="P216" s="441">
        <v>67</v>
      </c>
      <c r="Q216" s="442">
        <v>13.4</v>
      </c>
      <c r="R216" s="640">
        <v>1.34E-2</v>
      </c>
      <c r="S216" s="615">
        <f t="shared" ref="S216:S234" si="22">N216*3%</f>
        <v>328.38125663630768</v>
      </c>
      <c r="T216" s="591">
        <f t="shared" si="21"/>
        <v>182.4340314646154</v>
      </c>
      <c r="U216" s="10"/>
      <c r="V216" s="10"/>
      <c r="W216" s="10"/>
      <c r="X216" s="10"/>
      <c r="Y216" s="10"/>
    </row>
    <row r="217" spans="1:25" s="4" customFormat="1" ht="21" customHeight="1">
      <c r="A217" s="351"/>
      <c r="B217" s="437"/>
      <c r="C217" s="438"/>
      <c r="D217" s="351" t="s">
        <v>10</v>
      </c>
      <c r="E217" s="352">
        <v>3952.49</v>
      </c>
      <c r="F217" s="353"/>
      <c r="G217" s="353">
        <f>$Q$1*10*P217</f>
        <v>0</v>
      </c>
      <c r="H217" s="353">
        <v>145.25621653846156</v>
      </c>
      <c r="I217" s="353">
        <f>I216</f>
        <v>5611.8959999999997</v>
      </c>
      <c r="J217" s="353">
        <v>157.81479999999999</v>
      </c>
      <c r="K217" s="353">
        <v>286.09140000000002</v>
      </c>
      <c r="L217" s="353">
        <f>SUM(E217:K217)</f>
        <v>10153.548416538461</v>
      </c>
      <c r="M217" s="353">
        <v>2030.7096833076921</v>
      </c>
      <c r="N217" s="349">
        <f>M217+L217</f>
        <v>12184.258099846153</v>
      </c>
      <c r="O217" s="441">
        <v>106.8</v>
      </c>
      <c r="P217" s="441">
        <v>89</v>
      </c>
      <c r="Q217" s="442">
        <v>17.8</v>
      </c>
      <c r="R217" s="640">
        <v>1.78E-2</v>
      </c>
      <c r="S217" s="615">
        <f t="shared" si="22"/>
        <v>365.52774299538459</v>
      </c>
      <c r="T217" s="591">
        <f t="shared" si="21"/>
        <v>203.0709683307692</v>
      </c>
      <c r="U217" s="10"/>
      <c r="V217" s="10"/>
      <c r="W217" s="10"/>
      <c r="X217" s="10"/>
      <c r="Y217" s="10"/>
    </row>
    <row r="218" spans="1:25" s="4" customFormat="1" ht="21" customHeight="1">
      <c r="A218" s="351"/>
      <c r="B218" s="437"/>
      <c r="C218" s="438"/>
      <c r="D218" s="351" t="s">
        <v>11</v>
      </c>
      <c r="E218" s="352">
        <v>4929.51</v>
      </c>
      <c r="F218" s="353"/>
      <c r="G218" s="353">
        <f>$Q$1*10*P218</f>
        <v>0</v>
      </c>
      <c r="H218" s="353">
        <v>193.67495538461543</v>
      </c>
      <c r="I218" s="353">
        <f>I217</f>
        <v>5611.8959999999997</v>
      </c>
      <c r="J218" s="353">
        <v>167.38639999999998</v>
      </c>
      <c r="K218" s="353">
        <v>301.63139999999999</v>
      </c>
      <c r="L218" s="353">
        <f>SUM(E218:K218)</f>
        <v>11204.098755384615</v>
      </c>
      <c r="M218" s="353">
        <v>2240.8197510769228</v>
      </c>
      <c r="N218" s="349">
        <f>M218+L218</f>
        <v>13444.918506461538</v>
      </c>
      <c r="O218" s="441">
        <v>133.20000000000002</v>
      </c>
      <c r="P218" s="441">
        <v>111</v>
      </c>
      <c r="Q218" s="442">
        <v>22.2</v>
      </c>
      <c r="R218" s="640">
        <v>2.2200000000000001E-2</v>
      </c>
      <c r="S218" s="615">
        <f t="shared" si="22"/>
        <v>403.34755519384612</v>
      </c>
      <c r="T218" s="591">
        <f t="shared" si="21"/>
        <v>224.0819751076923</v>
      </c>
      <c r="U218" s="10"/>
      <c r="V218" s="10"/>
      <c r="W218" s="10"/>
      <c r="X218" s="10"/>
      <c r="Y218" s="10"/>
    </row>
    <row r="219" spans="1:25" s="4" customFormat="1" ht="21" customHeight="1">
      <c r="A219" s="351"/>
      <c r="B219" s="437"/>
      <c r="C219" s="438"/>
      <c r="D219" s="351" t="s">
        <v>12</v>
      </c>
      <c r="E219" s="352">
        <v>6172.99</v>
      </c>
      <c r="F219" s="353"/>
      <c r="G219" s="353">
        <f>$Q$1*10*P219</f>
        <v>0</v>
      </c>
      <c r="H219" s="353">
        <v>261.46118976923083</v>
      </c>
      <c r="I219" s="353">
        <f>I218</f>
        <v>5611.8959999999997</v>
      </c>
      <c r="J219" s="353">
        <v>178.15799999999999</v>
      </c>
      <c r="K219" s="353">
        <v>321.98879999999997</v>
      </c>
      <c r="L219" s="353">
        <f>SUM(E219:K219)</f>
        <v>12546.493989769229</v>
      </c>
      <c r="M219" s="353">
        <v>2509.2987979538461</v>
      </c>
      <c r="N219" s="349">
        <f>M219+L219</f>
        <v>15055.792787723076</v>
      </c>
      <c r="O219" s="441">
        <v>166.79999999999998</v>
      </c>
      <c r="P219" s="441">
        <v>139</v>
      </c>
      <c r="Q219" s="442">
        <v>27.799999999999997</v>
      </c>
      <c r="R219" s="640">
        <v>2.7799999999999998E-2</v>
      </c>
      <c r="S219" s="615">
        <f t="shared" si="22"/>
        <v>451.67378363169229</v>
      </c>
      <c r="T219" s="591">
        <f t="shared" si="21"/>
        <v>250.92987979538458</v>
      </c>
      <c r="U219" s="10"/>
      <c r="V219" s="10"/>
      <c r="W219" s="10"/>
      <c r="X219" s="10"/>
      <c r="Y219" s="10"/>
    </row>
    <row r="220" spans="1:25" s="4" customFormat="1" ht="21" customHeight="1">
      <c r="A220" s="351"/>
      <c r="B220" s="437"/>
      <c r="C220" s="438"/>
      <c r="D220" s="351" t="s">
        <v>13</v>
      </c>
      <c r="E220" s="352">
        <v>8615.5400000000009</v>
      </c>
      <c r="F220" s="353"/>
      <c r="G220" s="353">
        <f>$Q$1*10*P220</f>
        <v>0</v>
      </c>
      <c r="H220" s="353">
        <v>338.93117192307699</v>
      </c>
      <c r="I220" s="353">
        <f>I219</f>
        <v>5611.8959999999997</v>
      </c>
      <c r="J220" s="353">
        <v>200.5796</v>
      </c>
      <c r="K220" s="353">
        <v>340.79220000000004</v>
      </c>
      <c r="L220" s="353">
        <f>SUM(E220:K220)</f>
        <v>15107.738971923076</v>
      </c>
      <c r="M220" s="353">
        <v>3021.5477943846154</v>
      </c>
      <c r="N220" s="349">
        <f>M220+L220</f>
        <v>18129.28676630769</v>
      </c>
      <c r="O220" s="441">
        <v>232.8</v>
      </c>
      <c r="P220" s="441">
        <v>194</v>
      </c>
      <c r="Q220" s="442">
        <v>38.800000000000004</v>
      </c>
      <c r="R220" s="640">
        <v>3.8800000000000001E-2</v>
      </c>
      <c r="S220" s="615">
        <f t="shared" si="22"/>
        <v>543.87860298923067</v>
      </c>
      <c r="T220" s="591">
        <f t="shared" si="21"/>
        <v>302.1547794384615</v>
      </c>
      <c r="U220" s="10"/>
      <c r="V220" s="10"/>
      <c r="W220" s="10"/>
      <c r="X220" s="10"/>
      <c r="Y220" s="10"/>
    </row>
    <row r="221" spans="1:25" s="4" customFormat="1" ht="21" customHeight="1">
      <c r="A221" s="647"/>
      <c r="B221" s="648"/>
      <c r="C221" s="649"/>
      <c r="D221" s="351"/>
      <c r="E221" s="352"/>
      <c r="F221" s="353"/>
      <c r="G221" s="353"/>
      <c r="H221" s="353"/>
      <c r="I221" s="353"/>
      <c r="J221" s="353"/>
      <c r="K221" s="353"/>
      <c r="L221" s="353"/>
      <c r="M221" s="353"/>
      <c r="N221" s="349"/>
      <c r="O221" s="441"/>
      <c r="P221" s="441"/>
      <c r="Q221" s="442"/>
      <c r="R221" s="640"/>
      <c r="S221" s="615">
        <f t="shared" si="22"/>
        <v>0</v>
      </c>
      <c r="T221" s="591">
        <f t="shared" si="21"/>
        <v>0</v>
      </c>
      <c r="U221" s="10"/>
      <c r="V221" s="10"/>
      <c r="W221" s="10"/>
      <c r="X221" s="10"/>
      <c r="Y221" s="10"/>
    </row>
    <row r="222" spans="1:25" s="4" customFormat="1" ht="19.149999999999999" customHeight="1">
      <c r="A222" s="987" t="s">
        <v>376</v>
      </c>
      <c r="B222" s="989" t="s">
        <v>377</v>
      </c>
      <c r="C222" s="991" t="s">
        <v>378</v>
      </c>
      <c r="D222" s="987" t="s">
        <v>91</v>
      </c>
      <c r="E222" s="996" t="s">
        <v>368</v>
      </c>
      <c r="F222" s="997"/>
      <c r="G222" s="997"/>
      <c r="H222" s="997"/>
      <c r="I222" s="997"/>
      <c r="J222" s="997"/>
      <c r="K222" s="997"/>
      <c r="L222" s="998"/>
      <c r="M222" s="991" t="s">
        <v>427</v>
      </c>
      <c r="N222" s="991" t="s">
        <v>379</v>
      </c>
      <c r="O222" s="579" t="s">
        <v>18</v>
      </c>
      <c r="P222" s="787" t="s">
        <v>19</v>
      </c>
      <c r="Q222" s="580" t="s">
        <v>19</v>
      </c>
      <c r="R222" s="581" t="s">
        <v>16</v>
      </c>
      <c r="S222" s="10"/>
      <c r="T222" s="10"/>
      <c r="U222" s="10"/>
      <c r="V222" s="10"/>
      <c r="W222" s="10"/>
      <c r="X222" s="10"/>
      <c r="Y222" s="10"/>
    </row>
    <row r="223" spans="1:25" s="4" customFormat="1" ht="19.149999999999999" customHeight="1">
      <c r="A223" s="988"/>
      <c r="B223" s="990"/>
      <c r="C223" s="992"/>
      <c r="D223" s="988"/>
      <c r="E223" s="582" t="s">
        <v>369</v>
      </c>
      <c r="F223" s="564" t="s">
        <v>370</v>
      </c>
      <c r="G223" s="583">
        <v>0</v>
      </c>
      <c r="H223" s="564" t="s">
        <v>257</v>
      </c>
      <c r="I223" s="564" t="s">
        <v>280</v>
      </c>
      <c r="J223" s="564" t="s">
        <v>261</v>
      </c>
      <c r="K223" s="564" t="s">
        <v>371</v>
      </c>
      <c r="L223" s="564" t="s">
        <v>372</v>
      </c>
      <c r="M223" s="992"/>
      <c r="N223" s="992"/>
      <c r="O223" s="563" t="s">
        <v>20</v>
      </c>
      <c r="P223" s="788" t="s">
        <v>21</v>
      </c>
      <c r="Q223" s="584" t="s">
        <v>22</v>
      </c>
      <c r="R223" s="585" t="s">
        <v>17</v>
      </c>
      <c r="S223" s="10"/>
      <c r="T223" s="10"/>
      <c r="U223" s="10"/>
      <c r="V223" s="10"/>
      <c r="W223" s="10"/>
      <c r="X223" s="10"/>
      <c r="Y223" s="10"/>
    </row>
    <row r="224" spans="1:25" s="4" customFormat="1" ht="19.149999999999999" customHeight="1">
      <c r="A224" s="331" t="s">
        <v>52</v>
      </c>
      <c r="B224" s="586" t="s">
        <v>53</v>
      </c>
      <c r="C224" s="586" t="s">
        <v>54</v>
      </c>
      <c r="D224" s="331" t="s">
        <v>55</v>
      </c>
      <c r="E224" s="332" t="s">
        <v>56</v>
      </c>
      <c r="F224" s="332" t="s">
        <v>57</v>
      </c>
      <c r="G224" s="332"/>
      <c r="H224" s="332" t="s">
        <v>58</v>
      </c>
      <c r="I224" s="332" t="s">
        <v>59</v>
      </c>
      <c r="J224" s="332" t="s">
        <v>60</v>
      </c>
      <c r="K224" s="332" t="s">
        <v>61</v>
      </c>
      <c r="L224" s="334" t="s">
        <v>373</v>
      </c>
      <c r="M224" s="334" t="s">
        <v>374</v>
      </c>
      <c r="N224" s="334" t="s">
        <v>375</v>
      </c>
      <c r="O224" s="332" t="s">
        <v>62</v>
      </c>
      <c r="P224" s="48"/>
      <c r="Q224" s="48"/>
      <c r="R224" s="49"/>
      <c r="S224" s="10"/>
      <c r="T224" s="10"/>
      <c r="U224" s="10"/>
      <c r="V224" s="10"/>
      <c r="W224" s="10"/>
      <c r="X224" s="10"/>
      <c r="Y224" s="10"/>
    </row>
    <row r="225" spans="1:25" s="4" customFormat="1" ht="23.45" customHeight="1">
      <c r="A225" s="351" t="s">
        <v>11</v>
      </c>
      <c r="B225" s="437" t="s">
        <v>384</v>
      </c>
      <c r="C225" s="438" t="s">
        <v>278</v>
      </c>
      <c r="D225" s="351" t="s">
        <v>8</v>
      </c>
      <c r="E225" s="352">
        <v>5851.5</v>
      </c>
      <c r="F225" s="353"/>
      <c r="G225" s="353">
        <f>$Q$1*10*P225</f>
        <v>0</v>
      </c>
      <c r="H225" s="353"/>
      <c r="I225" s="353"/>
      <c r="J225" s="353"/>
      <c r="K225" s="353"/>
      <c r="L225" s="353">
        <f>SUM(E225:K225)</f>
        <v>5851.5</v>
      </c>
      <c r="M225" s="353">
        <v>1170.3</v>
      </c>
      <c r="N225" s="349">
        <f>M225+L225</f>
        <v>7021.8</v>
      </c>
      <c r="O225" s="441">
        <v>180</v>
      </c>
      <c r="P225" s="441">
        <v>150</v>
      </c>
      <c r="Q225" s="442">
        <v>30</v>
      </c>
      <c r="R225" s="640">
        <v>0.03</v>
      </c>
      <c r="S225" s="615">
        <f t="shared" si="22"/>
        <v>210.654</v>
      </c>
      <c r="T225" s="591">
        <f t="shared" si="21"/>
        <v>117.03</v>
      </c>
      <c r="U225" s="10"/>
      <c r="V225" s="10"/>
      <c r="W225" s="10"/>
      <c r="X225" s="10"/>
      <c r="Y225" s="10"/>
    </row>
    <row r="226" spans="1:25" s="4" customFormat="1" ht="23.45" customHeight="1">
      <c r="A226" s="351"/>
      <c r="B226" s="437" t="s">
        <v>385</v>
      </c>
      <c r="C226" s="438"/>
      <c r="D226" s="351"/>
      <c r="E226" s="352"/>
      <c r="F226" s="353"/>
      <c r="G226" s="353"/>
      <c r="H226" s="353"/>
      <c r="I226" s="353"/>
      <c r="J226" s="353"/>
      <c r="K226" s="353"/>
      <c r="L226" s="353"/>
      <c r="M226" s="353"/>
      <c r="N226" s="349"/>
      <c r="O226" s="441"/>
      <c r="P226" s="441"/>
      <c r="Q226" s="442"/>
      <c r="R226" s="640"/>
      <c r="S226" s="615">
        <f t="shared" si="22"/>
        <v>0</v>
      </c>
      <c r="T226" s="591">
        <f t="shared" si="21"/>
        <v>0</v>
      </c>
      <c r="U226" s="10"/>
      <c r="V226" s="10"/>
      <c r="W226" s="10"/>
      <c r="X226" s="10"/>
      <c r="Y226" s="10"/>
    </row>
    <row r="227" spans="1:25" s="4" customFormat="1" ht="23.45" customHeight="1">
      <c r="A227" s="647"/>
      <c r="B227" s="648"/>
      <c r="C227" s="649"/>
      <c r="D227" s="351"/>
      <c r="E227" s="352"/>
      <c r="F227" s="353"/>
      <c r="G227" s="353"/>
      <c r="H227" s="353"/>
      <c r="I227" s="353"/>
      <c r="J227" s="353"/>
      <c r="K227" s="353"/>
      <c r="L227" s="353"/>
      <c r="M227" s="353"/>
      <c r="N227" s="349"/>
      <c r="O227" s="441"/>
      <c r="P227" s="441"/>
      <c r="Q227" s="442"/>
      <c r="R227" s="640"/>
      <c r="S227" s="615">
        <f t="shared" si="22"/>
        <v>0</v>
      </c>
      <c r="T227" s="591">
        <f t="shared" si="21"/>
        <v>0</v>
      </c>
      <c r="U227" s="10"/>
      <c r="V227" s="10"/>
      <c r="W227" s="10"/>
      <c r="X227" s="10"/>
      <c r="Y227" s="10"/>
    </row>
    <row r="228" spans="1:25" s="4" customFormat="1" ht="23.45" customHeight="1">
      <c r="A228" s="351" t="s">
        <v>12</v>
      </c>
      <c r="B228" s="437" t="s">
        <v>363</v>
      </c>
      <c r="C228" s="438" t="s">
        <v>278</v>
      </c>
      <c r="D228" s="351" t="s">
        <v>8</v>
      </c>
      <c r="E228" s="352">
        <v>5071.3</v>
      </c>
      <c r="F228" s="353"/>
      <c r="G228" s="353">
        <f>$Q$1*10*P228</f>
        <v>0</v>
      </c>
      <c r="H228" s="353">
        <v>184.59746666666666</v>
      </c>
      <c r="I228" s="353">
        <v>1232.28</v>
      </c>
      <c r="J228" s="353">
        <v>105.78</v>
      </c>
      <c r="K228" s="353">
        <v>191.142</v>
      </c>
      <c r="L228" s="353">
        <f>SUM(E228:K228)</f>
        <v>6785.0994666666666</v>
      </c>
      <c r="M228" s="353">
        <v>1357.0198933333334</v>
      </c>
      <c r="N228" s="349">
        <f>M228+L228</f>
        <v>8142.1193599999997</v>
      </c>
      <c r="O228" s="441">
        <v>156</v>
      </c>
      <c r="P228" s="441">
        <v>130</v>
      </c>
      <c r="Q228" s="442">
        <v>26.000000000000004</v>
      </c>
      <c r="R228" s="640">
        <v>2.6000000000000002E-2</v>
      </c>
      <c r="S228" s="615">
        <f t="shared" si="22"/>
        <v>244.26358079999997</v>
      </c>
      <c r="T228" s="591">
        <f t="shared" si="21"/>
        <v>135.70198933333333</v>
      </c>
      <c r="U228" s="10"/>
      <c r="V228" s="10"/>
      <c r="W228" s="10"/>
      <c r="X228" s="10"/>
      <c r="Y228" s="10"/>
    </row>
    <row r="229" spans="1:25" s="4" customFormat="1" ht="23.45" customHeight="1">
      <c r="A229" s="361"/>
      <c r="B229" s="588"/>
      <c r="C229" s="593"/>
      <c r="D229" s="361"/>
      <c r="E229" s="362"/>
      <c r="F229" s="363"/>
      <c r="G229" s="353"/>
      <c r="H229" s="363"/>
      <c r="I229" s="363"/>
      <c r="J229" s="363"/>
      <c r="K229" s="363"/>
      <c r="L229" s="353"/>
      <c r="M229" s="353"/>
      <c r="N229" s="349"/>
      <c r="O229" s="441"/>
      <c r="P229" s="441"/>
      <c r="Q229" s="442"/>
      <c r="R229" s="650"/>
      <c r="S229" s="615">
        <f t="shared" si="22"/>
        <v>0</v>
      </c>
      <c r="T229" s="591">
        <f t="shared" si="21"/>
        <v>0</v>
      </c>
      <c r="U229" s="10"/>
      <c r="V229" s="10"/>
      <c r="W229" s="10"/>
      <c r="X229" s="10"/>
      <c r="Y229" s="10"/>
    </row>
    <row r="230" spans="1:25" s="4" customFormat="1" ht="23.45" customHeight="1">
      <c r="A230" s="351" t="s">
        <v>13</v>
      </c>
      <c r="B230" s="437" t="s">
        <v>364</v>
      </c>
      <c r="C230" s="438" t="s">
        <v>1</v>
      </c>
      <c r="D230" s="351" t="s">
        <v>8</v>
      </c>
      <c r="E230" s="362">
        <v>1501.885</v>
      </c>
      <c r="F230" s="363"/>
      <c r="G230" s="353">
        <f>$Q$1*10*P230</f>
        <v>0</v>
      </c>
      <c r="H230" s="363">
        <v>112.83678931089743</v>
      </c>
      <c r="I230" s="363">
        <v>725.75999999999988</v>
      </c>
      <c r="J230" s="363">
        <v>41.58</v>
      </c>
      <c r="K230" s="363">
        <v>59.052</v>
      </c>
      <c r="L230" s="353">
        <f>SUM(E230:K230)</f>
        <v>2441.1137893108976</v>
      </c>
      <c r="M230" s="353">
        <v>488.22275786217949</v>
      </c>
      <c r="N230" s="349">
        <f>M230+L230</f>
        <v>2929.3365471730772</v>
      </c>
      <c r="O230" s="441">
        <v>51.000000000000007</v>
      </c>
      <c r="P230" s="441">
        <v>42.5</v>
      </c>
      <c r="Q230" s="442">
        <v>8.5</v>
      </c>
      <c r="R230" s="650">
        <v>8.5000000000000006E-3</v>
      </c>
      <c r="S230" s="615">
        <f t="shared" si="22"/>
        <v>87.880096415192313</v>
      </c>
      <c r="T230" s="591">
        <f t="shared" si="21"/>
        <v>48.822275786217951</v>
      </c>
      <c r="U230" s="10"/>
      <c r="V230" s="10"/>
      <c r="W230" s="10"/>
      <c r="X230" s="10"/>
      <c r="Y230" s="10"/>
    </row>
    <row r="231" spans="1:25" s="4" customFormat="1" ht="23.45" customHeight="1">
      <c r="A231" s="594"/>
      <c r="B231" s="595"/>
      <c r="C231" s="593"/>
      <c r="D231" s="361"/>
      <c r="E231" s="362"/>
      <c r="F231" s="363"/>
      <c r="G231" s="353"/>
      <c r="H231" s="363"/>
      <c r="I231" s="363"/>
      <c r="J231" s="363"/>
      <c r="K231" s="363"/>
      <c r="L231" s="353"/>
      <c r="M231" s="353"/>
      <c r="N231" s="349"/>
      <c r="O231" s="441"/>
      <c r="P231" s="441"/>
      <c r="Q231" s="442"/>
      <c r="R231" s="650"/>
      <c r="S231" s="615">
        <f t="shared" si="22"/>
        <v>0</v>
      </c>
      <c r="T231" s="591">
        <f t="shared" si="21"/>
        <v>0</v>
      </c>
      <c r="U231" s="10"/>
      <c r="V231" s="10"/>
      <c r="W231" s="10"/>
      <c r="X231" s="10"/>
      <c r="Y231" s="10"/>
    </row>
    <row r="232" spans="1:25" s="4" customFormat="1" ht="23.45" customHeight="1">
      <c r="A232" s="351" t="s">
        <v>14</v>
      </c>
      <c r="B232" s="437" t="s">
        <v>365</v>
      </c>
      <c r="C232" s="438" t="s">
        <v>1</v>
      </c>
      <c r="D232" s="351" t="s">
        <v>8</v>
      </c>
      <c r="E232" s="362">
        <v>2145.5500000000002</v>
      </c>
      <c r="F232" s="363"/>
      <c r="G232" s="353">
        <f>$Q$1*10*P232</f>
        <v>0</v>
      </c>
      <c r="H232" s="363">
        <v>24.179311995192307</v>
      </c>
      <c r="I232" s="363">
        <v>155.51999999999998</v>
      </c>
      <c r="J232" s="363"/>
      <c r="K232" s="363"/>
      <c r="L232" s="353">
        <f>SUM(E232:K232)</f>
        <v>2325.2493119951923</v>
      </c>
      <c r="M232" s="353">
        <v>465.04986239903849</v>
      </c>
      <c r="N232" s="349">
        <f>M232+L232</f>
        <v>2790.2991743942307</v>
      </c>
      <c r="O232" s="441">
        <v>102.00000000000001</v>
      </c>
      <c r="P232" s="441">
        <v>85</v>
      </c>
      <c r="Q232" s="442">
        <v>17</v>
      </c>
      <c r="R232" s="650">
        <v>1.7000000000000001E-2</v>
      </c>
      <c r="S232" s="615">
        <f t="shared" si="22"/>
        <v>83.708975231826912</v>
      </c>
      <c r="T232" s="591">
        <f t="shared" si="21"/>
        <v>46.50498623990385</v>
      </c>
      <c r="U232" s="10"/>
      <c r="V232" s="10"/>
      <c r="W232" s="10"/>
      <c r="X232" s="10"/>
      <c r="Y232" s="10"/>
    </row>
    <row r="233" spans="1:25" s="4" customFormat="1" ht="23.45" customHeight="1">
      <c r="A233" s="361"/>
      <c r="B233" s="588"/>
      <c r="C233" s="593"/>
      <c r="D233" s="361"/>
      <c r="E233" s="362"/>
      <c r="F233" s="363"/>
      <c r="G233" s="353"/>
      <c r="H233" s="363"/>
      <c r="I233" s="363"/>
      <c r="J233" s="363"/>
      <c r="K233" s="363"/>
      <c r="L233" s="353"/>
      <c r="M233" s="353"/>
      <c r="N233" s="349"/>
      <c r="O233" s="441"/>
      <c r="P233" s="441"/>
      <c r="Q233" s="442"/>
      <c r="R233" s="650"/>
      <c r="S233" s="615">
        <f t="shared" si="22"/>
        <v>0</v>
      </c>
      <c r="T233" s="591">
        <f t="shared" si="21"/>
        <v>0</v>
      </c>
      <c r="U233" s="10"/>
      <c r="V233" s="10"/>
      <c r="W233" s="10"/>
      <c r="X233" s="10"/>
      <c r="Y233" s="10"/>
    </row>
    <row r="234" spans="1:25" s="4" customFormat="1" ht="23.45" customHeight="1">
      <c r="A234" s="361" t="s">
        <v>85</v>
      </c>
      <c r="B234" s="588" t="s">
        <v>366</v>
      </c>
      <c r="C234" s="438" t="s">
        <v>1</v>
      </c>
      <c r="D234" s="351" t="s">
        <v>8</v>
      </c>
      <c r="E234" s="362">
        <v>4954.2700000000004</v>
      </c>
      <c r="F234" s="363"/>
      <c r="G234" s="353">
        <f>$Q$1*10*P234</f>
        <v>0</v>
      </c>
      <c r="H234" s="363">
        <v>24.179311995192307</v>
      </c>
      <c r="I234" s="363">
        <v>155.51999999999998</v>
      </c>
      <c r="J234" s="363"/>
      <c r="K234" s="363"/>
      <c r="L234" s="353">
        <f>SUM(E234:K234)</f>
        <v>5133.9693119951935</v>
      </c>
      <c r="M234" s="353">
        <v>1026.7938623990385</v>
      </c>
      <c r="N234" s="349">
        <f>M234+L234</f>
        <v>6160.763174394232</v>
      </c>
      <c r="O234" s="441">
        <v>204.00000000000003</v>
      </c>
      <c r="P234" s="441">
        <v>170</v>
      </c>
      <c r="Q234" s="442">
        <v>34</v>
      </c>
      <c r="R234" s="650">
        <v>3.4000000000000002E-2</v>
      </c>
      <c r="S234" s="615">
        <f t="shared" si="22"/>
        <v>184.82289523182695</v>
      </c>
      <c r="T234" s="591">
        <f t="shared" si="21"/>
        <v>102.67938623990388</v>
      </c>
      <c r="U234" s="10"/>
      <c r="V234" s="10"/>
      <c r="W234" s="10"/>
      <c r="X234" s="10"/>
      <c r="Y234" s="10"/>
    </row>
    <row r="235" spans="1:25" s="4" customFormat="1" ht="23.45" customHeight="1">
      <c r="A235" s="651"/>
      <c r="B235" s="652"/>
      <c r="C235" s="653"/>
      <c r="D235" s="377"/>
      <c r="E235" s="378"/>
      <c r="F235" s="379"/>
      <c r="G235" s="379"/>
      <c r="H235" s="379"/>
      <c r="I235" s="379"/>
      <c r="J235" s="379"/>
      <c r="K235" s="379"/>
      <c r="L235" s="379"/>
      <c r="M235" s="379"/>
      <c r="N235" s="381"/>
      <c r="O235" s="599"/>
      <c r="P235" s="654"/>
      <c r="Q235" s="655"/>
      <c r="R235" s="656"/>
      <c r="S235" s="10"/>
      <c r="T235" s="10"/>
      <c r="U235" s="10"/>
      <c r="V235" s="10"/>
      <c r="W235" s="10"/>
      <c r="X235" s="10"/>
      <c r="Y235" s="10"/>
    </row>
    <row r="236" spans="1:25" s="4" customFormat="1" ht="15" customHeight="1">
      <c r="A236" s="657"/>
      <c r="B236" s="658"/>
      <c r="C236" s="658"/>
      <c r="D236" s="367"/>
      <c r="E236" s="659"/>
      <c r="F236" s="659"/>
      <c r="G236" s="659"/>
      <c r="H236" s="659"/>
      <c r="I236" s="659"/>
      <c r="J236" s="659"/>
      <c r="K236" s="659"/>
      <c r="L236" s="659"/>
      <c r="M236" s="659"/>
      <c r="N236" s="659"/>
      <c r="O236" s="660"/>
      <c r="P236" s="661"/>
      <c r="Q236" s="662"/>
      <c r="R236" s="663"/>
      <c r="S236" s="10"/>
      <c r="T236" s="10"/>
      <c r="U236" s="10"/>
      <c r="V236" s="10"/>
      <c r="W236" s="10"/>
      <c r="X236" s="10"/>
      <c r="Y236" s="10"/>
    </row>
    <row r="237" spans="1:25" s="4" customFormat="1" ht="19.149999999999999" customHeight="1">
      <c r="A237" s="682" t="s">
        <v>504</v>
      </c>
      <c r="B237" s="550" t="s">
        <v>505</v>
      </c>
      <c r="C237" s="550"/>
      <c r="D237" s="551"/>
      <c r="E237" s="550"/>
      <c r="F237" s="550"/>
      <c r="G237" s="550"/>
      <c r="H237" s="550"/>
      <c r="I237" s="550"/>
      <c r="J237" s="550"/>
      <c r="K237" s="550"/>
      <c r="L237" s="550"/>
      <c r="M237" s="550"/>
      <c r="N237" s="550"/>
      <c r="O237" s="552"/>
      <c r="P237" s="664"/>
      <c r="Q237" s="665"/>
      <c r="R237" s="666"/>
      <c r="S237" s="10"/>
      <c r="T237" s="10"/>
      <c r="U237" s="10"/>
      <c r="V237" s="10"/>
      <c r="W237" s="10"/>
      <c r="X237" s="10"/>
      <c r="Y237" s="10"/>
    </row>
    <row r="238" spans="1:25" s="4" customFormat="1" ht="22.15" customHeight="1">
      <c r="A238" s="978" t="s">
        <v>9</v>
      </c>
      <c r="B238" s="981" t="s">
        <v>390</v>
      </c>
      <c r="C238" s="984" t="s">
        <v>1</v>
      </c>
      <c r="D238" s="694" t="s">
        <v>9</v>
      </c>
      <c r="E238" s="356">
        <f t="shared" ref="E238:Q238" si="23">E195+E230+E232+E234</f>
        <v>67353.53</v>
      </c>
      <c r="F238" s="356">
        <f t="shared" si="23"/>
        <v>0</v>
      </c>
      <c r="G238" s="356">
        <f t="shared" si="23"/>
        <v>0</v>
      </c>
      <c r="H238" s="356">
        <f t="shared" si="23"/>
        <v>743.17070176282061</v>
      </c>
      <c r="I238" s="356">
        <f t="shared" si="23"/>
        <v>1787.3999999999999</v>
      </c>
      <c r="J238" s="356">
        <f t="shared" si="23"/>
        <v>41.58</v>
      </c>
      <c r="K238" s="356">
        <f t="shared" si="23"/>
        <v>59.052</v>
      </c>
      <c r="L238" s="356">
        <f t="shared" si="23"/>
        <v>69984.732701762812</v>
      </c>
      <c r="M238" s="356">
        <f t="shared" si="23"/>
        <v>17001.166554775638</v>
      </c>
      <c r="N238" s="556">
        <f t="shared" si="23"/>
        <v>86985.899256538454</v>
      </c>
      <c r="O238" s="356">
        <f t="shared" si="23"/>
        <v>1814.5</v>
      </c>
      <c r="P238" s="556">
        <f t="shared" si="23"/>
        <v>1463.5</v>
      </c>
      <c r="Q238" s="556">
        <f t="shared" si="23"/>
        <v>351</v>
      </c>
      <c r="R238" s="667"/>
      <c r="S238" s="556">
        <f>S195+S230+S232+S234</f>
        <v>3360.6319813019231</v>
      </c>
      <c r="T238" s="556">
        <f>T195+T230+T232+T234</f>
        <v>2601.382659804487</v>
      </c>
      <c r="U238" s="10"/>
      <c r="V238" s="10"/>
      <c r="W238" s="10"/>
      <c r="X238" s="10"/>
      <c r="Y238" s="10"/>
    </row>
    <row r="239" spans="1:25" s="4" customFormat="1" ht="22.15" customHeight="1">
      <c r="A239" s="979"/>
      <c r="B239" s="982"/>
      <c r="C239" s="985"/>
      <c r="D239" s="695" t="s">
        <v>10</v>
      </c>
      <c r="E239" s="352">
        <f t="shared" ref="E239:Q239" si="24">E196+E230+E232+E234</f>
        <v>79144.205000000002</v>
      </c>
      <c r="F239" s="352">
        <f t="shared" si="24"/>
        <v>0</v>
      </c>
      <c r="G239" s="352">
        <f t="shared" si="24"/>
        <v>0</v>
      </c>
      <c r="H239" s="352">
        <f t="shared" si="24"/>
        <v>888.66452387820527</v>
      </c>
      <c r="I239" s="352">
        <f t="shared" si="24"/>
        <v>1787.3999999999999</v>
      </c>
      <c r="J239" s="352">
        <f t="shared" si="24"/>
        <v>41.58</v>
      </c>
      <c r="K239" s="352">
        <f t="shared" si="24"/>
        <v>59.052</v>
      </c>
      <c r="L239" s="352">
        <f t="shared" si="24"/>
        <v>81920.901523878216</v>
      </c>
      <c r="M239" s="352">
        <f t="shared" si="24"/>
        <v>19985.208760304486</v>
      </c>
      <c r="N239" s="560">
        <f t="shared" si="24"/>
        <v>101906.11028418269</v>
      </c>
      <c r="O239" s="352">
        <f t="shared" si="24"/>
        <v>2107.0000000000005</v>
      </c>
      <c r="P239" s="560">
        <f t="shared" si="24"/>
        <v>1697.5000000000002</v>
      </c>
      <c r="Q239" s="560">
        <f t="shared" si="24"/>
        <v>409.50000000000006</v>
      </c>
      <c r="R239" s="668"/>
      <c r="S239" s="560">
        <f>S196+S230+S232+S234</f>
        <v>3957.4404224076925</v>
      </c>
      <c r="T239" s="560">
        <f>T196+T230+T232+T234</f>
        <v>3078.8294126891028</v>
      </c>
      <c r="U239" s="10"/>
      <c r="V239" s="10"/>
      <c r="W239" s="10"/>
      <c r="X239" s="10"/>
      <c r="Y239" s="10"/>
    </row>
    <row r="240" spans="1:25" s="4" customFormat="1" ht="22.15" customHeight="1">
      <c r="A240" s="979"/>
      <c r="B240" s="982"/>
      <c r="C240" s="985"/>
      <c r="D240" s="695" t="s">
        <v>11</v>
      </c>
      <c r="E240" s="352">
        <f t="shared" ref="E240:Q240" si="25">E197+E230+E232+E234</f>
        <v>93252.705000000002</v>
      </c>
      <c r="F240" s="352">
        <f t="shared" si="25"/>
        <v>0</v>
      </c>
      <c r="G240" s="352">
        <f t="shared" si="25"/>
        <v>0</v>
      </c>
      <c r="H240" s="352">
        <f t="shared" si="25"/>
        <v>1131.1542274038466</v>
      </c>
      <c r="I240" s="352">
        <f t="shared" si="25"/>
        <v>1787.3999999999999</v>
      </c>
      <c r="J240" s="352">
        <f t="shared" si="25"/>
        <v>41.58</v>
      </c>
      <c r="K240" s="352">
        <f t="shared" si="25"/>
        <v>59.052</v>
      </c>
      <c r="L240" s="352">
        <f t="shared" si="25"/>
        <v>96271.891227403859</v>
      </c>
      <c r="M240" s="352">
        <f t="shared" si="25"/>
        <v>23572.956186185897</v>
      </c>
      <c r="N240" s="560">
        <f t="shared" si="25"/>
        <v>119844.84741358974</v>
      </c>
      <c r="O240" s="352">
        <f t="shared" si="25"/>
        <v>2457</v>
      </c>
      <c r="P240" s="560">
        <f t="shared" si="25"/>
        <v>1977.5</v>
      </c>
      <c r="Q240" s="560">
        <f t="shared" si="25"/>
        <v>479.5</v>
      </c>
      <c r="R240" s="668"/>
      <c r="S240" s="560">
        <f>S197+S230+S232+S234</f>
        <v>4674.9899075839749</v>
      </c>
      <c r="T240" s="560">
        <f>T197+T230+T232+T234</f>
        <v>3652.8690008301287</v>
      </c>
      <c r="U240" s="10"/>
      <c r="V240" s="10"/>
      <c r="W240" s="10"/>
      <c r="X240" s="10"/>
      <c r="Y240" s="10"/>
    </row>
    <row r="241" spans="1:25" s="4" customFormat="1" ht="22.15" customHeight="1">
      <c r="A241" s="979"/>
      <c r="B241" s="982"/>
      <c r="C241" s="985"/>
      <c r="D241" s="698" t="s">
        <v>12</v>
      </c>
      <c r="E241" s="362">
        <f t="shared" ref="E241:Q241" si="26">E198+E230+E232+E234</f>
        <v>110182.905</v>
      </c>
      <c r="F241" s="362">
        <f t="shared" si="26"/>
        <v>0</v>
      </c>
      <c r="G241" s="362">
        <f t="shared" si="26"/>
        <v>0</v>
      </c>
      <c r="H241" s="362">
        <f t="shared" si="26"/>
        <v>1470.6398123397444</v>
      </c>
      <c r="I241" s="362">
        <f t="shared" si="26"/>
        <v>1787.3999999999999</v>
      </c>
      <c r="J241" s="362">
        <f t="shared" si="26"/>
        <v>41.58</v>
      </c>
      <c r="K241" s="362">
        <f t="shared" si="26"/>
        <v>59.052</v>
      </c>
      <c r="L241" s="362">
        <f t="shared" si="26"/>
        <v>113541.57681233976</v>
      </c>
      <c r="M241" s="362">
        <f t="shared" si="26"/>
        <v>27890.377582419871</v>
      </c>
      <c r="N241" s="669">
        <f t="shared" si="26"/>
        <v>141431.95439475961</v>
      </c>
      <c r="O241" s="362">
        <f t="shared" si="26"/>
        <v>2877</v>
      </c>
      <c r="P241" s="669">
        <f t="shared" si="26"/>
        <v>2313.5</v>
      </c>
      <c r="Q241" s="669">
        <f t="shared" si="26"/>
        <v>563.5</v>
      </c>
      <c r="R241" s="670"/>
      <c r="S241" s="669">
        <f>S198+S230+S232+S234</f>
        <v>5538.4741868307701</v>
      </c>
      <c r="T241" s="669">
        <f>T198+T230+T232+T234</f>
        <v>4343.6564242275635</v>
      </c>
      <c r="U241" s="10"/>
      <c r="V241" s="10"/>
      <c r="W241" s="10"/>
      <c r="X241" s="10"/>
      <c r="Y241" s="10"/>
    </row>
    <row r="242" spans="1:25" s="4" customFormat="1" ht="22.15" customHeight="1">
      <c r="A242" s="979"/>
      <c r="B242" s="982"/>
      <c r="C242" s="985"/>
      <c r="D242" s="695" t="s">
        <v>13</v>
      </c>
      <c r="E242" s="352">
        <f t="shared" ref="E242:Q242" si="27">E199+E230+E232+E234</f>
        <v>130489.0675</v>
      </c>
      <c r="F242" s="352">
        <f t="shared" si="27"/>
        <v>0</v>
      </c>
      <c r="G242" s="352">
        <f t="shared" si="27"/>
        <v>0</v>
      </c>
      <c r="H242" s="352">
        <f t="shared" si="27"/>
        <v>1858.62333798077</v>
      </c>
      <c r="I242" s="352">
        <f t="shared" si="27"/>
        <v>1787.3999999999999</v>
      </c>
      <c r="J242" s="352">
        <f t="shared" si="27"/>
        <v>41.58</v>
      </c>
      <c r="K242" s="352">
        <f t="shared" si="27"/>
        <v>59.052</v>
      </c>
      <c r="L242" s="352">
        <f t="shared" si="27"/>
        <v>134235.72283798078</v>
      </c>
      <c r="M242" s="352">
        <f t="shared" si="27"/>
        <v>33063.914088830134</v>
      </c>
      <c r="N242" s="560">
        <f t="shared" si="27"/>
        <v>167299.6369268109</v>
      </c>
      <c r="O242" s="352">
        <f t="shared" si="27"/>
        <v>3380.75</v>
      </c>
      <c r="P242" s="560">
        <f t="shared" si="27"/>
        <v>2716.5</v>
      </c>
      <c r="Q242" s="560">
        <f t="shared" si="27"/>
        <v>664.25</v>
      </c>
      <c r="R242" s="668"/>
      <c r="S242" s="560">
        <f>S199+S230+S232+S234</f>
        <v>6573.1814881128212</v>
      </c>
      <c r="T242" s="560">
        <f>T199+T230+T232+T234</f>
        <v>5171.4222652532053</v>
      </c>
      <c r="U242" s="10"/>
      <c r="V242" s="10"/>
      <c r="W242" s="10"/>
      <c r="X242" s="10"/>
      <c r="Y242" s="10"/>
    </row>
    <row r="243" spans="1:25" s="4" customFormat="1" ht="6" customHeight="1">
      <c r="A243" s="355"/>
      <c r="B243" s="699"/>
      <c r="C243" s="645"/>
      <c r="D243" s="694"/>
      <c r="E243" s="356"/>
      <c r="F243" s="356"/>
      <c r="G243" s="356"/>
      <c r="H243" s="356"/>
      <c r="I243" s="356"/>
      <c r="J243" s="356"/>
      <c r="K243" s="356"/>
      <c r="L243" s="356"/>
      <c r="M243" s="356"/>
      <c r="N243" s="556"/>
      <c r="O243" s="356"/>
      <c r="P243" s="671"/>
      <c r="Q243" s="672"/>
      <c r="R243" s="673"/>
      <c r="S243" s="671"/>
      <c r="T243" s="671"/>
      <c r="U243" s="10"/>
      <c r="V243" s="10"/>
      <c r="W243" s="10"/>
      <c r="X243" s="10"/>
      <c r="Y243" s="10"/>
    </row>
    <row r="244" spans="1:25" s="4" customFormat="1" ht="22.15" customHeight="1">
      <c r="A244" s="978" t="s">
        <v>10</v>
      </c>
      <c r="B244" s="981" t="s">
        <v>391</v>
      </c>
      <c r="C244" s="984" t="s">
        <v>278</v>
      </c>
      <c r="D244" s="695" t="s">
        <v>9</v>
      </c>
      <c r="E244" s="352">
        <f t="shared" ref="E244:Q248" si="28">E201+E207+E216+E$225+E$228</f>
        <v>132713.39499999999</v>
      </c>
      <c r="F244" s="352">
        <f t="shared" si="28"/>
        <v>8224.7999999999993</v>
      </c>
      <c r="G244" s="352">
        <f t="shared" si="28"/>
        <v>0</v>
      </c>
      <c r="H244" s="352">
        <f t="shared" si="28"/>
        <v>902.98109133974367</v>
      </c>
      <c r="I244" s="352">
        <f t="shared" si="28"/>
        <v>7322.3270999999995</v>
      </c>
      <c r="J244" s="352">
        <f t="shared" si="28"/>
        <v>3202.9532000000008</v>
      </c>
      <c r="K244" s="352">
        <f t="shared" si="28"/>
        <v>477.85499999999996</v>
      </c>
      <c r="L244" s="352">
        <f t="shared" si="28"/>
        <v>152844.31139133975</v>
      </c>
      <c r="M244" s="352">
        <f t="shared" si="28"/>
        <v>37123.162795840071</v>
      </c>
      <c r="N244" s="560">
        <f t="shared" si="28"/>
        <v>189967.47418717985</v>
      </c>
      <c r="O244" s="352">
        <f t="shared" si="28"/>
        <v>3178.9</v>
      </c>
      <c r="P244" s="560">
        <f t="shared" si="28"/>
        <v>2557</v>
      </c>
      <c r="Q244" s="560">
        <f t="shared" si="28"/>
        <v>621.9</v>
      </c>
      <c r="R244" s="560"/>
      <c r="S244" s="560">
        <f>S201+S207+S216+S$225+S$228</f>
        <v>7337.599355008424</v>
      </c>
      <c r="T244" s="560">
        <f>T201+T207+T216+T$225+T$228</f>
        <v>5678.6064348556411</v>
      </c>
      <c r="U244" s="10"/>
      <c r="V244" s="10"/>
      <c r="W244" s="10"/>
      <c r="X244" s="10"/>
      <c r="Y244" s="10"/>
    </row>
    <row r="245" spans="1:25" s="4" customFormat="1" ht="22.15" customHeight="1">
      <c r="A245" s="979"/>
      <c r="B245" s="982"/>
      <c r="C245" s="985"/>
      <c r="D245" s="695" t="s">
        <v>10</v>
      </c>
      <c r="E245" s="352">
        <f t="shared" si="28"/>
        <v>158152.35249999998</v>
      </c>
      <c r="F245" s="352">
        <f t="shared" si="28"/>
        <v>9880.7999999999993</v>
      </c>
      <c r="G245" s="352">
        <f t="shared" si="28"/>
        <v>0</v>
      </c>
      <c r="H245" s="352">
        <f t="shared" si="28"/>
        <v>1082.5769975080127</v>
      </c>
      <c r="I245" s="352">
        <f t="shared" si="28"/>
        <v>7322.3270999999995</v>
      </c>
      <c r="J245" s="352">
        <f t="shared" si="28"/>
        <v>4194.1148000000003</v>
      </c>
      <c r="K245" s="352">
        <f t="shared" si="28"/>
        <v>499.4556</v>
      </c>
      <c r="L245" s="352">
        <f t="shared" si="28"/>
        <v>181131.62699750799</v>
      </c>
      <c r="M245" s="352">
        <f t="shared" si="28"/>
        <v>44143.399355216745</v>
      </c>
      <c r="N245" s="560">
        <f t="shared" si="28"/>
        <v>225275.02635272476</v>
      </c>
      <c r="O245" s="352">
        <f t="shared" si="28"/>
        <v>3774.05</v>
      </c>
      <c r="P245" s="560">
        <f t="shared" si="28"/>
        <v>3034</v>
      </c>
      <c r="Q245" s="560">
        <f t="shared" si="28"/>
        <v>740.05</v>
      </c>
      <c r="R245" s="560"/>
      <c r="S245" s="556" t="e">
        <f>S202+S208+#REF!+#REF!+S217+S$225+S$228</f>
        <v>#REF!</v>
      </c>
      <c r="T245" s="556" t="e">
        <f>T202+T208+#REF!+#REF!+T217+T$225+T$228</f>
        <v>#REF!</v>
      </c>
      <c r="U245" s="10"/>
      <c r="V245" s="10"/>
      <c r="W245" s="10"/>
      <c r="X245" s="10"/>
      <c r="Y245" s="10"/>
    </row>
    <row r="246" spans="1:25" s="4" customFormat="1" ht="22.15" customHeight="1">
      <c r="A246" s="979"/>
      <c r="B246" s="982"/>
      <c r="C246" s="985"/>
      <c r="D246" s="695" t="s">
        <v>11</v>
      </c>
      <c r="E246" s="352">
        <f t="shared" si="28"/>
        <v>187892.31</v>
      </c>
      <c r="F246" s="352">
        <f t="shared" si="28"/>
        <v>11854.2</v>
      </c>
      <c r="G246" s="352">
        <f t="shared" si="28"/>
        <v>0</v>
      </c>
      <c r="H246" s="352">
        <f t="shared" si="28"/>
        <v>1381.9035077884614</v>
      </c>
      <c r="I246" s="352">
        <f t="shared" si="28"/>
        <v>7322.3270999999995</v>
      </c>
      <c r="J246" s="352">
        <f t="shared" si="28"/>
        <v>5179.4863999999998</v>
      </c>
      <c r="K246" s="352">
        <f t="shared" si="28"/>
        <v>521.52240000000006</v>
      </c>
      <c r="L246" s="352">
        <f t="shared" si="28"/>
        <v>214151.74940778851</v>
      </c>
      <c r="M246" s="352">
        <f t="shared" si="28"/>
        <v>52345.902440844562</v>
      </c>
      <c r="N246" s="560">
        <f t="shared" si="28"/>
        <v>266497.65184863302</v>
      </c>
      <c r="O246" s="352">
        <f t="shared" si="28"/>
        <v>4469.2</v>
      </c>
      <c r="P246" s="560">
        <f t="shared" si="28"/>
        <v>3591</v>
      </c>
      <c r="Q246" s="560">
        <f t="shared" si="28"/>
        <v>878.2</v>
      </c>
      <c r="R246" s="560"/>
      <c r="S246" s="556" t="e">
        <f>S203+S209+#REF!+#REF!+S218+S$225+S$228</f>
        <v>#REF!</v>
      </c>
      <c r="T246" s="556" t="e">
        <f>T203+T209+#REF!+#REF!+T218+T$225+T$228</f>
        <v>#REF!</v>
      </c>
      <c r="U246" s="10"/>
      <c r="V246" s="10"/>
      <c r="W246" s="10"/>
      <c r="X246" s="10"/>
      <c r="Y246" s="10"/>
    </row>
    <row r="247" spans="1:25" s="4" customFormat="1" ht="22.15" customHeight="1">
      <c r="A247" s="979"/>
      <c r="B247" s="982"/>
      <c r="C247" s="985"/>
      <c r="D247" s="698" t="s">
        <v>12</v>
      </c>
      <c r="E247" s="352">
        <f t="shared" si="28"/>
        <v>223947.00874999998</v>
      </c>
      <c r="F247" s="352">
        <f t="shared" si="28"/>
        <v>14227.8</v>
      </c>
      <c r="G247" s="352">
        <f t="shared" si="28"/>
        <v>0</v>
      </c>
      <c r="H247" s="352">
        <f t="shared" si="28"/>
        <v>1800.9606221810895</v>
      </c>
      <c r="I247" s="352">
        <f t="shared" si="28"/>
        <v>7322.3270999999995</v>
      </c>
      <c r="J247" s="352">
        <f t="shared" si="28"/>
        <v>6421.6979999999994</v>
      </c>
      <c r="K247" s="352">
        <f t="shared" si="28"/>
        <v>548.25119999999993</v>
      </c>
      <c r="L247" s="352">
        <f t="shared" si="28"/>
        <v>254268.04567218109</v>
      </c>
      <c r="M247" s="352">
        <f t="shared" si="28"/>
        <v>62307.856745223471</v>
      </c>
      <c r="N247" s="560">
        <f t="shared" si="28"/>
        <v>316575.90241740458</v>
      </c>
      <c r="O247" s="352">
        <f t="shared" si="28"/>
        <v>5312.1750000000002</v>
      </c>
      <c r="P247" s="560">
        <f t="shared" si="28"/>
        <v>4266.5</v>
      </c>
      <c r="Q247" s="560">
        <f t="shared" si="28"/>
        <v>1045.675</v>
      </c>
      <c r="R247" s="560"/>
      <c r="S247" s="556" t="e">
        <f>S204+S210+#REF!+#REF!+S219+S$225+S$228</f>
        <v>#REF!</v>
      </c>
      <c r="T247" s="556" t="e">
        <f>T204+T210+#REF!+#REF!+T219+T$225+T$228</f>
        <v>#REF!</v>
      </c>
      <c r="U247" s="10"/>
      <c r="V247" s="10"/>
      <c r="W247" s="10"/>
      <c r="X247" s="10"/>
      <c r="Y247" s="10"/>
    </row>
    <row r="248" spans="1:25" s="4" customFormat="1" ht="22.15" customHeight="1">
      <c r="A248" s="980"/>
      <c r="B248" s="983"/>
      <c r="C248" s="986"/>
      <c r="D248" s="697" t="s">
        <v>13</v>
      </c>
      <c r="E248" s="378">
        <f t="shared" si="28"/>
        <v>269533.96500000003</v>
      </c>
      <c r="F248" s="378">
        <f t="shared" si="28"/>
        <v>17070.599999999999</v>
      </c>
      <c r="G248" s="378">
        <f t="shared" si="28"/>
        <v>0</v>
      </c>
      <c r="H248" s="378">
        <f t="shared" si="28"/>
        <v>2279.8830386298073</v>
      </c>
      <c r="I248" s="378">
        <f t="shared" si="28"/>
        <v>7322.3270999999995</v>
      </c>
      <c r="J248" s="378">
        <f t="shared" si="28"/>
        <v>8882.9195999999993</v>
      </c>
      <c r="K248" s="378">
        <f t="shared" si="28"/>
        <v>567.36540000000002</v>
      </c>
      <c r="L248" s="378">
        <f t="shared" si="28"/>
        <v>305657.06013862987</v>
      </c>
      <c r="M248" s="378">
        <f t="shared" si="28"/>
        <v>75027.048112727978</v>
      </c>
      <c r="N248" s="565">
        <f t="shared" si="28"/>
        <v>380684.10825135774</v>
      </c>
      <c r="O248" s="378">
        <f t="shared" si="28"/>
        <v>6381.3</v>
      </c>
      <c r="P248" s="565">
        <f t="shared" si="28"/>
        <v>5124</v>
      </c>
      <c r="Q248" s="565">
        <f t="shared" si="28"/>
        <v>1257.3</v>
      </c>
      <c r="R248" s="565"/>
      <c r="S248" s="556" t="e">
        <f>S205+S211+#REF!+#REF!+S220+S$225+S$228</f>
        <v>#REF!</v>
      </c>
      <c r="T248" s="556" t="e">
        <f>T205+T211+#REF!+#REF!+T220+T$225+T$228</f>
        <v>#REF!</v>
      </c>
      <c r="U248" s="10"/>
      <c r="V248" s="10"/>
      <c r="W248" s="10"/>
      <c r="X248" s="10"/>
      <c r="Y248" s="10"/>
    </row>
    <row r="249" spans="1:25" s="4" customFormat="1" ht="17.25" customHeight="1">
      <c r="A249" s="567"/>
      <c r="B249" s="567"/>
      <c r="C249" s="567"/>
      <c r="D249" s="566"/>
      <c r="E249" s="568"/>
      <c r="F249" s="568"/>
      <c r="G249" s="568"/>
      <c r="H249" s="568"/>
      <c r="I249" s="568"/>
      <c r="J249" s="568"/>
      <c r="K249" s="568"/>
      <c r="L249" s="568"/>
      <c r="M249" s="568"/>
      <c r="N249" s="568"/>
      <c r="O249" s="569"/>
      <c r="P249" s="569"/>
      <c r="Q249" s="570"/>
      <c r="R249" s="571"/>
      <c r="S249" s="10"/>
      <c r="T249" s="10"/>
      <c r="U249" s="10"/>
      <c r="V249" s="10"/>
      <c r="W249" s="10"/>
      <c r="X249" s="10"/>
      <c r="Y249" s="10"/>
    </row>
    <row r="250" spans="1:25" s="4" customFormat="1" ht="23.45" customHeight="1">
      <c r="A250" s="567"/>
      <c r="B250" s="567"/>
      <c r="C250" s="567"/>
      <c r="D250" s="566"/>
      <c r="E250" s="568"/>
      <c r="F250" s="568"/>
      <c r="G250" s="568"/>
      <c r="H250" s="568"/>
      <c r="I250" s="568"/>
      <c r="J250" s="568"/>
      <c r="K250" s="568"/>
      <c r="L250" s="568"/>
      <c r="M250" s="568"/>
      <c r="N250" s="568"/>
      <c r="O250" s="569"/>
      <c r="P250" s="569"/>
      <c r="Q250" s="570"/>
      <c r="R250" s="571"/>
      <c r="S250" s="10"/>
      <c r="T250" s="10"/>
      <c r="U250" s="10"/>
      <c r="V250" s="10"/>
      <c r="W250" s="10"/>
      <c r="X250" s="10"/>
      <c r="Y250" s="10"/>
    </row>
    <row r="251" spans="1:25" s="4" customFormat="1" ht="39" customHeight="1">
      <c r="A251" s="999" t="s">
        <v>397</v>
      </c>
      <c r="B251" s="999"/>
      <c r="C251" s="999"/>
      <c r="D251" s="999"/>
      <c r="E251" s="999"/>
      <c r="F251" s="999"/>
      <c r="G251" s="999"/>
      <c r="H251" s="999"/>
      <c r="I251" s="999"/>
      <c r="J251" s="999"/>
      <c r="K251" s="999"/>
      <c r="L251" s="999"/>
      <c r="M251" s="999"/>
      <c r="N251" s="999"/>
      <c r="O251" s="999"/>
      <c r="P251" s="632"/>
      <c r="Q251" s="630"/>
      <c r="R251" s="631"/>
      <c r="S251" s="10"/>
      <c r="T251" s="10"/>
      <c r="U251" s="10"/>
      <c r="V251" s="10"/>
      <c r="W251" s="10"/>
      <c r="X251" s="10"/>
      <c r="Y251" s="10"/>
    </row>
    <row r="252" spans="1:25" s="4" customFormat="1" ht="16.5" customHeight="1">
      <c r="A252" s="573"/>
      <c r="B252" s="574"/>
      <c r="C252" s="575"/>
      <c r="D252" s="576"/>
      <c r="E252" s="577"/>
      <c r="F252" s="577"/>
      <c r="G252" s="577"/>
      <c r="H252" s="577"/>
      <c r="I252" s="577"/>
      <c r="J252" s="577"/>
      <c r="K252" s="577"/>
      <c r="L252" s="577"/>
      <c r="M252" s="578"/>
      <c r="N252" s="1000" t="s">
        <v>428</v>
      </c>
      <c r="O252" s="1000"/>
      <c r="P252" s="569"/>
      <c r="Q252" s="638"/>
      <c r="R252" s="639"/>
      <c r="S252" s="10"/>
      <c r="T252" s="10"/>
      <c r="U252" s="10"/>
      <c r="V252" s="10"/>
      <c r="W252" s="10"/>
      <c r="X252" s="10"/>
      <c r="Y252" s="10"/>
    </row>
    <row r="253" spans="1:25" s="4" customFormat="1" ht="30" customHeight="1">
      <c r="A253" s="987" t="s">
        <v>376</v>
      </c>
      <c r="B253" s="989" t="s">
        <v>377</v>
      </c>
      <c r="C253" s="991" t="s">
        <v>378</v>
      </c>
      <c r="D253" s="987" t="s">
        <v>91</v>
      </c>
      <c r="E253" s="996" t="s">
        <v>368</v>
      </c>
      <c r="F253" s="997"/>
      <c r="G253" s="997"/>
      <c r="H253" s="997"/>
      <c r="I253" s="997"/>
      <c r="J253" s="997"/>
      <c r="K253" s="997"/>
      <c r="L253" s="998"/>
      <c r="M253" s="991" t="s">
        <v>427</v>
      </c>
      <c r="N253" s="991" t="s">
        <v>379</v>
      </c>
      <c r="O253" s="579" t="s">
        <v>18</v>
      </c>
      <c r="P253" s="787" t="s">
        <v>19</v>
      </c>
      <c r="Q253" s="580" t="s">
        <v>19</v>
      </c>
      <c r="R253" s="581" t="s">
        <v>16</v>
      </c>
      <c r="S253" s="10"/>
      <c r="T253" s="10"/>
      <c r="U253" s="10"/>
      <c r="V253" s="10"/>
      <c r="W253" s="10"/>
      <c r="X253" s="10"/>
      <c r="Y253" s="10"/>
    </row>
    <row r="254" spans="1:25" s="4" customFormat="1" ht="26.25" customHeight="1">
      <c r="A254" s="988"/>
      <c r="B254" s="990"/>
      <c r="C254" s="992"/>
      <c r="D254" s="988"/>
      <c r="E254" s="582" t="s">
        <v>369</v>
      </c>
      <c r="F254" s="564" t="s">
        <v>370</v>
      </c>
      <c r="G254" s="583">
        <v>0</v>
      </c>
      <c r="H254" s="564" t="s">
        <v>257</v>
      </c>
      <c r="I254" s="564" t="s">
        <v>280</v>
      </c>
      <c r="J254" s="564" t="s">
        <v>261</v>
      </c>
      <c r="K254" s="564" t="s">
        <v>371</v>
      </c>
      <c r="L254" s="564" t="s">
        <v>372</v>
      </c>
      <c r="M254" s="992"/>
      <c r="N254" s="992"/>
      <c r="O254" s="563" t="s">
        <v>20</v>
      </c>
      <c r="P254" s="788" t="s">
        <v>21</v>
      </c>
      <c r="Q254" s="584" t="s">
        <v>22</v>
      </c>
      <c r="R254" s="585" t="s">
        <v>17</v>
      </c>
      <c r="S254" s="10"/>
      <c r="T254" s="10"/>
      <c r="U254" s="10"/>
      <c r="V254" s="10"/>
      <c r="W254" s="10"/>
      <c r="X254" s="10"/>
      <c r="Y254" s="10"/>
    </row>
    <row r="255" spans="1:25" s="4" customFormat="1" ht="14.25" customHeight="1">
      <c r="A255" s="331" t="s">
        <v>52</v>
      </c>
      <c r="B255" s="586" t="s">
        <v>53</v>
      </c>
      <c r="C255" s="586" t="s">
        <v>54</v>
      </c>
      <c r="D255" s="331" t="s">
        <v>55</v>
      </c>
      <c r="E255" s="332" t="s">
        <v>56</v>
      </c>
      <c r="F255" s="332" t="s">
        <v>57</v>
      </c>
      <c r="G255" s="332"/>
      <c r="H255" s="332" t="s">
        <v>58</v>
      </c>
      <c r="I255" s="332" t="s">
        <v>59</v>
      </c>
      <c r="J255" s="332" t="s">
        <v>60</v>
      </c>
      <c r="K255" s="332" t="s">
        <v>61</v>
      </c>
      <c r="L255" s="334" t="s">
        <v>373</v>
      </c>
      <c r="M255" s="334" t="s">
        <v>374</v>
      </c>
      <c r="N255" s="334" t="s">
        <v>375</v>
      </c>
      <c r="O255" s="332" t="s">
        <v>62</v>
      </c>
      <c r="P255" s="48"/>
      <c r="Q255" s="48"/>
      <c r="R255" s="49"/>
      <c r="S255" s="10"/>
      <c r="T255" s="10"/>
      <c r="U255" s="10"/>
      <c r="V255" s="10"/>
      <c r="W255" s="10"/>
      <c r="X255" s="10"/>
      <c r="Y255" s="10"/>
    </row>
    <row r="256" spans="1:25" s="4" customFormat="1" ht="22.15" customHeight="1">
      <c r="A256" s="551" t="s">
        <v>3</v>
      </c>
      <c r="B256" s="550" t="s">
        <v>380</v>
      </c>
      <c r="C256" s="587"/>
      <c r="D256" s="344"/>
      <c r="E256" s="345"/>
      <c r="F256" s="345"/>
      <c r="G256" s="345"/>
      <c r="H256" s="345"/>
      <c r="I256" s="345"/>
      <c r="J256" s="345"/>
      <c r="K256" s="345"/>
      <c r="L256" s="345"/>
      <c r="M256" s="345"/>
      <c r="N256" s="345"/>
      <c r="O256" s="347"/>
      <c r="P256" s="407"/>
      <c r="Q256" s="408"/>
      <c r="R256" s="409"/>
      <c r="S256" s="10"/>
      <c r="T256" s="10"/>
      <c r="U256" s="10"/>
      <c r="V256" s="10"/>
      <c r="W256" s="10"/>
      <c r="X256" s="10"/>
      <c r="Y256" s="10"/>
    </row>
    <row r="257" spans="1:25" s="4" customFormat="1" ht="22.15" customHeight="1">
      <c r="A257" s="351" t="s">
        <v>9</v>
      </c>
      <c r="B257" s="437" t="s">
        <v>73</v>
      </c>
      <c r="C257" s="438" t="s">
        <v>1</v>
      </c>
      <c r="D257" s="351" t="s">
        <v>9</v>
      </c>
      <c r="E257" s="352">
        <v>13061.559722222222</v>
      </c>
      <c r="F257" s="353"/>
      <c r="G257" s="353">
        <f t="shared" ref="G257:G272" si="29">$Q$1*10*P257</f>
        <v>0</v>
      </c>
      <c r="H257" s="353">
        <v>129.32784188034191</v>
      </c>
      <c r="I257" s="353">
        <v>83.4</v>
      </c>
      <c r="J257" s="353"/>
      <c r="K257" s="353"/>
      <c r="L257" s="353">
        <f>SUM(E257:K257)</f>
        <v>13274.287564102564</v>
      </c>
      <c r="M257" s="353">
        <v>3318.5718910256414</v>
      </c>
      <c r="N257" s="349">
        <f>M257+L257</f>
        <v>16592.859455128204</v>
      </c>
      <c r="O257" s="441">
        <v>324.02777777777777</v>
      </c>
      <c r="P257" s="441">
        <v>259.22222222222223</v>
      </c>
      <c r="Q257" s="442">
        <v>64.805555555555557</v>
      </c>
      <c r="R257" s="443">
        <v>5.1844444444444443E-2</v>
      </c>
      <c r="S257" s="641">
        <f>N257*4%</f>
        <v>663.71437820512813</v>
      </c>
      <c r="T257" s="10">
        <f>L257*4%</f>
        <v>530.97150256410259</v>
      </c>
      <c r="U257" s="10"/>
      <c r="V257" s="10"/>
      <c r="W257" s="10"/>
      <c r="X257" s="10"/>
      <c r="Y257" s="10"/>
    </row>
    <row r="258" spans="1:25" s="4" customFormat="1" ht="22.15" customHeight="1">
      <c r="A258" s="437"/>
      <c r="B258" s="636"/>
      <c r="C258" s="438"/>
      <c r="D258" s="351" t="s">
        <v>10</v>
      </c>
      <c r="E258" s="352">
        <v>15676.111111111111</v>
      </c>
      <c r="F258" s="353"/>
      <c r="G258" s="353">
        <f t="shared" si="29"/>
        <v>0</v>
      </c>
      <c r="H258" s="353">
        <v>161.65980235042741</v>
      </c>
      <c r="I258" s="353">
        <f>I257</f>
        <v>83.4</v>
      </c>
      <c r="J258" s="353"/>
      <c r="K258" s="353"/>
      <c r="L258" s="353">
        <f>SUM(E258:K258)</f>
        <v>15921.170913461538</v>
      </c>
      <c r="M258" s="353">
        <v>3980.2927283653844</v>
      </c>
      <c r="N258" s="349">
        <f>M258+L258</f>
        <v>19901.463641826922</v>
      </c>
      <c r="O258" s="441">
        <v>388.88888888888886</v>
      </c>
      <c r="P258" s="441">
        <v>311.11111111111109</v>
      </c>
      <c r="Q258" s="442">
        <v>77.777777777777771</v>
      </c>
      <c r="R258" s="443">
        <v>6.222222222222222E-2</v>
      </c>
      <c r="S258" s="641">
        <f t="shared" ref="S258:S270" si="30">N258*4%</f>
        <v>796.05854567307688</v>
      </c>
      <c r="T258" s="10">
        <f t="shared" ref="T258:T270" si="31">L258*4%</f>
        <v>636.8468365384615</v>
      </c>
      <c r="U258" s="10"/>
      <c r="V258" s="10"/>
      <c r="W258" s="10"/>
      <c r="X258" s="10"/>
      <c r="Y258" s="10"/>
    </row>
    <row r="259" spans="1:25" s="4" customFormat="1" ht="22.15" customHeight="1">
      <c r="A259" s="351"/>
      <c r="B259" s="437"/>
      <c r="C259" s="438"/>
      <c r="D259" s="351" t="s">
        <v>11</v>
      </c>
      <c r="E259" s="352">
        <v>18811.333333333332</v>
      </c>
      <c r="F259" s="353"/>
      <c r="G259" s="353">
        <f t="shared" si="29"/>
        <v>0</v>
      </c>
      <c r="H259" s="353">
        <v>215.5464031339032</v>
      </c>
      <c r="I259" s="353">
        <f>I258</f>
        <v>83.4</v>
      </c>
      <c r="J259" s="353"/>
      <c r="K259" s="353"/>
      <c r="L259" s="353">
        <f>SUM(E259:K259)</f>
        <v>19110.279736467237</v>
      </c>
      <c r="M259" s="353">
        <v>4777.5699341168092</v>
      </c>
      <c r="N259" s="349">
        <f>M259+L259</f>
        <v>23887.849670584044</v>
      </c>
      <c r="O259" s="441">
        <v>466.66666666666669</v>
      </c>
      <c r="P259" s="441">
        <v>373.33333333333337</v>
      </c>
      <c r="Q259" s="442">
        <v>93.333333333333343</v>
      </c>
      <c r="R259" s="443">
        <v>7.4666666666666673E-2</v>
      </c>
      <c r="S259" s="641">
        <f t="shared" si="30"/>
        <v>955.51398682336185</v>
      </c>
      <c r="T259" s="10">
        <f t="shared" si="31"/>
        <v>764.41118945868948</v>
      </c>
      <c r="U259" s="10"/>
      <c r="V259" s="10"/>
      <c r="W259" s="10"/>
      <c r="X259" s="10"/>
      <c r="Y259" s="10"/>
    </row>
    <row r="260" spans="1:25" s="4" customFormat="1" ht="22.15" customHeight="1">
      <c r="A260" s="351"/>
      <c r="B260" s="437"/>
      <c r="C260" s="438"/>
      <c r="D260" s="351" t="s">
        <v>12</v>
      </c>
      <c r="E260" s="352">
        <v>22573.599999999999</v>
      </c>
      <c r="F260" s="353"/>
      <c r="G260" s="353">
        <f t="shared" si="29"/>
        <v>0</v>
      </c>
      <c r="H260" s="353">
        <v>237.10104344729353</v>
      </c>
      <c r="I260" s="353">
        <f>I259</f>
        <v>83.4</v>
      </c>
      <c r="J260" s="353"/>
      <c r="K260" s="353"/>
      <c r="L260" s="353">
        <f>SUM(E260:K260)</f>
        <v>22894.101043447292</v>
      </c>
      <c r="M260" s="353">
        <v>5723.525260861823</v>
      </c>
      <c r="N260" s="349">
        <f>M260+L260</f>
        <v>28617.626304309117</v>
      </c>
      <c r="O260" s="441">
        <v>560</v>
      </c>
      <c r="P260" s="441">
        <v>448</v>
      </c>
      <c r="Q260" s="442">
        <v>112</v>
      </c>
      <c r="R260" s="443">
        <v>8.9599999999999999E-2</v>
      </c>
      <c r="S260" s="641">
        <f t="shared" si="30"/>
        <v>1144.7050521723647</v>
      </c>
      <c r="T260" s="10">
        <f t="shared" si="31"/>
        <v>915.76404173789172</v>
      </c>
      <c r="U260" s="10"/>
      <c r="V260" s="10"/>
      <c r="W260" s="10"/>
      <c r="X260" s="10"/>
      <c r="Y260" s="10"/>
    </row>
    <row r="261" spans="1:25" s="4" customFormat="1" ht="22.15" customHeight="1">
      <c r="A261" s="351"/>
      <c r="B261" s="437"/>
      <c r="C261" s="642"/>
      <c r="D261" s="351"/>
      <c r="E261" s="352"/>
      <c r="F261" s="353"/>
      <c r="G261" s="353">
        <f t="shared" si="29"/>
        <v>0</v>
      </c>
      <c r="H261" s="353"/>
      <c r="I261" s="353"/>
      <c r="J261" s="353"/>
      <c r="K261" s="353"/>
      <c r="L261" s="353"/>
      <c r="M261" s="353"/>
      <c r="N261" s="349"/>
      <c r="O261" s="441"/>
      <c r="P261" s="441"/>
      <c r="Q261" s="442"/>
      <c r="R261" s="443"/>
      <c r="S261" s="641">
        <f t="shared" si="30"/>
        <v>0</v>
      </c>
      <c r="T261" s="10">
        <f t="shared" si="31"/>
        <v>0</v>
      </c>
      <c r="U261" s="10"/>
      <c r="V261" s="10"/>
      <c r="W261" s="10"/>
      <c r="X261" s="10"/>
      <c r="Y261" s="10"/>
    </row>
    <row r="262" spans="1:25" s="4" customFormat="1" ht="22.15" customHeight="1">
      <c r="A262" s="351" t="s">
        <v>10</v>
      </c>
      <c r="B262" s="437" t="s">
        <v>381</v>
      </c>
      <c r="C262" s="438" t="s">
        <v>278</v>
      </c>
      <c r="D262" s="351" t="s">
        <v>9</v>
      </c>
      <c r="E262" s="352">
        <v>10886.906250000002</v>
      </c>
      <c r="F262" s="353"/>
      <c r="G262" s="353">
        <f t="shared" si="29"/>
        <v>0</v>
      </c>
      <c r="H262" s="353">
        <v>64.456622596153849</v>
      </c>
      <c r="I262" s="353">
        <v>28.034100000000002</v>
      </c>
      <c r="J262" s="353">
        <v>329.72</v>
      </c>
      <c r="K262" s="353">
        <v>1.8647999999999998</v>
      </c>
      <c r="L262" s="353">
        <f>SUM(E262:K262)</f>
        <v>11310.981772596155</v>
      </c>
      <c r="M262" s="353">
        <v>2827.7454431490387</v>
      </c>
      <c r="N262" s="349">
        <f>M262+L262</f>
        <v>14138.727215745193</v>
      </c>
      <c r="O262" s="441">
        <v>253.12500000000006</v>
      </c>
      <c r="P262" s="441">
        <v>202.50000000000003</v>
      </c>
      <c r="Q262" s="442">
        <v>50.625000000000007</v>
      </c>
      <c r="R262" s="443">
        <v>4.0500000000000008E-2</v>
      </c>
      <c r="S262" s="641">
        <f t="shared" si="30"/>
        <v>565.54908862980778</v>
      </c>
      <c r="T262" s="10">
        <f t="shared" si="31"/>
        <v>452.43927090384619</v>
      </c>
      <c r="U262" s="10"/>
      <c r="V262" s="10"/>
      <c r="W262" s="10"/>
      <c r="X262" s="10"/>
      <c r="Y262" s="10"/>
    </row>
    <row r="263" spans="1:25" s="4" customFormat="1" ht="22.15" customHeight="1">
      <c r="A263" s="437"/>
      <c r="B263" s="636"/>
      <c r="C263" s="438"/>
      <c r="D263" s="351" t="s">
        <v>10</v>
      </c>
      <c r="E263" s="352">
        <v>12499.781250000002</v>
      </c>
      <c r="F263" s="353"/>
      <c r="G263" s="353">
        <f t="shared" si="29"/>
        <v>0</v>
      </c>
      <c r="H263" s="353">
        <v>80.570778245192315</v>
      </c>
      <c r="I263" s="353">
        <f>I262</f>
        <v>28.034100000000002</v>
      </c>
      <c r="J263" s="353">
        <v>377.08</v>
      </c>
      <c r="K263" s="353">
        <v>2.331</v>
      </c>
      <c r="L263" s="353">
        <f>SUM(E263:K263)</f>
        <v>12987.797128245194</v>
      </c>
      <c r="M263" s="353">
        <v>3246.9492820612986</v>
      </c>
      <c r="N263" s="349">
        <f>M263+L263</f>
        <v>16234.746410306492</v>
      </c>
      <c r="O263" s="441">
        <v>290.62500000000006</v>
      </c>
      <c r="P263" s="441">
        <v>232.50000000000003</v>
      </c>
      <c r="Q263" s="442">
        <v>58.125000000000007</v>
      </c>
      <c r="R263" s="443">
        <v>4.6500000000000007E-2</v>
      </c>
      <c r="S263" s="641">
        <f t="shared" si="30"/>
        <v>649.38985641225975</v>
      </c>
      <c r="T263" s="10">
        <f t="shared" si="31"/>
        <v>519.51188512980775</v>
      </c>
      <c r="U263" s="10"/>
      <c r="V263" s="10"/>
      <c r="W263" s="10"/>
      <c r="X263" s="10"/>
      <c r="Y263" s="10"/>
    </row>
    <row r="264" spans="1:25" s="4" customFormat="1" ht="22.15" customHeight="1">
      <c r="A264" s="351"/>
      <c r="B264" s="437"/>
      <c r="C264" s="438"/>
      <c r="D264" s="351" t="s">
        <v>11</v>
      </c>
      <c r="E264" s="352">
        <v>16666.375</v>
      </c>
      <c r="F264" s="353"/>
      <c r="G264" s="353">
        <f t="shared" si="29"/>
        <v>0</v>
      </c>
      <c r="H264" s="353">
        <v>107.42770432692309</v>
      </c>
      <c r="I264" s="353">
        <f>I263</f>
        <v>28.034100000000002</v>
      </c>
      <c r="J264" s="353">
        <v>497.92</v>
      </c>
      <c r="K264" s="353">
        <v>2.7971999999999997</v>
      </c>
      <c r="L264" s="353">
        <f>SUM(E264:K264)</f>
        <v>17302.554004326925</v>
      </c>
      <c r="M264" s="353">
        <v>4325.6385010817312</v>
      </c>
      <c r="N264" s="349">
        <f>M264+L264</f>
        <v>21628.192505408657</v>
      </c>
      <c r="O264" s="441">
        <v>387.5</v>
      </c>
      <c r="P264" s="441">
        <v>310</v>
      </c>
      <c r="Q264" s="442">
        <v>77.5</v>
      </c>
      <c r="R264" s="443">
        <v>6.2E-2</v>
      </c>
      <c r="S264" s="641">
        <f t="shared" si="30"/>
        <v>865.12770021634628</v>
      </c>
      <c r="T264" s="10">
        <f t="shared" si="31"/>
        <v>692.10216017307698</v>
      </c>
      <c r="U264" s="10"/>
      <c r="V264" s="10"/>
      <c r="W264" s="10"/>
      <c r="X264" s="10"/>
      <c r="Y264" s="10"/>
    </row>
    <row r="265" spans="1:25" s="4" customFormat="1" ht="22.15" customHeight="1">
      <c r="A265" s="351"/>
      <c r="B265" s="437"/>
      <c r="C265" s="438"/>
      <c r="D265" s="351" t="s">
        <v>12</v>
      </c>
      <c r="E265" s="352">
        <v>18279.250000000004</v>
      </c>
      <c r="F265" s="353"/>
      <c r="G265" s="353">
        <f t="shared" si="29"/>
        <v>0</v>
      </c>
      <c r="H265" s="353">
        <v>118.17047475961542</v>
      </c>
      <c r="I265" s="353">
        <f>I264</f>
        <v>28.034100000000002</v>
      </c>
      <c r="J265" s="353">
        <v>551.96</v>
      </c>
      <c r="K265" s="353">
        <v>3.2633999999999999</v>
      </c>
      <c r="L265" s="353">
        <f>SUM(E265:K265)</f>
        <v>18980.677974759619</v>
      </c>
      <c r="M265" s="353">
        <v>4745.1694936899048</v>
      </c>
      <c r="N265" s="349">
        <f>M265+L265</f>
        <v>23725.847468449523</v>
      </c>
      <c r="O265" s="441">
        <v>425.00000000000006</v>
      </c>
      <c r="P265" s="441">
        <v>340</v>
      </c>
      <c r="Q265" s="442">
        <v>85</v>
      </c>
      <c r="R265" s="443">
        <v>6.8000000000000005E-2</v>
      </c>
      <c r="S265" s="641">
        <f t="shared" si="30"/>
        <v>949.03389873798096</v>
      </c>
      <c r="T265" s="10">
        <f t="shared" si="31"/>
        <v>759.22711899038484</v>
      </c>
      <c r="U265" s="10"/>
      <c r="V265" s="10"/>
      <c r="W265" s="10"/>
      <c r="X265" s="10"/>
      <c r="Y265" s="10"/>
    </row>
    <row r="266" spans="1:25" s="4" customFormat="1" ht="22.15" customHeight="1">
      <c r="A266" s="351"/>
      <c r="B266" s="437"/>
      <c r="C266" s="642"/>
      <c r="D266" s="351"/>
      <c r="E266" s="352"/>
      <c r="F266" s="353"/>
      <c r="G266" s="353">
        <f t="shared" si="29"/>
        <v>0</v>
      </c>
      <c r="H266" s="353"/>
      <c r="I266" s="353"/>
      <c r="J266" s="353"/>
      <c r="K266" s="353"/>
      <c r="L266" s="353"/>
      <c r="M266" s="353"/>
      <c r="N266" s="349"/>
      <c r="O266" s="441"/>
      <c r="P266" s="441"/>
      <c r="Q266" s="442"/>
      <c r="R266" s="443"/>
      <c r="S266" s="641">
        <f t="shared" si="30"/>
        <v>0</v>
      </c>
      <c r="T266" s="10">
        <f t="shared" si="31"/>
        <v>0</v>
      </c>
      <c r="U266" s="10"/>
      <c r="V266" s="10"/>
      <c r="W266" s="10"/>
      <c r="X266" s="10"/>
      <c r="Y266" s="10"/>
    </row>
    <row r="267" spans="1:25" s="4" customFormat="1" ht="22.15" customHeight="1">
      <c r="A267" s="351" t="s">
        <v>11</v>
      </c>
      <c r="B267" s="437" t="s">
        <v>77</v>
      </c>
      <c r="C267" s="438" t="s">
        <v>278</v>
      </c>
      <c r="D267" s="351" t="s">
        <v>9</v>
      </c>
      <c r="E267" s="352">
        <v>160615.46875</v>
      </c>
      <c r="F267" s="353">
        <v>11536.8</v>
      </c>
      <c r="G267" s="353">
        <f t="shared" si="29"/>
        <v>0</v>
      </c>
      <c r="H267" s="353">
        <v>870.28378365384583</v>
      </c>
      <c r="I267" s="353">
        <v>560.68200000000002</v>
      </c>
      <c r="J267" s="353">
        <v>4038</v>
      </c>
      <c r="K267" s="353">
        <v>23.31</v>
      </c>
      <c r="L267" s="353">
        <f>SUM(E267:K267)</f>
        <v>177644.54453365383</v>
      </c>
      <c r="M267" s="353">
        <v>44411.136133413456</v>
      </c>
      <c r="N267" s="349">
        <f>M267+L267</f>
        <v>222055.6806670673</v>
      </c>
      <c r="O267" s="441">
        <v>3734.375</v>
      </c>
      <c r="P267" s="441">
        <v>2987.5</v>
      </c>
      <c r="Q267" s="442">
        <v>746.875</v>
      </c>
      <c r="R267" s="443">
        <v>0.59750000000000003</v>
      </c>
      <c r="S267" s="641">
        <f t="shared" si="30"/>
        <v>8882.2272266826913</v>
      </c>
      <c r="T267" s="10">
        <f t="shared" si="31"/>
        <v>7105.7817813461534</v>
      </c>
      <c r="U267" s="10"/>
      <c r="V267" s="10"/>
      <c r="W267" s="10"/>
      <c r="X267" s="10"/>
      <c r="Y267" s="10"/>
    </row>
    <row r="268" spans="1:25" s="4" customFormat="1" ht="22.15" customHeight="1">
      <c r="A268" s="351"/>
      <c r="B268" s="437"/>
      <c r="C268" s="438"/>
      <c r="D268" s="351" t="s">
        <v>10</v>
      </c>
      <c r="E268" s="352">
        <v>192738.5625</v>
      </c>
      <c r="F268" s="353">
        <v>13841.4</v>
      </c>
      <c r="G268" s="353">
        <f t="shared" si="29"/>
        <v>0</v>
      </c>
      <c r="H268" s="353">
        <v>1087.8547295673072</v>
      </c>
      <c r="I268" s="353">
        <f>I267</f>
        <v>560.68200000000002</v>
      </c>
      <c r="J268" s="353">
        <v>4657.3599999999997</v>
      </c>
      <c r="K268" s="353">
        <v>26.417999999999996</v>
      </c>
      <c r="L268" s="353">
        <f>SUM(E268:K268)</f>
        <v>212912.27722956729</v>
      </c>
      <c r="M268" s="353">
        <v>53228.069307391823</v>
      </c>
      <c r="N268" s="349">
        <f>M268+L268</f>
        <v>266140.34653695911</v>
      </c>
      <c r="O268" s="441">
        <v>4481.2500000000009</v>
      </c>
      <c r="P268" s="441">
        <v>3585.0000000000005</v>
      </c>
      <c r="Q268" s="442">
        <v>896.25000000000011</v>
      </c>
      <c r="R268" s="443">
        <v>0.71700000000000008</v>
      </c>
      <c r="S268" s="641">
        <f t="shared" si="30"/>
        <v>10645.613861478365</v>
      </c>
      <c r="T268" s="10">
        <f t="shared" si="31"/>
        <v>8516.4910891826912</v>
      </c>
      <c r="U268" s="10"/>
      <c r="V268" s="10"/>
      <c r="W268" s="10"/>
      <c r="X268" s="10"/>
      <c r="Y268" s="10"/>
    </row>
    <row r="269" spans="1:25" s="4" customFormat="1" ht="22.15" customHeight="1">
      <c r="A269" s="351"/>
      <c r="B269" s="437"/>
      <c r="C269" s="438"/>
      <c r="D269" s="351" t="s">
        <v>11</v>
      </c>
      <c r="E269" s="352">
        <v>231313.15625000003</v>
      </c>
      <c r="F269" s="353">
        <v>16601.400000000001</v>
      </c>
      <c r="G269" s="353">
        <f t="shared" si="29"/>
        <v>0</v>
      </c>
      <c r="H269" s="353">
        <v>1450.4729727564097</v>
      </c>
      <c r="I269" s="353">
        <f>I268</f>
        <v>560.68200000000002</v>
      </c>
      <c r="J269" s="353">
        <v>6211.84</v>
      </c>
      <c r="K269" s="353">
        <v>35.741999999999997</v>
      </c>
      <c r="L269" s="353">
        <f>SUM(E269:K269)</f>
        <v>256173.29322275642</v>
      </c>
      <c r="M269" s="353">
        <v>64043.323305689104</v>
      </c>
      <c r="N269" s="349">
        <f>M269+L269</f>
        <v>320216.61652844551</v>
      </c>
      <c r="O269" s="441">
        <v>5378.1250000000009</v>
      </c>
      <c r="P269" s="441">
        <v>4302.5000000000009</v>
      </c>
      <c r="Q269" s="442">
        <v>1075.6250000000002</v>
      </c>
      <c r="R269" s="443">
        <v>0.86050000000000015</v>
      </c>
      <c r="S269" s="641">
        <f t="shared" si="30"/>
        <v>12808.66466113782</v>
      </c>
      <c r="T269" s="10">
        <f t="shared" si="31"/>
        <v>10246.931728910256</v>
      </c>
      <c r="U269" s="10"/>
      <c r="V269" s="10"/>
      <c r="W269" s="10"/>
      <c r="X269" s="10"/>
      <c r="Y269" s="10"/>
    </row>
    <row r="270" spans="1:25" s="4" customFormat="1" ht="22.15" customHeight="1">
      <c r="A270" s="351"/>
      <c r="B270" s="437"/>
      <c r="C270" s="438"/>
      <c r="D270" s="351" t="s">
        <v>12</v>
      </c>
      <c r="E270" s="352">
        <v>277548.90625</v>
      </c>
      <c r="F270" s="353">
        <v>19927.2</v>
      </c>
      <c r="G270" s="353">
        <f t="shared" si="29"/>
        <v>0</v>
      </c>
      <c r="H270" s="353">
        <v>1595.5202700320508</v>
      </c>
      <c r="I270" s="353">
        <f>I269</f>
        <v>560.68200000000002</v>
      </c>
      <c r="J270" s="353">
        <v>6837.88</v>
      </c>
      <c r="K270" s="353">
        <v>38.85</v>
      </c>
      <c r="L270" s="353">
        <f>SUM(E270:K270)</f>
        <v>306509.03852003202</v>
      </c>
      <c r="M270" s="353">
        <v>76627.259630008004</v>
      </c>
      <c r="N270" s="349">
        <f>M270+L270</f>
        <v>383136.29815004003</v>
      </c>
      <c r="O270" s="441">
        <v>6453.125</v>
      </c>
      <c r="P270" s="441">
        <v>5162.5</v>
      </c>
      <c r="Q270" s="442">
        <v>1290.625</v>
      </c>
      <c r="R270" s="443">
        <v>1.0325</v>
      </c>
      <c r="S270" s="641">
        <f t="shared" si="30"/>
        <v>15325.451926001602</v>
      </c>
      <c r="T270" s="10">
        <f t="shared" si="31"/>
        <v>12260.361540801281</v>
      </c>
      <c r="U270" s="10"/>
      <c r="V270" s="10"/>
      <c r="W270" s="10"/>
      <c r="X270" s="10"/>
      <c r="Y270" s="10"/>
    </row>
    <row r="271" spans="1:25" s="4" customFormat="1" ht="22.15" customHeight="1">
      <c r="A271" s="351"/>
      <c r="B271" s="437"/>
      <c r="C271" s="438"/>
      <c r="D271" s="351"/>
      <c r="E271" s="352"/>
      <c r="F271" s="353"/>
      <c r="G271" s="353">
        <f t="shared" si="29"/>
        <v>0</v>
      </c>
      <c r="H271" s="353"/>
      <c r="I271" s="353"/>
      <c r="J271" s="353"/>
      <c r="K271" s="353"/>
      <c r="L271" s="353"/>
      <c r="M271" s="353"/>
      <c r="N271" s="349"/>
      <c r="O271" s="441"/>
      <c r="P271" s="441"/>
      <c r="Q271" s="442"/>
      <c r="R271" s="443"/>
      <c r="S271" s="10"/>
      <c r="T271" s="10"/>
      <c r="U271" s="10"/>
      <c r="V271" s="10"/>
      <c r="W271" s="10"/>
      <c r="X271" s="10"/>
      <c r="Y271" s="10"/>
    </row>
    <row r="272" spans="1:25" s="4" customFormat="1" ht="22.15" customHeight="1">
      <c r="A272" s="557" t="s">
        <v>4</v>
      </c>
      <c r="B272" s="611" t="s">
        <v>382</v>
      </c>
      <c r="C272" s="645"/>
      <c r="D272" s="355"/>
      <c r="E272" s="356"/>
      <c r="F272" s="357"/>
      <c r="G272" s="353">
        <f t="shared" si="29"/>
        <v>0</v>
      </c>
      <c r="H272" s="357"/>
      <c r="I272" s="357"/>
      <c r="J272" s="357"/>
      <c r="K272" s="357"/>
      <c r="L272" s="357"/>
      <c r="M272" s="357"/>
      <c r="N272" s="359"/>
      <c r="O272" s="646"/>
      <c r="P272" s="441"/>
      <c r="Q272" s="442"/>
      <c r="R272" s="443"/>
      <c r="S272" s="10"/>
      <c r="T272" s="10"/>
      <c r="U272" s="10"/>
      <c r="V272" s="10"/>
      <c r="W272" s="10"/>
      <c r="X272" s="10"/>
      <c r="Y272" s="10"/>
    </row>
    <row r="273" spans="1:25" s="4" customFormat="1" ht="22.15" customHeight="1">
      <c r="A273" s="351" t="s">
        <v>9</v>
      </c>
      <c r="B273" s="437" t="s">
        <v>383</v>
      </c>
      <c r="C273" s="438"/>
      <c r="D273" s="351"/>
      <c r="E273" s="352"/>
      <c r="F273" s="353"/>
      <c r="G273" s="353"/>
      <c r="H273" s="353"/>
      <c r="I273" s="353"/>
      <c r="J273" s="353"/>
      <c r="K273" s="353"/>
      <c r="L273" s="353"/>
      <c r="M273" s="353"/>
      <c r="N273" s="349"/>
      <c r="O273" s="441"/>
      <c r="P273" s="441"/>
      <c r="Q273" s="442"/>
      <c r="R273" s="443"/>
      <c r="S273" s="10"/>
      <c r="T273" s="10"/>
      <c r="U273" s="10"/>
      <c r="V273" s="10"/>
      <c r="W273" s="10"/>
      <c r="X273" s="10"/>
      <c r="Y273" s="10"/>
    </row>
    <row r="274" spans="1:25" s="4" customFormat="1" ht="22.15" customHeight="1">
      <c r="A274" s="642"/>
      <c r="B274" s="642"/>
      <c r="C274" s="642"/>
      <c r="D274" s="351"/>
      <c r="E274" s="352"/>
      <c r="F274" s="353"/>
      <c r="G274" s="353"/>
      <c r="H274" s="353"/>
      <c r="I274" s="353"/>
      <c r="J274" s="353"/>
      <c r="K274" s="353"/>
      <c r="L274" s="353"/>
      <c r="M274" s="353"/>
      <c r="N274" s="349"/>
      <c r="O274" s="441"/>
      <c r="P274" s="441"/>
      <c r="Q274" s="442"/>
      <c r="R274" s="443"/>
      <c r="S274" s="10"/>
      <c r="T274" s="10"/>
      <c r="U274" s="10"/>
      <c r="V274" s="10"/>
      <c r="W274" s="10"/>
      <c r="X274" s="10"/>
      <c r="Y274" s="10"/>
    </row>
    <row r="275" spans="1:25" s="4" customFormat="1" ht="22.15" customHeight="1">
      <c r="A275" s="351" t="s">
        <v>10</v>
      </c>
      <c r="B275" s="437" t="s">
        <v>81</v>
      </c>
      <c r="C275" s="438" t="s">
        <v>278</v>
      </c>
      <c r="D275" s="351" t="s">
        <v>9</v>
      </c>
      <c r="E275" s="352">
        <v>6217.4</v>
      </c>
      <c r="F275" s="353"/>
      <c r="G275" s="353">
        <f t="shared" ref="G275:G292" si="32">$Q$1*10*P275</f>
        <v>0</v>
      </c>
      <c r="H275" s="353">
        <v>152.08208669230774</v>
      </c>
      <c r="I275" s="353">
        <v>5618.5919999999996</v>
      </c>
      <c r="J275" s="353">
        <v>178.73480000000001</v>
      </c>
      <c r="K275" s="353">
        <v>323.38739999999996</v>
      </c>
      <c r="L275" s="353">
        <f>SUM(E275:K275)</f>
        <v>12490.196286692308</v>
      </c>
      <c r="M275" s="353">
        <v>2498.0392573384615</v>
      </c>
      <c r="N275" s="349">
        <f>M275+L275</f>
        <v>14988.235544030769</v>
      </c>
      <c r="O275" s="441">
        <v>167.99999999999997</v>
      </c>
      <c r="P275" s="441">
        <v>139.99999999999997</v>
      </c>
      <c r="Q275" s="442">
        <v>27.999999999999996</v>
      </c>
      <c r="R275" s="443">
        <v>2.7999999999999997E-2</v>
      </c>
      <c r="S275" s="641">
        <f t="shared" ref="S275:S291" si="33">N275*3%</f>
        <v>449.64706632092305</v>
      </c>
      <c r="T275" s="641">
        <f t="shared" ref="T275:T292" si="34">L275*2%</f>
        <v>249.80392573384617</v>
      </c>
      <c r="U275" s="10"/>
      <c r="V275" s="10"/>
      <c r="W275" s="10"/>
      <c r="X275" s="10"/>
      <c r="Y275" s="10"/>
    </row>
    <row r="276" spans="1:25" s="4" customFormat="1" ht="22.15" customHeight="1">
      <c r="A276" s="351"/>
      <c r="B276" s="437"/>
      <c r="C276" s="438"/>
      <c r="D276" s="351" t="s">
        <v>10</v>
      </c>
      <c r="E276" s="352">
        <v>7194.42</v>
      </c>
      <c r="F276" s="353"/>
      <c r="G276" s="353">
        <f t="shared" si="32"/>
        <v>0</v>
      </c>
      <c r="H276" s="353">
        <v>190.10260836538467</v>
      </c>
      <c r="I276" s="353">
        <f>I275</f>
        <v>5618.5919999999996</v>
      </c>
      <c r="J276" s="353">
        <v>187.7064</v>
      </c>
      <c r="K276" s="353">
        <v>339.08279999999996</v>
      </c>
      <c r="L276" s="353">
        <f>SUM(E276:K276)</f>
        <v>13529.903808365383</v>
      </c>
      <c r="M276" s="353">
        <v>2705.9807616730768</v>
      </c>
      <c r="N276" s="349">
        <f>M276+L276</f>
        <v>16235.884570038459</v>
      </c>
      <c r="O276" s="441">
        <v>194.40000000000003</v>
      </c>
      <c r="P276" s="441">
        <v>162.00000000000003</v>
      </c>
      <c r="Q276" s="442">
        <v>32.400000000000006</v>
      </c>
      <c r="R276" s="443">
        <v>3.2400000000000005E-2</v>
      </c>
      <c r="S276" s="641">
        <f t="shared" si="33"/>
        <v>487.07653710115375</v>
      </c>
      <c r="T276" s="641">
        <f t="shared" si="34"/>
        <v>270.59807616730768</v>
      </c>
      <c r="U276" s="10"/>
      <c r="V276" s="10"/>
      <c r="W276" s="10"/>
      <c r="X276" s="10"/>
      <c r="Y276" s="10"/>
    </row>
    <row r="277" spans="1:25" s="4" customFormat="1" ht="22.15" customHeight="1">
      <c r="A277" s="351"/>
      <c r="B277" s="437"/>
      <c r="C277" s="438"/>
      <c r="D277" s="351" t="s">
        <v>11</v>
      </c>
      <c r="E277" s="352">
        <v>9592.5600000000013</v>
      </c>
      <c r="F277" s="353"/>
      <c r="G277" s="353">
        <f t="shared" si="32"/>
        <v>0</v>
      </c>
      <c r="H277" s="353">
        <v>253.47014448717957</v>
      </c>
      <c r="I277" s="353">
        <f>I276</f>
        <v>5618.5919999999996</v>
      </c>
      <c r="J277" s="353">
        <v>210.12799999999999</v>
      </c>
      <c r="K277" s="353">
        <v>379.48680000000002</v>
      </c>
      <c r="L277" s="353">
        <f>SUM(E277:K277)</f>
        <v>16054.236944487182</v>
      </c>
      <c r="M277" s="353">
        <v>3210.8473888974363</v>
      </c>
      <c r="N277" s="349">
        <f>M277+L277</f>
        <v>19265.084333384617</v>
      </c>
      <c r="O277" s="441">
        <v>259.2</v>
      </c>
      <c r="P277" s="441">
        <v>216</v>
      </c>
      <c r="Q277" s="442">
        <v>43.2</v>
      </c>
      <c r="R277" s="443">
        <v>4.3200000000000002E-2</v>
      </c>
      <c r="S277" s="641">
        <f t="shared" si="33"/>
        <v>577.95253000153843</v>
      </c>
      <c r="T277" s="641">
        <f t="shared" si="34"/>
        <v>321.08473888974362</v>
      </c>
      <c r="U277" s="10"/>
      <c r="V277" s="10"/>
      <c r="W277" s="10"/>
      <c r="X277" s="10"/>
      <c r="Y277" s="10"/>
    </row>
    <row r="278" spans="1:25" s="4" customFormat="1" ht="22.15" customHeight="1">
      <c r="A278" s="351"/>
      <c r="B278" s="437"/>
      <c r="C278" s="438"/>
      <c r="D278" s="351" t="s">
        <v>12</v>
      </c>
      <c r="E278" s="352">
        <v>10569.58</v>
      </c>
      <c r="F278" s="353"/>
      <c r="G278" s="353">
        <f t="shared" si="32"/>
        <v>0</v>
      </c>
      <c r="H278" s="353">
        <v>278.81715893589757</v>
      </c>
      <c r="I278" s="353">
        <f>I277</f>
        <v>5618.5919999999996</v>
      </c>
      <c r="J278" s="353">
        <v>218.798</v>
      </c>
      <c r="K278" s="353">
        <v>395.02679999999998</v>
      </c>
      <c r="L278" s="353">
        <f>SUM(E278:K278)</f>
        <v>17080.813958935894</v>
      </c>
      <c r="M278" s="353">
        <v>3416.1627917871788</v>
      </c>
      <c r="N278" s="349">
        <f>M278+L278</f>
        <v>20496.976750723072</v>
      </c>
      <c r="O278" s="441">
        <v>285.59999999999997</v>
      </c>
      <c r="P278" s="441">
        <v>237.99999999999997</v>
      </c>
      <c r="Q278" s="442">
        <v>47.599999999999994</v>
      </c>
      <c r="R278" s="443">
        <v>4.7599999999999996E-2</v>
      </c>
      <c r="S278" s="641">
        <f t="shared" si="33"/>
        <v>614.9093025216921</v>
      </c>
      <c r="T278" s="641">
        <f t="shared" si="34"/>
        <v>341.61627917871789</v>
      </c>
      <c r="U278" s="10"/>
      <c r="V278" s="10"/>
      <c r="W278" s="10"/>
      <c r="X278" s="10"/>
      <c r="Y278" s="10"/>
    </row>
    <row r="279" spans="1:25" s="4" customFormat="1" ht="22.15" customHeight="1">
      <c r="A279" s="351"/>
      <c r="B279" s="437"/>
      <c r="C279" s="438"/>
      <c r="D279" s="351"/>
      <c r="E279" s="352"/>
      <c r="F279" s="353"/>
      <c r="G279" s="353">
        <f t="shared" si="32"/>
        <v>0</v>
      </c>
      <c r="H279" s="353"/>
      <c r="I279" s="353"/>
      <c r="J279" s="353"/>
      <c r="K279" s="353"/>
      <c r="L279" s="353"/>
      <c r="M279" s="353"/>
      <c r="N279" s="349"/>
      <c r="O279" s="441"/>
      <c r="P279" s="441"/>
      <c r="Q279" s="442"/>
      <c r="R279" s="443"/>
      <c r="S279" s="641">
        <f t="shared" si="33"/>
        <v>0</v>
      </c>
      <c r="T279" s="641">
        <f t="shared" si="34"/>
        <v>0</v>
      </c>
      <c r="U279" s="10"/>
      <c r="V279" s="10"/>
      <c r="W279" s="10"/>
      <c r="X279" s="10"/>
      <c r="Y279" s="10"/>
    </row>
    <row r="280" spans="1:25" s="4" customFormat="1" ht="30" customHeight="1">
      <c r="A280" s="987" t="s">
        <v>376</v>
      </c>
      <c r="B280" s="989" t="s">
        <v>377</v>
      </c>
      <c r="C280" s="991" t="s">
        <v>378</v>
      </c>
      <c r="D280" s="987" t="s">
        <v>91</v>
      </c>
      <c r="E280" s="996" t="s">
        <v>368</v>
      </c>
      <c r="F280" s="997"/>
      <c r="G280" s="997"/>
      <c r="H280" s="997"/>
      <c r="I280" s="997"/>
      <c r="J280" s="997"/>
      <c r="K280" s="997"/>
      <c r="L280" s="998"/>
      <c r="M280" s="991" t="s">
        <v>427</v>
      </c>
      <c r="N280" s="991" t="s">
        <v>379</v>
      </c>
      <c r="O280" s="579" t="s">
        <v>18</v>
      </c>
      <c r="P280" s="787" t="s">
        <v>19</v>
      </c>
      <c r="Q280" s="580" t="s">
        <v>19</v>
      </c>
      <c r="R280" s="581" t="s">
        <v>16</v>
      </c>
      <c r="S280" s="10"/>
      <c r="T280" s="10"/>
      <c r="U280" s="10"/>
      <c r="V280" s="10"/>
      <c r="W280" s="10"/>
      <c r="X280" s="10"/>
      <c r="Y280" s="10"/>
    </row>
    <row r="281" spans="1:25" s="4" customFormat="1" ht="26.25" customHeight="1">
      <c r="A281" s="988"/>
      <c r="B281" s="990"/>
      <c r="C281" s="992"/>
      <c r="D281" s="988"/>
      <c r="E281" s="582" t="s">
        <v>369</v>
      </c>
      <c r="F281" s="564" t="s">
        <v>370</v>
      </c>
      <c r="G281" s="583">
        <v>0</v>
      </c>
      <c r="H281" s="564" t="s">
        <v>257</v>
      </c>
      <c r="I281" s="564" t="s">
        <v>280</v>
      </c>
      <c r="J281" s="564" t="s">
        <v>261</v>
      </c>
      <c r="K281" s="564" t="s">
        <v>371</v>
      </c>
      <c r="L281" s="564" t="s">
        <v>372</v>
      </c>
      <c r="M281" s="992"/>
      <c r="N281" s="992"/>
      <c r="O281" s="563" t="s">
        <v>20</v>
      </c>
      <c r="P281" s="788" t="s">
        <v>21</v>
      </c>
      <c r="Q281" s="584" t="s">
        <v>22</v>
      </c>
      <c r="R281" s="585" t="s">
        <v>17</v>
      </c>
      <c r="S281" s="10"/>
      <c r="T281" s="10"/>
      <c r="U281" s="10"/>
      <c r="V281" s="10"/>
      <c r="W281" s="10"/>
      <c r="X281" s="10"/>
      <c r="Y281" s="10"/>
    </row>
    <row r="282" spans="1:25" s="4" customFormat="1" ht="14.25" customHeight="1">
      <c r="A282" s="331" t="s">
        <v>52</v>
      </c>
      <c r="B282" s="586" t="s">
        <v>53</v>
      </c>
      <c r="C282" s="586" t="s">
        <v>54</v>
      </c>
      <c r="D282" s="331" t="s">
        <v>55</v>
      </c>
      <c r="E282" s="332" t="s">
        <v>56</v>
      </c>
      <c r="F282" s="332" t="s">
        <v>57</v>
      </c>
      <c r="G282" s="332"/>
      <c r="H282" s="332" t="s">
        <v>58</v>
      </c>
      <c r="I282" s="332" t="s">
        <v>59</v>
      </c>
      <c r="J282" s="332" t="s">
        <v>60</v>
      </c>
      <c r="K282" s="332" t="s">
        <v>61</v>
      </c>
      <c r="L282" s="334" t="s">
        <v>373</v>
      </c>
      <c r="M282" s="334" t="s">
        <v>374</v>
      </c>
      <c r="N282" s="334" t="s">
        <v>375</v>
      </c>
      <c r="O282" s="332" t="s">
        <v>62</v>
      </c>
      <c r="P282" s="48"/>
      <c r="Q282" s="48"/>
      <c r="R282" s="49"/>
      <c r="S282" s="10"/>
      <c r="T282" s="10"/>
      <c r="U282" s="10"/>
      <c r="V282" s="10"/>
      <c r="W282" s="10"/>
      <c r="X282" s="10"/>
      <c r="Y282" s="10"/>
    </row>
    <row r="283" spans="1:25" s="4" customFormat="1" ht="22.15" customHeight="1">
      <c r="A283" s="351" t="s">
        <v>11</v>
      </c>
      <c r="B283" s="437" t="s">
        <v>384</v>
      </c>
      <c r="C283" s="438" t="s">
        <v>278</v>
      </c>
      <c r="D283" s="351" t="s">
        <v>15</v>
      </c>
      <c r="E283" s="352">
        <v>5851.5</v>
      </c>
      <c r="F283" s="353"/>
      <c r="G283" s="353">
        <f t="shared" si="32"/>
        <v>0</v>
      </c>
      <c r="H283" s="353"/>
      <c r="I283" s="353"/>
      <c r="J283" s="353"/>
      <c r="K283" s="353"/>
      <c r="L283" s="353">
        <f>SUM(E283:K283)</f>
        <v>5851.5</v>
      </c>
      <c r="M283" s="353">
        <v>1170.3</v>
      </c>
      <c r="N283" s="349">
        <f>M283+L283</f>
        <v>7021.8</v>
      </c>
      <c r="O283" s="441">
        <v>180</v>
      </c>
      <c r="P283" s="441">
        <v>150</v>
      </c>
      <c r="Q283" s="442">
        <v>30</v>
      </c>
      <c r="R283" s="443">
        <v>0.03</v>
      </c>
      <c r="S283" s="641">
        <f t="shared" si="33"/>
        <v>210.654</v>
      </c>
      <c r="T283" s="641">
        <f t="shared" si="34"/>
        <v>117.03</v>
      </c>
      <c r="U283" s="10"/>
      <c r="V283" s="10"/>
      <c r="W283" s="10"/>
      <c r="X283" s="10"/>
      <c r="Y283" s="10"/>
    </row>
    <row r="284" spans="1:25" s="4" customFormat="1" ht="22.15" customHeight="1">
      <c r="A284" s="351"/>
      <c r="B284" s="437" t="s">
        <v>385</v>
      </c>
      <c r="C284" s="438"/>
      <c r="D284" s="351"/>
      <c r="E284" s="352"/>
      <c r="F284" s="353"/>
      <c r="G284" s="353">
        <f t="shared" si="32"/>
        <v>0</v>
      </c>
      <c r="H284" s="353"/>
      <c r="I284" s="353"/>
      <c r="J284" s="353"/>
      <c r="K284" s="353"/>
      <c r="L284" s="353"/>
      <c r="M284" s="353"/>
      <c r="N284" s="349"/>
      <c r="O284" s="441"/>
      <c r="P284" s="441"/>
      <c r="Q284" s="442"/>
      <c r="R284" s="443"/>
      <c r="S284" s="641">
        <f t="shared" si="33"/>
        <v>0</v>
      </c>
      <c r="T284" s="641">
        <f t="shared" si="34"/>
        <v>0</v>
      </c>
      <c r="U284" s="10"/>
      <c r="V284" s="10"/>
      <c r="W284" s="10"/>
      <c r="X284" s="10"/>
      <c r="Y284" s="10"/>
    </row>
    <row r="285" spans="1:25" s="4" customFormat="1" ht="22.15" customHeight="1">
      <c r="A285" s="351"/>
      <c r="B285" s="437"/>
      <c r="C285" s="438"/>
      <c r="D285" s="351"/>
      <c r="E285" s="352"/>
      <c r="F285" s="353"/>
      <c r="G285" s="353">
        <f t="shared" si="32"/>
        <v>0</v>
      </c>
      <c r="H285" s="353"/>
      <c r="I285" s="353"/>
      <c r="J285" s="353"/>
      <c r="K285" s="353"/>
      <c r="L285" s="353"/>
      <c r="M285" s="353"/>
      <c r="N285" s="349"/>
      <c r="O285" s="441"/>
      <c r="P285" s="441"/>
      <c r="Q285" s="442"/>
      <c r="R285" s="443"/>
      <c r="S285" s="641">
        <f t="shared" si="33"/>
        <v>0</v>
      </c>
      <c r="T285" s="641">
        <f t="shared" si="34"/>
        <v>0</v>
      </c>
      <c r="U285" s="10"/>
      <c r="V285" s="10"/>
      <c r="W285" s="10"/>
      <c r="X285" s="10"/>
      <c r="Y285" s="10"/>
    </row>
    <row r="286" spans="1:25" s="4" customFormat="1" ht="22.15" customHeight="1">
      <c r="A286" s="351" t="s">
        <v>12</v>
      </c>
      <c r="B286" s="437" t="s">
        <v>363</v>
      </c>
      <c r="C286" s="438" t="s">
        <v>278</v>
      </c>
      <c r="D286" s="351" t="s">
        <v>15</v>
      </c>
      <c r="E286" s="352">
        <v>5071.3</v>
      </c>
      <c r="F286" s="353"/>
      <c r="G286" s="353">
        <f t="shared" si="32"/>
        <v>0</v>
      </c>
      <c r="H286" s="353">
        <v>184.59746666666666</v>
      </c>
      <c r="I286" s="353">
        <v>1232.28</v>
      </c>
      <c r="J286" s="353">
        <v>105.78</v>
      </c>
      <c r="K286" s="353">
        <v>191.142</v>
      </c>
      <c r="L286" s="353">
        <f>SUM(E286:K286)</f>
        <v>6785.0994666666666</v>
      </c>
      <c r="M286" s="353">
        <v>1357.0198933333334</v>
      </c>
      <c r="N286" s="349">
        <f>M286+L286</f>
        <v>8142.1193599999997</v>
      </c>
      <c r="O286" s="441">
        <v>156</v>
      </c>
      <c r="P286" s="441">
        <v>130</v>
      </c>
      <c r="Q286" s="442">
        <v>26.000000000000004</v>
      </c>
      <c r="R286" s="443">
        <v>2.6000000000000002E-2</v>
      </c>
      <c r="S286" s="641">
        <f t="shared" si="33"/>
        <v>244.26358079999997</v>
      </c>
      <c r="T286" s="641">
        <f t="shared" si="34"/>
        <v>135.70198933333333</v>
      </c>
      <c r="U286" s="10"/>
      <c r="V286" s="10"/>
      <c r="W286" s="10"/>
      <c r="X286" s="10"/>
      <c r="Y286" s="10"/>
    </row>
    <row r="287" spans="1:25" s="4" customFormat="1" ht="22.15" customHeight="1">
      <c r="A287" s="361"/>
      <c r="B287" s="588"/>
      <c r="C287" s="596"/>
      <c r="D287" s="361"/>
      <c r="E287" s="362"/>
      <c r="F287" s="363"/>
      <c r="G287" s="353">
        <f t="shared" si="32"/>
        <v>0</v>
      </c>
      <c r="H287" s="363"/>
      <c r="I287" s="363"/>
      <c r="J287" s="363"/>
      <c r="K287" s="363"/>
      <c r="L287" s="353"/>
      <c r="M287" s="353"/>
      <c r="N287" s="349"/>
      <c r="O287" s="441"/>
      <c r="P287" s="441"/>
      <c r="Q287" s="442"/>
      <c r="R287" s="592"/>
      <c r="S287" s="641">
        <f t="shared" si="33"/>
        <v>0</v>
      </c>
      <c r="T287" s="641">
        <f t="shared" si="34"/>
        <v>0</v>
      </c>
      <c r="U287" s="10"/>
      <c r="V287" s="10"/>
      <c r="W287" s="10"/>
      <c r="X287" s="10"/>
      <c r="Y287" s="10"/>
    </row>
    <row r="288" spans="1:25" s="4" customFormat="1" ht="22.15" customHeight="1">
      <c r="A288" s="351" t="s">
        <v>13</v>
      </c>
      <c r="B288" s="437" t="s">
        <v>364</v>
      </c>
      <c r="C288" s="438" t="s">
        <v>1</v>
      </c>
      <c r="D288" s="351" t="s">
        <v>15</v>
      </c>
      <c r="E288" s="362">
        <v>184.2138888888889</v>
      </c>
      <c r="F288" s="363"/>
      <c r="G288" s="353">
        <f t="shared" si="32"/>
        <v>0</v>
      </c>
      <c r="H288" s="363">
        <v>17.051307578347576</v>
      </c>
      <c r="I288" s="363">
        <v>64.554000000000002</v>
      </c>
      <c r="J288" s="363">
        <v>5.0177777777777779</v>
      </c>
      <c r="K288" s="363">
        <v>7.2519999999999998</v>
      </c>
      <c r="L288" s="353">
        <f>SUM(E288:K288)</f>
        <v>278.08897424501424</v>
      </c>
      <c r="M288" s="353">
        <v>55.617794849002848</v>
      </c>
      <c r="N288" s="349">
        <f>M288+L288</f>
        <v>333.70676909401709</v>
      </c>
      <c r="O288" s="441">
        <v>5.6666666666666661</v>
      </c>
      <c r="P288" s="441">
        <v>4.7222222222222214</v>
      </c>
      <c r="Q288" s="674">
        <v>0.94444444444444442</v>
      </c>
      <c r="R288" s="592">
        <v>9.4444444444444437E-4</v>
      </c>
      <c r="S288" s="641">
        <f t="shared" si="33"/>
        <v>10.011203072820512</v>
      </c>
      <c r="T288" s="641">
        <f t="shared" si="34"/>
        <v>5.5617794849002848</v>
      </c>
      <c r="U288" s="10"/>
      <c r="V288" s="10"/>
      <c r="W288" s="10"/>
      <c r="X288" s="10"/>
      <c r="Y288" s="10"/>
    </row>
    <row r="289" spans="1:25" s="4" customFormat="1" ht="22.15" customHeight="1">
      <c r="A289" s="361"/>
      <c r="B289" s="588"/>
      <c r="C289" s="596"/>
      <c r="D289" s="361"/>
      <c r="E289" s="362"/>
      <c r="F289" s="363"/>
      <c r="G289" s="353">
        <f t="shared" si="32"/>
        <v>0</v>
      </c>
      <c r="H289" s="363"/>
      <c r="I289" s="363"/>
      <c r="J289" s="363"/>
      <c r="K289" s="363"/>
      <c r="L289" s="353"/>
      <c r="M289" s="353"/>
      <c r="N289" s="349"/>
      <c r="O289" s="441"/>
      <c r="P289" s="441"/>
      <c r="Q289" s="674"/>
      <c r="R289" s="592"/>
      <c r="S289" s="641">
        <f t="shared" si="33"/>
        <v>0</v>
      </c>
      <c r="T289" s="641">
        <f t="shared" si="34"/>
        <v>0</v>
      </c>
      <c r="U289" s="10"/>
      <c r="V289" s="10"/>
      <c r="W289" s="10"/>
      <c r="X289" s="10"/>
      <c r="Y289" s="10"/>
    </row>
    <row r="290" spans="1:25" s="4" customFormat="1" ht="22.15" customHeight="1">
      <c r="A290" s="351" t="s">
        <v>14</v>
      </c>
      <c r="B290" s="437" t="s">
        <v>365</v>
      </c>
      <c r="C290" s="438" t="s">
        <v>1</v>
      </c>
      <c r="D290" s="351" t="s">
        <v>15</v>
      </c>
      <c r="E290" s="362">
        <v>368.42777777777781</v>
      </c>
      <c r="F290" s="363"/>
      <c r="G290" s="353">
        <f t="shared" si="32"/>
        <v>0</v>
      </c>
      <c r="H290" s="363">
        <v>3.6538516239316232</v>
      </c>
      <c r="I290" s="363">
        <v>13.833</v>
      </c>
      <c r="J290" s="363"/>
      <c r="K290" s="363"/>
      <c r="L290" s="353">
        <f>SUM(E290:K290)</f>
        <v>385.91462940170948</v>
      </c>
      <c r="M290" s="353">
        <v>77.182925880341898</v>
      </c>
      <c r="N290" s="349">
        <f>M290+L290</f>
        <v>463.09755528205136</v>
      </c>
      <c r="O290" s="441">
        <v>11.333333333333332</v>
      </c>
      <c r="P290" s="441">
        <v>9.4444444444444429</v>
      </c>
      <c r="Q290" s="442">
        <v>1.8888888888888888</v>
      </c>
      <c r="R290" s="592">
        <v>1.8888888888888887E-3</v>
      </c>
      <c r="S290" s="641">
        <f t="shared" si="33"/>
        <v>13.892926658461541</v>
      </c>
      <c r="T290" s="641">
        <f t="shared" si="34"/>
        <v>7.7182925880341893</v>
      </c>
      <c r="U290" s="10"/>
      <c r="V290" s="10"/>
      <c r="W290" s="10"/>
      <c r="X290" s="10"/>
      <c r="Y290" s="10"/>
    </row>
    <row r="291" spans="1:25" s="4" customFormat="1" ht="22.15" customHeight="1">
      <c r="A291" s="361"/>
      <c r="B291" s="588"/>
      <c r="C291" s="596"/>
      <c r="D291" s="361"/>
      <c r="E291" s="362"/>
      <c r="F291" s="363"/>
      <c r="G291" s="353">
        <f t="shared" si="32"/>
        <v>0</v>
      </c>
      <c r="H291" s="363"/>
      <c r="I291" s="363"/>
      <c r="J291" s="363"/>
      <c r="K291" s="363"/>
      <c r="L291" s="353"/>
      <c r="M291" s="353"/>
      <c r="N291" s="349"/>
      <c r="O291" s="441"/>
      <c r="P291" s="441"/>
      <c r="Q291" s="442"/>
      <c r="R291" s="592"/>
      <c r="S291" s="641">
        <f t="shared" si="33"/>
        <v>0</v>
      </c>
      <c r="T291" s="641">
        <f t="shared" si="34"/>
        <v>0</v>
      </c>
      <c r="U291" s="10"/>
      <c r="V291" s="10"/>
      <c r="W291" s="10"/>
      <c r="X291" s="10"/>
      <c r="Y291" s="10"/>
    </row>
    <row r="292" spans="1:25" s="4" customFormat="1" ht="22.15" customHeight="1">
      <c r="A292" s="361" t="s">
        <v>85</v>
      </c>
      <c r="B292" s="588" t="s">
        <v>366</v>
      </c>
      <c r="C292" s="596" t="s">
        <v>1</v>
      </c>
      <c r="D292" s="361" t="s">
        <v>15</v>
      </c>
      <c r="E292" s="362">
        <v>736.85555555555561</v>
      </c>
      <c r="F292" s="363"/>
      <c r="G292" s="353">
        <f t="shared" si="32"/>
        <v>0</v>
      </c>
      <c r="H292" s="363">
        <v>3.6538516239316232</v>
      </c>
      <c r="I292" s="363">
        <v>13.833</v>
      </c>
      <c r="J292" s="363"/>
      <c r="K292" s="363"/>
      <c r="L292" s="353">
        <f>SUM(E292:K292)</f>
        <v>754.34240717948717</v>
      </c>
      <c r="M292" s="353">
        <v>150.86848143589742</v>
      </c>
      <c r="N292" s="349">
        <f>M292+L292</f>
        <v>905.21088861538465</v>
      </c>
      <c r="O292" s="441">
        <v>22.666666666666664</v>
      </c>
      <c r="P292" s="441">
        <v>18.888888888888886</v>
      </c>
      <c r="Q292" s="442">
        <v>3.7777777777777777</v>
      </c>
      <c r="R292" s="592">
        <v>3.7777777777777775E-3</v>
      </c>
      <c r="S292" s="641">
        <f>N292*3%</f>
        <v>27.156326658461538</v>
      </c>
      <c r="T292" s="641">
        <f t="shared" si="34"/>
        <v>15.086848143589744</v>
      </c>
      <c r="U292" s="10"/>
      <c r="V292" s="10"/>
      <c r="W292" s="10"/>
      <c r="X292" s="10"/>
      <c r="Y292" s="10"/>
    </row>
    <row r="293" spans="1:25" s="4" customFormat="1" ht="22.15" customHeight="1">
      <c r="A293" s="377"/>
      <c r="B293" s="597"/>
      <c r="C293" s="598"/>
      <c r="D293" s="377"/>
      <c r="E293" s="378"/>
      <c r="F293" s="379"/>
      <c r="G293" s="379"/>
      <c r="H293" s="379"/>
      <c r="I293" s="379"/>
      <c r="J293" s="379"/>
      <c r="K293" s="379"/>
      <c r="L293" s="379"/>
      <c r="M293" s="379"/>
      <c r="N293" s="381"/>
      <c r="O293" s="599"/>
      <c r="P293" s="599"/>
      <c r="Q293" s="600"/>
      <c r="R293" s="601"/>
      <c r="S293" s="10"/>
      <c r="T293" s="10"/>
      <c r="U293" s="10"/>
      <c r="V293" s="10"/>
      <c r="W293" s="10"/>
      <c r="X293" s="10"/>
      <c r="Y293" s="10"/>
    </row>
    <row r="294" spans="1:25" s="4" customFormat="1" ht="6.6" customHeight="1">
      <c r="A294" s="675"/>
      <c r="B294" s="642"/>
      <c r="C294" s="642"/>
      <c r="D294" s="675"/>
      <c r="E294" s="636"/>
      <c r="F294" s="636"/>
      <c r="G294" s="635"/>
      <c r="H294" s="636"/>
      <c r="I294" s="636"/>
      <c r="J294" s="636"/>
      <c r="K294" s="636"/>
      <c r="L294" s="636"/>
      <c r="M294" s="636"/>
      <c r="N294" s="636"/>
      <c r="O294" s="606"/>
      <c r="P294" s="606"/>
      <c r="Q294" s="607"/>
      <c r="R294" s="608"/>
      <c r="S294" s="10"/>
      <c r="T294" s="10"/>
      <c r="U294" s="10"/>
      <c r="V294" s="10"/>
      <c r="W294" s="10"/>
      <c r="X294" s="10"/>
      <c r="Y294" s="10"/>
    </row>
    <row r="295" spans="1:25" s="4" customFormat="1" ht="22.15" customHeight="1">
      <c r="A295" s="682" t="s">
        <v>506</v>
      </c>
      <c r="B295" s="550" t="s">
        <v>507</v>
      </c>
      <c r="C295" s="550"/>
      <c r="D295" s="551"/>
      <c r="E295" s="550"/>
      <c r="F295" s="550"/>
      <c r="G295" s="550"/>
      <c r="H295" s="550"/>
      <c r="I295" s="550"/>
      <c r="J295" s="550"/>
      <c r="K295" s="550"/>
      <c r="L295" s="550"/>
      <c r="M295" s="550"/>
      <c r="N295" s="550"/>
      <c r="O295" s="552"/>
      <c r="P295" s="553"/>
      <c r="Q295" s="554"/>
      <c r="R295" s="555"/>
      <c r="S295" s="10"/>
      <c r="T295" s="10"/>
      <c r="U295" s="10"/>
      <c r="V295" s="10"/>
      <c r="W295" s="10"/>
      <c r="X295" s="10"/>
      <c r="Y295" s="10"/>
    </row>
    <row r="296" spans="1:25" s="4" customFormat="1" ht="22.15" customHeight="1">
      <c r="A296" s="978" t="s">
        <v>9</v>
      </c>
      <c r="B296" s="981" t="s">
        <v>390</v>
      </c>
      <c r="C296" s="984" t="s">
        <v>1</v>
      </c>
      <c r="D296" s="694">
        <v>1</v>
      </c>
      <c r="E296" s="356">
        <f t="shared" ref="E296:Q299" si="35">E257+E$288+E$290+E$292</f>
        <v>14351.056944444445</v>
      </c>
      <c r="F296" s="356">
        <f t="shared" si="35"/>
        <v>0</v>
      </c>
      <c r="G296" s="356">
        <f t="shared" si="35"/>
        <v>0</v>
      </c>
      <c r="H296" s="356">
        <f t="shared" si="35"/>
        <v>153.68685270655271</v>
      </c>
      <c r="I296" s="356">
        <f t="shared" si="35"/>
        <v>175.62</v>
      </c>
      <c r="J296" s="356">
        <f t="shared" si="35"/>
        <v>5.0177777777777779</v>
      </c>
      <c r="K296" s="356">
        <f t="shared" si="35"/>
        <v>7.2519999999999998</v>
      </c>
      <c r="L296" s="356">
        <f t="shared" si="35"/>
        <v>14692.633574928775</v>
      </c>
      <c r="M296" s="356">
        <f t="shared" si="35"/>
        <v>3602.2410931908835</v>
      </c>
      <c r="N296" s="556">
        <f t="shared" si="35"/>
        <v>18294.874668119657</v>
      </c>
      <c r="O296" s="356">
        <f t="shared" si="35"/>
        <v>363.69444444444446</v>
      </c>
      <c r="P296" s="556">
        <f t="shared" si="35"/>
        <v>292.27777777777783</v>
      </c>
      <c r="Q296" s="556">
        <f t="shared" si="35"/>
        <v>71.416666666666657</v>
      </c>
      <c r="R296" s="556"/>
      <c r="S296" s="556">
        <f t="shared" ref="S296:T299" si="36">S257+S$288+S$290+S$292</f>
        <v>714.77483459487178</v>
      </c>
      <c r="T296" s="556">
        <f t="shared" si="36"/>
        <v>559.33842278062673</v>
      </c>
      <c r="U296" s="10"/>
      <c r="V296" s="10"/>
      <c r="W296" s="10"/>
      <c r="X296" s="10"/>
      <c r="Y296" s="10"/>
    </row>
    <row r="297" spans="1:25" s="4" customFormat="1" ht="22.15" customHeight="1">
      <c r="A297" s="979"/>
      <c r="B297" s="982"/>
      <c r="C297" s="985"/>
      <c r="D297" s="695">
        <v>2</v>
      </c>
      <c r="E297" s="356">
        <f t="shared" si="35"/>
        <v>16965.608333333334</v>
      </c>
      <c r="F297" s="356">
        <f t="shared" si="35"/>
        <v>0</v>
      </c>
      <c r="G297" s="356">
        <f t="shared" si="35"/>
        <v>0</v>
      </c>
      <c r="H297" s="356">
        <f t="shared" si="35"/>
        <v>186.01881317663822</v>
      </c>
      <c r="I297" s="356">
        <f t="shared" si="35"/>
        <v>175.62</v>
      </c>
      <c r="J297" s="356">
        <f t="shared" si="35"/>
        <v>5.0177777777777779</v>
      </c>
      <c r="K297" s="356">
        <f t="shared" si="35"/>
        <v>7.2519999999999998</v>
      </c>
      <c r="L297" s="356">
        <f t="shared" si="35"/>
        <v>17339.516924287749</v>
      </c>
      <c r="M297" s="356">
        <f t="shared" si="35"/>
        <v>4263.9619305306269</v>
      </c>
      <c r="N297" s="556">
        <f t="shared" si="35"/>
        <v>21603.478854818375</v>
      </c>
      <c r="O297" s="356">
        <f t="shared" si="35"/>
        <v>428.55555555555554</v>
      </c>
      <c r="P297" s="556">
        <f t="shared" si="35"/>
        <v>344.16666666666663</v>
      </c>
      <c r="Q297" s="556">
        <f t="shared" si="35"/>
        <v>84.388888888888872</v>
      </c>
      <c r="R297" s="556"/>
      <c r="S297" s="556">
        <f t="shared" si="36"/>
        <v>847.11900206282053</v>
      </c>
      <c r="T297" s="556">
        <f t="shared" si="36"/>
        <v>665.21375675498564</v>
      </c>
      <c r="U297" s="10"/>
      <c r="V297" s="10"/>
      <c r="W297" s="10"/>
      <c r="X297" s="10"/>
      <c r="Y297" s="10"/>
    </row>
    <row r="298" spans="1:25" s="4" customFormat="1" ht="22.15" customHeight="1">
      <c r="A298" s="979"/>
      <c r="B298" s="982"/>
      <c r="C298" s="985"/>
      <c r="D298" s="695">
        <v>3</v>
      </c>
      <c r="E298" s="356">
        <f t="shared" si="35"/>
        <v>20100.830555555553</v>
      </c>
      <c r="F298" s="356">
        <f t="shared" si="35"/>
        <v>0</v>
      </c>
      <c r="G298" s="356">
        <f t="shared" si="35"/>
        <v>0</v>
      </c>
      <c r="H298" s="356">
        <f t="shared" si="35"/>
        <v>239.905413960114</v>
      </c>
      <c r="I298" s="356">
        <f t="shared" si="35"/>
        <v>175.62</v>
      </c>
      <c r="J298" s="356">
        <f t="shared" si="35"/>
        <v>5.0177777777777779</v>
      </c>
      <c r="K298" s="356">
        <f t="shared" si="35"/>
        <v>7.2519999999999998</v>
      </c>
      <c r="L298" s="356">
        <f t="shared" si="35"/>
        <v>20528.625747293445</v>
      </c>
      <c r="M298" s="356">
        <f t="shared" si="35"/>
        <v>5061.2391362820517</v>
      </c>
      <c r="N298" s="556">
        <f t="shared" si="35"/>
        <v>25589.864883575498</v>
      </c>
      <c r="O298" s="356">
        <f t="shared" si="35"/>
        <v>506.33333333333337</v>
      </c>
      <c r="P298" s="556">
        <f t="shared" si="35"/>
        <v>406.38888888888891</v>
      </c>
      <c r="Q298" s="556">
        <f t="shared" si="35"/>
        <v>99.944444444444443</v>
      </c>
      <c r="R298" s="556"/>
      <c r="S298" s="556">
        <f t="shared" si="36"/>
        <v>1006.5744432131055</v>
      </c>
      <c r="T298" s="556">
        <f t="shared" si="36"/>
        <v>792.77810967521361</v>
      </c>
      <c r="U298" s="10"/>
      <c r="V298" s="10"/>
      <c r="W298" s="10"/>
      <c r="X298" s="10"/>
      <c r="Y298" s="10"/>
    </row>
    <row r="299" spans="1:25" s="4" customFormat="1" ht="22.15" customHeight="1">
      <c r="A299" s="979"/>
      <c r="B299" s="982"/>
      <c r="C299" s="985"/>
      <c r="D299" s="698">
        <v>4</v>
      </c>
      <c r="E299" s="356">
        <f t="shared" si="35"/>
        <v>23863.097222222219</v>
      </c>
      <c r="F299" s="356">
        <f t="shared" si="35"/>
        <v>0</v>
      </c>
      <c r="G299" s="356">
        <f t="shared" si="35"/>
        <v>0</v>
      </c>
      <c r="H299" s="356">
        <f t="shared" si="35"/>
        <v>261.4600542735044</v>
      </c>
      <c r="I299" s="356">
        <f t="shared" si="35"/>
        <v>175.62</v>
      </c>
      <c r="J299" s="356">
        <f t="shared" si="35"/>
        <v>5.0177777777777779</v>
      </c>
      <c r="K299" s="356">
        <f t="shared" si="35"/>
        <v>7.2519999999999998</v>
      </c>
      <c r="L299" s="356">
        <f t="shared" si="35"/>
        <v>24312.4470542735</v>
      </c>
      <c r="M299" s="356">
        <f t="shared" si="35"/>
        <v>6007.1944630270655</v>
      </c>
      <c r="N299" s="556">
        <f t="shared" si="35"/>
        <v>30319.64151730057</v>
      </c>
      <c r="O299" s="356">
        <f t="shared" si="35"/>
        <v>599.66666666666663</v>
      </c>
      <c r="P299" s="556">
        <f t="shared" si="35"/>
        <v>481.05555555555554</v>
      </c>
      <c r="Q299" s="556">
        <f t="shared" si="35"/>
        <v>118.6111111111111</v>
      </c>
      <c r="R299" s="556"/>
      <c r="S299" s="556">
        <f t="shared" si="36"/>
        <v>1195.7655085621084</v>
      </c>
      <c r="T299" s="556">
        <f t="shared" si="36"/>
        <v>944.13096195441585</v>
      </c>
      <c r="U299" s="10"/>
      <c r="V299" s="10"/>
      <c r="W299" s="10"/>
      <c r="X299" s="10"/>
      <c r="Y299" s="10"/>
    </row>
    <row r="300" spans="1:25" s="4" customFormat="1" ht="6.6" customHeight="1">
      <c r="A300" s="993"/>
      <c r="B300" s="994"/>
      <c r="C300" s="995"/>
      <c r="D300" s="695"/>
      <c r="E300" s="352"/>
      <c r="F300" s="352"/>
      <c r="G300" s="352"/>
      <c r="H300" s="352"/>
      <c r="I300" s="352"/>
      <c r="J300" s="352"/>
      <c r="K300" s="352"/>
      <c r="L300" s="352"/>
      <c r="M300" s="352"/>
      <c r="N300" s="560"/>
      <c r="O300" s="352"/>
      <c r="P300" s="352"/>
      <c r="Q300" s="561"/>
      <c r="R300" s="562"/>
      <c r="S300" s="560"/>
      <c r="T300" s="560"/>
      <c r="U300" s="10"/>
      <c r="V300" s="10"/>
      <c r="W300" s="10"/>
      <c r="X300" s="10"/>
      <c r="Y300" s="10"/>
    </row>
    <row r="301" spans="1:25" s="4" customFormat="1" ht="22.15" customHeight="1">
      <c r="A301" s="978" t="s">
        <v>10</v>
      </c>
      <c r="B301" s="981" t="s">
        <v>391</v>
      </c>
      <c r="C301" s="984" t="s">
        <v>278</v>
      </c>
      <c r="D301" s="695">
        <v>1</v>
      </c>
      <c r="E301" s="353">
        <f t="shared" ref="E301:Q304" si="37">E262++E267+E275+E$283+E$286</f>
        <v>188642.57499999998</v>
      </c>
      <c r="F301" s="353">
        <f t="shared" si="37"/>
        <v>11536.8</v>
      </c>
      <c r="G301" s="353">
        <f t="shared" si="37"/>
        <v>0</v>
      </c>
      <c r="H301" s="353">
        <f t="shared" si="37"/>
        <v>1271.4199596089741</v>
      </c>
      <c r="I301" s="353">
        <f t="shared" si="37"/>
        <v>7439.588099999999</v>
      </c>
      <c r="J301" s="353">
        <f t="shared" si="37"/>
        <v>4652.2348000000002</v>
      </c>
      <c r="K301" s="353">
        <f t="shared" si="37"/>
        <v>539.7041999999999</v>
      </c>
      <c r="L301" s="353">
        <f t="shared" si="37"/>
        <v>214082.32205960897</v>
      </c>
      <c r="M301" s="353">
        <f t="shared" si="37"/>
        <v>52264.24072723429</v>
      </c>
      <c r="N301" s="349">
        <f t="shared" si="37"/>
        <v>266346.56278684322</v>
      </c>
      <c r="O301" s="353">
        <f t="shared" si="37"/>
        <v>4491.5</v>
      </c>
      <c r="P301" s="349">
        <f t="shared" si="37"/>
        <v>3610</v>
      </c>
      <c r="Q301" s="349">
        <f t="shared" si="37"/>
        <v>881.5</v>
      </c>
      <c r="R301" s="349"/>
      <c r="S301" s="349">
        <f>S262++S267+S275+S$283+S$286</f>
        <v>10352.340962433424</v>
      </c>
      <c r="T301" s="349">
        <f>T262++T267+T275+T$283+T$286</f>
        <v>8060.7569673171793</v>
      </c>
      <c r="U301" s="10"/>
      <c r="V301" s="10"/>
      <c r="W301" s="10"/>
      <c r="X301" s="10"/>
      <c r="Y301" s="10"/>
    </row>
    <row r="302" spans="1:25" s="4" customFormat="1" ht="22.15" customHeight="1">
      <c r="A302" s="979"/>
      <c r="B302" s="982"/>
      <c r="C302" s="985"/>
      <c r="D302" s="695">
        <v>2</v>
      </c>
      <c r="E302" s="353">
        <f t="shared" si="37"/>
        <v>223355.56375</v>
      </c>
      <c r="F302" s="353">
        <f t="shared" si="37"/>
        <v>13841.4</v>
      </c>
      <c r="G302" s="353">
        <f t="shared" si="37"/>
        <v>0</v>
      </c>
      <c r="H302" s="353">
        <f t="shared" si="37"/>
        <v>1543.1255828445508</v>
      </c>
      <c r="I302" s="353">
        <f t="shared" si="37"/>
        <v>7439.588099999999</v>
      </c>
      <c r="J302" s="353">
        <f t="shared" si="37"/>
        <v>5327.9263999999994</v>
      </c>
      <c r="K302" s="353">
        <f t="shared" si="37"/>
        <v>558.97379999999998</v>
      </c>
      <c r="L302" s="353">
        <f t="shared" si="37"/>
        <v>252066.57763284454</v>
      </c>
      <c r="M302" s="353">
        <f t="shared" si="37"/>
        <v>61708.319244459533</v>
      </c>
      <c r="N302" s="349">
        <f t="shared" si="37"/>
        <v>313774.89687730407</v>
      </c>
      <c r="O302" s="353">
        <f t="shared" si="37"/>
        <v>5302.2750000000005</v>
      </c>
      <c r="P302" s="349">
        <f t="shared" si="37"/>
        <v>4259.5</v>
      </c>
      <c r="Q302" s="349">
        <f t="shared" si="37"/>
        <v>1042.7750000000001</v>
      </c>
      <c r="R302" s="349"/>
      <c r="S302" s="359" t="e">
        <f>S263+S268+#REF!+#REF!+S276+S$283+S$286</f>
        <v>#REF!</v>
      </c>
      <c r="T302" s="359" t="e">
        <f>T263+T268+#REF!+#REF!+T276+T$283+T$286</f>
        <v>#REF!</v>
      </c>
      <c r="U302" s="10"/>
      <c r="V302" s="10"/>
      <c r="W302" s="10"/>
      <c r="X302" s="10"/>
      <c r="Y302" s="10"/>
    </row>
    <row r="303" spans="1:25" s="4" customFormat="1" ht="22.15" customHeight="1">
      <c r="A303" s="979"/>
      <c r="B303" s="982"/>
      <c r="C303" s="985"/>
      <c r="D303" s="695">
        <v>3</v>
      </c>
      <c r="E303" s="353">
        <f t="shared" si="37"/>
        <v>268494.89125000004</v>
      </c>
      <c r="F303" s="353">
        <f t="shared" si="37"/>
        <v>16601.400000000001</v>
      </c>
      <c r="G303" s="353">
        <f t="shared" si="37"/>
        <v>0</v>
      </c>
      <c r="H303" s="353">
        <f t="shared" si="37"/>
        <v>1995.968288237179</v>
      </c>
      <c r="I303" s="353">
        <f t="shared" si="37"/>
        <v>7439.588099999999</v>
      </c>
      <c r="J303" s="353">
        <f t="shared" si="37"/>
        <v>7025.6679999999997</v>
      </c>
      <c r="K303" s="353">
        <f t="shared" si="37"/>
        <v>609.16800000000001</v>
      </c>
      <c r="L303" s="353">
        <f t="shared" si="37"/>
        <v>302166.68363823718</v>
      </c>
      <c r="M303" s="353">
        <f t="shared" si="37"/>
        <v>74107.12908900161</v>
      </c>
      <c r="N303" s="349">
        <f t="shared" si="37"/>
        <v>376273.81272723881</v>
      </c>
      <c r="O303" s="353">
        <f t="shared" si="37"/>
        <v>6360.8250000000007</v>
      </c>
      <c r="P303" s="349">
        <f t="shared" si="37"/>
        <v>5108.5000000000009</v>
      </c>
      <c r="Q303" s="349">
        <f t="shared" si="37"/>
        <v>1252.3250000000003</v>
      </c>
      <c r="R303" s="349"/>
      <c r="S303" s="359" t="e">
        <f>S264+S269+#REF!+#REF!+S277+S$283+S$286</f>
        <v>#REF!</v>
      </c>
      <c r="T303" s="359" t="e">
        <f>T264+T269+#REF!+#REF!+T277+T$283+T$286</f>
        <v>#REF!</v>
      </c>
      <c r="U303" s="10"/>
      <c r="V303" s="10"/>
      <c r="W303" s="10"/>
      <c r="X303" s="10"/>
      <c r="Y303" s="10"/>
    </row>
    <row r="304" spans="1:25" s="4" customFormat="1" ht="22.15" customHeight="1">
      <c r="A304" s="980"/>
      <c r="B304" s="983"/>
      <c r="C304" s="986"/>
      <c r="D304" s="697">
        <v>4</v>
      </c>
      <c r="E304" s="379">
        <f t="shared" si="37"/>
        <v>317320.53625</v>
      </c>
      <c r="F304" s="379">
        <f t="shared" si="37"/>
        <v>19927.2</v>
      </c>
      <c r="G304" s="379">
        <f t="shared" si="37"/>
        <v>0</v>
      </c>
      <c r="H304" s="379">
        <f t="shared" si="37"/>
        <v>2177.1053703942307</v>
      </c>
      <c r="I304" s="379">
        <f t="shared" si="37"/>
        <v>7439.588099999999</v>
      </c>
      <c r="J304" s="379">
        <f t="shared" si="37"/>
        <v>7714.4179999999997</v>
      </c>
      <c r="K304" s="379">
        <f t="shared" si="37"/>
        <v>628.28219999999999</v>
      </c>
      <c r="L304" s="379">
        <f t="shared" si="37"/>
        <v>355207.12992039416</v>
      </c>
      <c r="M304" s="379">
        <f t="shared" si="37"/>
        <v>87315.911808818419</v>
      </c>
      <c r="N304" s="381">
        <f t="shared" si="37"/>
        <v>442523.04172921262</v>
      </c>
      <c r="O304" s="379">
        <f t="shared" si="37"/>
        <v>7499.7250000000004</v>
      </c>
      <c r="P304" s="381">
        <f t="shared" si="37"/>
        <v>6020.5</v>
      </c>
      <c r="Q304" s="381">
        <f t="shared" si="37"/>
        <v>1479.2249999999999</v>
      </c>
      <c r="R304" s="381"/>
      <c r="S304" s="676" t="e">
        <f>S265+S270+#REF!+#REF!+S278+S$283+S$286</f>
        <v>#REF!</v>
      </c>
      <c r="T304" s="676" t="e">
        <f>T265+T270+#REF!+#REF!+T278+T$283+T$286</f>
        <v>#REF!</v>
      </c>
      <c r="U304" s="10"/>
      <c r="V304" s="10"/>
      <c r="W304" s="10"/>
      <c r="X304" s="10"/>
      <c r="Y304" s="10"/>
    </row>
    <row r="305" spans="1:25" s="4" customFormat="1" ht="22.15" customHeight="1">
      <c r="A305" s="635"/>
      <c r="B305" s="635"/>
      <c r="C305" s="635"/>
      <c r="D305" s="413"/>
      <c r="E305" s="636"/>
      <c r="F305" s="636"/>
      <c r="G305" s="636"/>
      <c r="H305" s="636"/>
      <c r="I305" s="636"/>
      <c r="J305" s="636"/>
      <c r="K305" s="636"/>
      <c r="L305" s="636"/>
      <c r="M305" s="636"/>
      <c r="N305" s="636"/>
      <c r="O305" s="606"/>
      <c r="P305" s="606"/>
      <c r="Q305" s="607"/>
      <c r="R305" s="608"/>
      <c r="S305" s="10"/>
      <c r="T305" s="10"/>
      <c r="U305" s="10"/>
      <c r="V305" s="10"/>
      <c r="W305" s="10"/>
      <c r="X305" s="10"/>
      <c r="Y305" s="10"/>
    </row>
    <row r="306" spans="1:25" s="4" customFormat="1" ht="22.15" customHeight="1">
      <c r="A306" s="635"/>
      <c r="B306" s="635"/>
      <c r="C306" s="635"/>
      <c r="D306" s="413"/>
      <c r="E306" s="636"/>
      <c r="F306" s="636"/>
      <c r="G306" s="636"/>
      <c r="H306" s="636"/>
      <c r="I306" s="636"/>
      <c r="J306" s="636"/>
      <c r="K306" s="636"/>
      <c r="L306" s="636"/>
      <c r="M306" s="636"/>
      <c r="N306" s="636"/>
      <c r="O306" s="606"/>
      <c r="P306" s="606"/>
      <c r="Q306" s="607"/>
      <c r="R306" s="608"/>
      <c r="S306" s="10"/>
      <c r="T306" s="10"/>
      <c r="U306" s="10"/>
      <c r="V306" s="10"/>
      <c r="W306" s="10"/>
      <c r="X306" s="10"/>
      <c r="Y306" s="10"/>
    </row>
    <row r="307" spans="1:25" s="4" customFormat="1" ht="22.15" customHeight="1">
      <c r="A307" s="635"/>
      <c r="B307" s="635"/>
      <c r="C307" s="635"/>
      <c r="D307" s="413"/>
      <c r="E307" s="636"/>
      <c r="F307" s="636"/>
      <c r="G307" s="636"/>
      <c r="H307" s="636"/>
      <c r="I307" s="636"/>
      <c r="J307" s="636"/>
      <c r="K307" s="636"/>
      <c r="L307" s="636"/>
      <c r="M307" s="636"/>
      <c r="N307" s="636"/>
      <c r="O307" s="606"/>
      <c r="P307" s="606"/>
      <c r="Q307" s="607"/>
      <c r="R307" s="608"/>
      <c r="S307" s="10"/>
      <c r="T307" s="10"/>
      <c r="U307" s="10"/>
      <c r="V307" s="10"/>
      <c r="W307" s="10"/>
      <c r="X307" s="10"/>
      <c r="Y307" s="10"/>
    </row>
    <row r="308" spans="1:25" s="4" customFormat="1" ht="22.15" customHeight="1">
      <c r="A308" s="677"/>
      <c r="B308" s="678"/>
      <c r="C308" s="678"/>
      <c r="D308" s="677"/>
      <c r="E308" s="679"/>
      <c r="F308" s="679"/>
      <c r="G308" s="679"/>
      <c r="H308" s="679"/>
      <c r="I308" s="679"/>
      <c r="J308" s="679"/>
      <c r="K308" s="679"/>
      <c r="L308" s="679"/>
      <c r="M308" s="679"/>
      <c r="N308" s="679"/>
      <c r="O308" s="570"/>
      <c r="P308" s="570"/>
      <c r="Q308" s="570"/>
      <c r="R308" s="571"/>
      <c r="S308" s="10"/>
      <c r="T308" s="10"/>
      <c r="U308" s="10"/>
      <c r="V308" s="10"/>
      <c r="W308" s="10"/>
      <c r="X308" s="10"/>
      <c r="Y308" s="10"/>
    </row>
    <row r="309" spans="1:25" s="4" customFormat="1" ht="39" customHeight="1">
      <c r="A309" s="999" t="s">
        <v>493</v>
      </c>
      <c r="B309" s="999"/>
      <c r="C309" s="999"/>
      <c r="D309" s="999"/>
      <c r="E309" s="999"/>
      <c r="F309" s="999"/>
      <c r="G309" s="999"/>
      <c r="H309" s="999"/>
      <c r="I309" s="999"/>
      <c r="J309" s="999"/>
      <c r="K309" s="999"/>
      <c r="L309" s="999"/>
      <c r="M309" s="999"/>
      <c r="N309" s="999"/>
      <c r="O309" s="999"/>
      <c r="P309" s="632"/>
      <c r="Q309" s="630"/>
      <c r="R309" s="631"/>
      <c r="S309" s="10"/>
      <c r="T309" s="10"/>
      <c r="U309" s="10"/>
      <c r="V309" s="10"/>
      <c r="W309" s="10"/>
      <c r="X309" s="10"/>
      <c r="Y309" s="10"/>
    </row>
    <row r="310" spans="1:25" s="4" customFormat="1" ht="16.5" customHeight="1">
      <c r="A310" s="573"/>
      <c r="B310" s="574"/>
      <c r="C310" s="575"/>
      <c r="D310" s="576"/>
      <c r="E310" s="577"/>
      <c r="F310" s="577"/>
      <c r="G310" s="577"/>
      <c r="H310" s="577"/>
      <c r="I310" s="577"/>
      <c r="J310" s="577"/>
      <c r="K310" s="577"/>
      <c r="L310" s="577"/>
      <c r="M310" s="578"/>
      <c r="N310" s="1000" t="s">
        <v>428</v>
      </c>
      <c r="O310" s="1000"/>
      <c r="P310" s="569"/>
      <c r="Q310" s="638"/>
      <c r="R310" s="639"/>
      <c r="S310" s="10"/>
      <c r="T310" s="10"/>
      <c r="U310" s="10"/>
      <c r="V310" s="10"/>
      <c r="W310" s="10"/>
      <c r="X310" s="10"/>
      <c r="Y310" s="10"/>
    </row>
    <row r="311" spans="1:25" s="4" customFormat="1" ht="30" customHeight="1">
      <c r="A311" s="987" t="s">
        <v>376</v>
      </c>
      <c r="B311" s="989" t="s">
        <v>377</v>
      </c>
      <c r="C311" s="991" t="s">
        <v>378</v>
      </c>
      <c r="D311" s="987" t="s">
        <v>91</v>
      </c>
      <c r="E311" s="996" t="s">
        <v>368</v>
      </c>
      <c r="F311" s="997"/>
      <c r="G311" s="997"/>
      <c r="H311" s="997"/>
      <c r="I311" s="997"/>
      <c r="J311" s="997"/>
      <c r="K311" s="997"/>
      <c r="L311" s="998"/>
      <c r="M311" s="991" t="s">
        <v>427</v>
      </c>
      <c r="N311" s="991" t="s">
        <v>379</v>
      </c>
      <c r="O311" s="579" t="s">
        <v>18</v>
      </c>
      <c r="P311" s="787" t="s">
        <v>19</v>
      </c>
      <c r="Q311" s="580" t="s">
        <v>19</v>
      </c>
      <c r="R311" s="581" t="s">
        <v>16</v>
      </c>
      <c r="S311" s="10"/>
      <c r="T311" s="10"/>
      <c r="U311" s="10"/>
      <c r="V311" s="10"/>
      <c r="W311" s="10"/>
      <c r="X311" s="10"/>
      <c r="Y311" s="10"/>
    </row>
    <row r="312" spans="1:25" s="4" customFormat="1" ht="26.25" customHeight="1">
      <c r="A312" s="988"/>
      <c r="B312" s="990"/>
      <c r="C312" s="992"/>
      <c r="D312" s="988"/>
      <c r="E312" s="582" t="s">
        <v>369</v>
      </c>
      <c r="F312" s="564" t="s">
        <v>370</v>
      </c>
      <c r="G312" s="583">
        <v>0</v>
      </c>
      <c r="H312" s="564" t="s">
        <v>257</v>
      </c>
      <c r="I312" s="564" t="s">
        <v>280</v>
      </c>
      <c r="J312" s="564" t="s">
        <v>261</v>
      </c>
      <c r="K312" s="564" t="s">
        <v>371</v>
      </c>
      <c r="L312" s="564" t="s">
        <v>372</v>
      </c>
      <c r="M312" s="992"/>
      <c r="N312" s="992"/>
      <c r="O312" s="563" t="s">
        <v>20</v>
      </c>
      <c r="P312" s="788" t="s">
        <v>21</v>
      </c>
      <c r="Q312" s="584" t="s">
        <v>22</v>
      </c>
      <c r="R312" s="585" t="s">
        <v>17</v>
      </c>
      <c r="S312" s="10"/>
      <c r="T312" s="10"/>
      <c r="U312" s="10"/>
      <c r="V312" s="10"/>
      <c r="W312" s="10"/>
      <c r="X312" s="10"/>
      <c r="Y312" s="10"/>
    </row>
    <row r="313" spans="1:25" s="4" customFormat="1" ht="14.25" customHeight="1">
      <c r="A313" s="331" t="s">
        <v>52</v>
      </c>
      <c r="B313" s="586" t="s">
        <v>53</v>
      </c>
      <c r="C313" s="586" t="s">
        <v>54</v>
      </c>
      <c r="D313" s="331" t="s">
        <v>55</v>
      </c>
      <c r="E313" s="332" t="s">
        <v>56</v>
      </c>
      <c r="F313" s="332" t="s">
        <v>57</v>
      </c>
      <c r="G313" s="332"/>
      <c r="H313" s="332" t="s">
        <v>58</v>
      </c>
      <c r="I313" s="332" t="s">
        <v>59</v>
      </c>
      <c r="J313" s="332" t="s">
        <v>60</v>
      </c>
      <c r="K313" s="332" t="s">
        <v>61</v>
      </c>
      <c r="L313" s="334" t="s">
        <v>373</v>
      </c>
      <c r="M313" s="334" t="s">
        <v>374</v>
      </c>
      <c r="N313" s="334" t="s">
        <v>375</v>
      </c>
      <c r="O313" s="332" t="s">
        <v>62</v>
      </c>
      <c r="P313" s="48"/>
      <c r="Q313" s="48"/>
      <c r="R313" s="49"/>
      <c r="S313" s="10"/>
      <c r="T313" s="10"/>
      <c r="U313" s="10"/>
      <c r="V313" s="10"/>
      <c r="W313" s="10"/>
      <c r="X313" s="10"/>
      <c r="Y313" s="10"/>
    </row>
    <row r="314" spans="1:25" s="4" customFormat="1" ht="22.15" customHeight="1">
      <c r="A314" s="551" t="s">
        <v>3</v>
      </c>
      <c r="B314" s="550" t="s">
        <v>380</v>
      </c>
      <c r="C314" s="587"/>
      <c r="D314" s="344"/>
      <c r="E314" s="345"/>
      <c r="F314" s="345"/>
      <c r="G314" s="345"/>
      <c r="H314" s="345"/>
      <c r="I314" s="345"/>
      <c r="J314" s="345"/>
      <c r="K314" s="345"/>
      <c r="L314" s="345"/>
      <c r="M314" s="345"/>
      <c r="N314" s="345"/>
      <c r="O314" s="347"/>
      <c r="P314" s="407"/>
      <c r="Q314" s="408"/>
      <c r="R314" s="409"/>
      <c r="S314" s="10"/>
      <c r="T314" s="10"/>
      <c r="U314" s="10"/>
      <c r="V314" s="10"/>
      <c r="W314" s="10"/>
      <c r="X314" s="10"/>
      <c r="Y314" s="10"/>
    </row>
    <row r="315" spans="1:25" s="4" customFormat="1" ht="22.15" customHeight="1">
      <c r="A315" s="351" t="s">
        <v>9</v>
      </c>
      <c r="B315" s="437" t="s">
        <v>73</v>
      </c>
      <c r="C315" s="438" t="s">
        <v>1</v>
      </c>
      <c r="D315" s="351" t="s">
        <v>9</v>
      </c>
      <c r="E315" s="352">
        <v>4898.7847222222226</v>
      </c>
      <c r="F315" s="353"/>
      <c r="G315" s="353">
        <f t="shared" ref="G315:G330" si="38">$Q$1*10*P315</f>
        <v>0</v>
      </c>
      <c r="H315" s="353">
        <v>48.497940705128194</v>
      </c>
      <c r="I315" s="353">
        <v>20.85</v>
      </c>
      <c r="J315" s="353"/>
      <c r="K315" s="353"/>
      <c r="L315" s="353">
        <f>SUM(E315:K315)</f>
        <v>4968.1326629273508</v>
      </c>
      <c r="M315" s="353">
        <v>1242.0331657318377</v>
      </c>
      <c r="N315" s="349">
        <f>M315+L315</f>
        <v>6210.1658286591883</v>
      </c>
      <c r="O315" s="441">
        <v>121.52777777777779</v>
      </c>
      <c r="P315" s="441">
        <v>97.222222222222229</v>
      </c>
      <c r="Q315" s="442">
        <v>24.305555555555557</v>
      </c>
      <c r="R315" s="443">
        <v>1.9444444444444445E-2</v>
      </c>
      <c r="S315" s="641">
        <f>N315*4%</f>
        <v>248.40663314636754</v>
      </c>
      <c r="T315" s="10">
        <f>L315*4%</f>
        <v>198.72530651709403</v>
      </c>
      <c r="U315" s="10"/>
      <c r="V315" s="10"/>
      <c r="W315" s="10"/>
      <c r="X315" s="10"/>
      <c r="Y315" s="10"/>
    </row>
    <row r="316" spans="1:25" s="4" customFormat="1" ht="22.15" customHeight="1">
      <c r="A316" s="437"/>
      <c r="B316" s="636"/>
      <c r="C316" s="438"/>
      <c r="D316" s="351" t="s">
        <v>10</v>
      </c>
      <c r="E316" s="352">
        <v>5878.541666666667</v>
      </c>
      <c r="F316" s="353"/>
      <c r="G316" s="353">
        <f t="shared" si="38"/>
        <v>0</v>
      </c>
      <c r="H316" s="353">
        <v>60.622425881410251</v>
      </c>
      <c r="I316" s="353">
        <f>I315</f>
        <v>20.85</v>
      </c>
      <c r="J316" s="353"/>
      <c r="K316" s="353"/>
      <c r="L316" s="353">
        <f>SUM(E316:K316)</f>
        <v>5960.0140925480773</v>
      </c>
      <c r="M316" s="353">
        <v>1490.0035231370193</v>
      </c>
      <c r="N316" s="349">
        <f>M316+L316</f>
        <v>7450.0176156850966</v>
      </c>
      <c r="O316" s="441">
        <v>145.83333333333334</v>
      </c>
      <c r="P316" s="441">
        <v>116.66666666666667</v>
      </c>
      <c r="Q316" s="442">
        <v>29.166666666666668</v>
      </c>
      <c r="R316" s="443">
        <v>2.3333333333333334E-2</v>
      </c>
      <c r="S316" s="641">
        <f t="shared" ref="S316:S328" si="39">N316*4%</f>
        <v>298.00070462740388</v>
      </c>
      <c r="T316" s="10">
        <f t="shared" ref="T316:T328" si="40">L316*4%</f>
        <v>238.40056370192309</v>
      </c>
      <c r="U316" s="10"/>
      <c r="V316" s="10"/>
      <c r="W316" s="10"/>
      <c r="X316" s="10"/>
      <c r="Y316" s="10"/>
    </row>
    <row r="317" spans="1:25" s="4" customFormat="1" ht="22.15" customHeight="1">
      <c r="A317" s="351"/>
      <c r="B317" s="437"/>
      <c r="C317" s="438"/>
      <c r="D317" s="351" t="s">
        <v>11</v>
      </c>
      <c r="E317" s="352">
        <v>7054.25</v>
      </c>
      <c r="F317" s="353"/>
      <c r="G317" s="353">
        <f t="shared" si="38"/>
        <v>0</v>
      </c>
      <c r="H317" s="353">
        <v>80.829901175213664</v>
      </c>
      <c r="I317" s="353">
        <f>I316</f>
        <v>20.85</v>
      </c>
      <c r="J317" s="353"/>
      <c r="K317" s="353"/>
      <c r="L317" s="353">
        <f>SUM(E317:K317)</f>
        <v>7155.9299011752137</v>
      </c>
      <c r="M317" s="353">
        <v>1788.9824752938034</v>
      </c>
      <c r="N317" s="349">
        <f>M317+L317</f>
        <v>8944.9123764690175</v>
      </c>
      <c r="O317" s="441">
        <v>175</v>
      </c>
      <c r="P317" s="441">
        <v>140</v>
      </c>
      <c r="Q317" s="442">
        <v>35</v>
      </c>
      <c r="R317" s="443">
        <v>2.8000000000000001E-2</v>
      </c>
      <c r="S317" s="641">
        <f t="shared" si="39"/>
        <v>357.79649505876068</v>
      </c>
      <c r="T317" s="10">
        <f t="shared" si="40"/>
        <v>286.23719604700858</v>
      </c>
      <c r="U317" s="10"/>
      <c r="V317" s="10"/>
      <c r="W317" s="10"/>
      <c r="X317" s="10"/>
      <c r="Y317" s="10"/>
    </row>
    <row r="318" spans="1:25" s="4" customFormat="1" ht="22.15" customHeight="1">
      <c r="A318" s="351"/>
      <c r="B318" s="437"/>
      <c r="C318" s="438"/>
      <c r="D318" s="351" t="s">
        <v>12</v>
      </c>
      <c r="E318" s="352">
        <v>8465.1</v>
      </c>
      <c r="F318" s="353"/>
      <c r="G318" s="353">
        <f t="shared" si="38"/>
        <v>0</v>
      </c>
      <c r="H318" s="353">
        <v>88.91289129273504</v>
      </c>
      <c r="I318" s="353">
        <f>I317</f>
        <v>20.85</v>
      </c>
      <c r="J318" s="353"/>
      <c r="K318" s="353"/>
      <c r="L318" s="353">
        <f>SUM(E318:K318)</f>
        <v>8574.8628912927361</v>
      </c>
      <c r="M318" s="353">
        <v>2143.715722823184</v>
      </c>
      <c r="N318" s="349">
        <f>M318+L318</f>
        <v>10718.578614115921</v>
      </c>
      <c r="O318" s="441">
        <v>210</v>
      </c>
      <c r="P318" s="441">
        <v>168</v>
      </c>
      <c r="Q318" s="442">
        <v>42</v>
      </c>
      <c r="R318" s="443">
        <v>3.3599999999999998E-2</v>
      </c>
      <c r="S318" s="641">
        <f t="shared" si="39"/>
        <v>428.74314456463685</v>
      </c>
      <c r="T318" s="10">
        <f t="shared" si="40"/>
        <v>342.99451565170943</v>
      </c>
      <c r="U318" s="10"/>
      <c r="V318" s="10"/>
      <c r="W318" s="10"/>
      <c r="X318" s="10"/>
      <c r="Y318" s="10"/>
    </row>
    <row r="319" spans="1:25" s="4" customFormat="1" ht="22.15" customHeight="1">
      <c r="A319" s="351"/>
      <c r="B319" s="437"/>
      <c r="C319" s="642"/>
      <c r="D319" s="351"/>
      <c r="E319" s="352"/>
      <c r="F319" s="353"/>
      <c r="G319" s="353">
        <f t="shared" si="38"/>
        <v>0</v>
      </c>
      <c r="H319" s="353"/>
      <c r="I319" s="353"/>
      <c r="J319" s="353"/>
      <c r="K319" s="353"/>
      <c r="L319" s="353"/>
      <c r="M319" s="353"/>
      <c r="N319" s="349"/>
      <c r="O319" s="441"/>
      <c r="P319" s="441"/>
      <c r="Q319" s="442"/>
      <c r="R319" s="443"/>
      <c r="S319" s="641">
        <f t="shared" si="39"/>
        <v>0</v>
      </c>
      <c r="T319" s="10">
        <f t="shared" si="40"/>
        <v>0</v>
      </c>
      <c r="U319" s="10"/>
      <c r="V319" s="10"/>
      <c r="W319" s="10"/>
      <c r="X319" s="10"/>
      <c r="Y319" s="10"/>
    </row>
    <row r="320" spans="1:25" s="4" customFormat="1" ht="22.15" customHeight="1">
      <c r="A320" s="351" t="s">
        <v>10</v>
      </c>
      <c r="B320" s="437" t="s">
        <v>381</v>
      </c>
      <c r="C320" s="438" t="s">
        <v>278</v>
      </c>
      <c r="D320" s="351" t="s">
        <v>9</v>
      </c>
      <c r="E320" s="352">
        <v>21773.812500000004</v>
      </c>
      <c r="F320" s="353"/>
      <c r="G320" s="353">
        <f t="shared" si="38"/>
        <v>0</v>
      </c>
      <c r="H320" s="353">
        <v>128.9132451923077</v>
      </c>
      <c r="I320" s="353">
        <v>70.113600000000005</v>
      </c>
      <c r="J320" s="353">
        <v>497.92</v>
      </c>
      <c r="K320" s="353">
        <v>2.4864000000000002</v>
      </c>
      <c r="L320" s="353">
        <f>SUM(E320:K320)</f>
        <v>22473.245745192311</v>
      </c>
      <c r="M320" s="353">
        <v>5618.3114362980778</v>
      </c>
      <c r="N320" s="349">
        <f>M320+L320</f>
        <v>28091.557181490389</v>
      </c>
      <c r="O320" s="441">
        <v>506.25000000000011</v>
      </c>
      <c r="P320" s="441">
        <v>405.00000000000006</v>
      </c>
      <c r="Q320" s="442">
        <v>101.25000000000001</v>
      </c>
      <c r="R320" s="443">
        <v>8.1000000000000016E-2</v>
      </c>
      <c r="S320" s="641">
        <f t="shared" si="39"/>
        <v>1123.6622872596156</v>
      </c>
      <c r="T320" s="10">
        <f t="shared" si="40"/>
        <v>898.9298298076925</v>
      </c>
      <c r="U320" s="10"/>
      <c r="V320" s="10"/>
      <c r="W320" s="10"/>
      <c r="X320" s="10"/>
      <c r="Y320" s="10"/>
    </row>
    <row r="321" spans="1:25" s="4" customFormat="1" ht="22.15" customHeight="1">
      <c r="A321" s="437"/>
      <c r="B321" s="636"/>
      <c r="C321" s="438"/>
      <c r="D321" s="351" t="s">
        <v>10</v>
      </c>
      <c r="E321" s="352">
        <v>24999.562500000004</v>
      </c>
      <c r="F321" s="353"/>
      <c r="G321" s="353">
        <f t="shared" si="38"/>
        <v>0</v>
      </c>
      <c r="H321" s="353">
        <v>161.14155649038463</v>
      </c>
      <c r="I321" s="353">
        <f>I320</f>
        <v>70.113600000000005</v>
      </c>
      <c r="J321" s="353">
        <v>565.91999999999996</v>
      </c>
      <c r="K321" s="353">
        <v>3.1080000000000001</v>
      </c>
      <c r="L321" s="353">
        <f>SUM(E321:K321)</f>
        <v>25799.845656490386</v>
      </c>
      <c r="M321" s="353">
        <v>6449.9614141225966</v>
      </c>
      <c r="N321" s="349">
        <f>M321+L321</f>
        <v>32249.807070612984</v>
      </c>
      <c r="O321" s="441">
        <v>581.25000000000011</v>
      </c>
      <c r="P321" s="441">
        <v>465.00000000000006</v>
      </c>
      <c r="Q321" s="442">
        <v>116.25000000000001</v>
      </c>
      <c r="R321" s="443">
        <v>9.3000000000000013E-2</v>
      </c>
      <c r="S321" s="641">
        <f t="shared" si="39"/>
        <v>1289.9922828245194</v>
      </c>
      <c r="T321" s="10">
        <f t="shared" si="40"/>
        <v>1031.9938262596154</v>
      </c>
      <c r="U321" s="10"/>
      <c r="V321" s="10"/>
      <c r="W321" s="10"/>
      <c r="X321" s="10"/>
      <c r="Y321" s="10"/>
    </row>
    <row r="322" spans="1:25" s="4" customFormat="1" ht="22.15" customHeight="1">
      <c r="A322" s="351"/>
      <c r="B322" s="437"/>
      <c r="C322" s="438"/>
      <c r="D322" s="351" t="s">
        <v>11</v>
      </c>
      <c r="E322" s="352">
        <v>33332.75</v>
      </c>
      <c r="F322" s="353"/>
      <c r="G322" s="353">
        <f t="shared" si="38"/>
        <v>0</v>
      </c>
      <c r="H322" s="353">
        <v>214.85540865384618</v>
      </c>
      <c r="I322" s="353">
        <f>I321</f>
        <v>70.113600000000005</v>
      </c>
      <c r="J322" s="353">
        <v>746.88</v>
      </c>
      <c r="K322" s="353">
        <v>3.5742000000000003</v>
      </c>
      <c r="L322" s="353">
        <f>SUM(E322:K322)</f>
        <v>34368.173208653847</v>
      </c>
      <c r="M322" s="353">
        <v>8592.0433021634617</v>
      </c>
      <c r="N322" s="349">
        <f>M322+L322</f>
        <v>42960.216510817307</v>
      </c>
      <c r="O322" s="441">
        <v>775</v>
      </c>
      <c r="P322" s="441">
        <v>620</v>
      </c>
      <c r="Q322" s="442">
        <v>155</v>
      </c>
      <c r="R322" s="443">
        <v>0.124</v>
      </c>
      <c r="S322" s="641">
        <f t="shared" si="39"/>
        <v>1718.4086604326924</v>
      </c>
      <c r="T322" s="10">
        <f t="shared" si="40"/>
        <v>1374.726928346154</v>
      </c>
      <c r="U322" s="10"/>
      <c r="V322" s="10"/>
      <c r="W322" s="10"/>
      <c r="X322" s="10"/>
      <c r="Y322" s="10"/>
    </row>
    <row r="323" spans="1:25" s="4" customFormat="1" ht="22.15" customHeight="1">
      <c r="A323" s="351"/>
      <c r="B323" s="437"/>
      <c r="C323" s="438"/>
      <c r="D323" s="351" t="s">
        <v>12</v>
      </c>
      <c r="E323" s="352">
        <v>36558.500000000007</v>
      </c>
      <c r="F323" s="353"/>
      <c r="G323" s="353">
        <f t="shared" si="38"/>
        <v>0</v>
      </c>
      <c r="H323" s="353">
        <v>236.34094951923083</v>
      </c>
      <c r="I323" s="353">
        <f>I322</f>
        <v>70.113600000000005</v>
      </c>
      <c r="J323" s="353">
        <v>828.24</v>
      </c>
      <c r="K323" s="353">
        <v>4.1958000000000002</v>
      </c>
      <c r="L323" s="353">
        <f>SUM(E323:K323)</f>
        <v>37697.390349519235</v>
      </c>
      <c r="M323" s="353">
        <v>9424.3475873798088</v>
      </c>
      <c r="N323" s="349">
        <f>M323+L323</f>
        <v>47121.737936899044</v>
      </c>
      <c r="O323" s="441">
        <v>850.00000000000011</v>
      </c>
      <c r="P323" s="441">
        <v>680</v>
      </c>
      <c r="Q323" s="442">
        <v>170</v>
      </c>
      <c r="R323" s="443">
        <v>0.13600000000000001</v>
      </c>
      <c r="S323" s="641">
        <f t="shared" si="39"/>
        <v>1884.8695174759619</v>
      </c>
      <c r="T323" s="10">
        <f t="shared" si="40"/>
        <v>1507.8956139807694</v>
      </c>
      <c r="U323" s="10"/>
      <c r="V323" s="10"/>
      <c r="W323" s="10"/>
      <c r="X323" s="10"/>
      <c r="Y323" s="10"/>
    </row>
    <row r="324" spans="1:25" s="4" customFormat="1" ht="22.15" customHeight="1">
      <c r="A324" s="351"/>
      <c r="B324" s="437"/>
      <c r="C324" s="642"/>
      <c r="D324" s="351"/>
      <c r="E324" s="352"/>
      <c r="F324" s="353"/>
      <c r="G324" s="353">
        <f t="shared" si="38"/>
        <v>0</v>
      </c>
      <c r="H324" s="353"/>
      <c r="I324" s="353"/>
      <c r="J324" s="353"/>
      <c r="K324" s="353"/>
      <c r="L324" s="353"/>
      <c r="M324" s="353"/>
      <c r="N324" s="349"/>
      <c r="O324" s="441"/>
      <c r="P324" s="441"/>
      <c r="Q324" s="442"/>
      <c r="R324" s="443"/>
      <c r="S324" s="641">
        <f t="shared" si="39"/>
        <v>0</v>
      </c>
      <c r="T324" s="10">
        <f t="shared" si="40"/>
        <v>0</v>
      </c>
      <c r="U324" s="10"/>
      <c r="V324" s="10"/>
      <c r="W324" s="10"/>
      <c r="X324" s="10"/>
      <c r="Y324" s="10"/>
    </row>
    <row r="325" spans="1:25" s="4" customFormat="1" ht="22.15" customHeight="1">
      <c r="A325" s="351" t="s">
        <v>11</v>
      </c>
      <c r="B325" s="437" t="s">
        <v>77</v>
      </c>
      <c r="C325" s="438" t="s">
        <v>278</v>
      </c>
      <c r="D325" s="351" t="s">
        <v>9</v>
      </c>
      <c r="E325" s="352">
        <v>321230.9375</v>
      </c>
      <c r="F325" s="353">
        <v>23073.599999999999</v>
      </c>
      <c r="G325" s="353">
        <f t="shared" si="38"/>
        <v>0</v>
      </c>
      <c r="H325" s="353">
        <v>1740.5675673076917</v>
      </c>
      <c r="I325" s="353">
        <v>1402.2720000000002</v>
      </c>
      <c r="J325" s="353">
        <v>6057</v>
      </c>
      <c r="K325" s="353">
        <v>30.302999999999997</v>
      </c>
      <c r="L325" s="353">
        <f>SUM(E325:K325)</f>
        <v>353534.68006730767</v>
      </c>
      <c r="M325" s="353">
        <v>88383.670016826916</v>
      </c>
      <c r="N325" s="349">
        <f>M325+L325</f>
        <v>441918.35008413461</v>
      </c>
      <c r="O325" s="441">
        <v>7468.75</v>
      </c>
      <c r="P325" s="441">
        <v>5975</v>
      </c>
      <c r="Q325" s="442">
        <v>1493.75</v>
      </c>
      <c r="R325" s="443">
        <v>1.1950000000000001</v>
      </c>
      <c r="S325" s="641">
        <f t="shared" si="39"/>
        <v>17676.734003365385</v>
      </c>
      <c r="T325" s="10">
        <f t="shared" si="40"/>
        <v>14141.387202692307</v>
      </c>
      <c r="U325" s="10"/>
      <c r="V325" s="10"/>
      <c r="W325" s="10"/>
      <c r="X325" s="10"/>
      <c r="Y325" s="10"/>
    </row>
    <row r="326" spans="1:25" s="4" customFormat="1" ht="22.15" customHeight="1">
      <c r="A326" s="351"/>
      <c r="B326" s="437"/>
      <c r="C326" s="438"/>
      <c r="D326" s="351" t="s">
        <v>10</v>
      </c>
      <c r="E326" s="352">
        <v>77095.425000000003</v>
      </c>
      <c r="F326" s="353">
        <v>27669</v>
      </c>
      <c r="G326" s="353">
        <f t="shared" si="38"/>
        <v>0</v>
      </c>
      <c r="H326" s="353">
        <v>2175.7094591346145</v>
      </c>
      <c r="I326" s="353">
        <f>I325</f>
        <v>1402.2720000000002</v>
      </c>
      <c r="J326" s="353">
        <v>6986.04</v>
      </c>
      <c r="K326" s="353">
        <v>34.343400000000003</v>
      </c>
      <c r="L326" s="353">
        <f>SUM(E326:K326)</f>
        <v>115362.7898591346</v>
      </c>
      <c r="M326" s="353">
        <v>28840.697464783654</v>
      </c>
      <c r="N326" s="349">
        <f>M326+L326</f>
        <v>144203.48732391826</v>
      </c>
      <c r="O326" s="441">
        <v>1792.5</v>
      </c>
      <c r="P326" s="441">
        <v>1434</v>
      </c>
      <c r="Q326" s="442">
        <v>358.5</v>
      </c>
      <c r="R326" s="443">
        <v>0.2868</v>
      </c>
      <c r="S326" s="641">
        <f t="shared" si="39"/>
        <v>5768.1394929567305</v>
      </c>
      <c r="T326" s="10">
        <f t="shared" si="40"/>
        <v>4614.5115943653846</v>
      </c>
      <c r="U326" s="10"/>
      <c r="V326" s="10"/>
      <c r="W326" s="10"/>
      <c r="X326" s="10"/>
      <c r="Y326" s="10"/>
    </row>
    <row r="327" spans="1:25" s="4" customFormat="1" ht="22.15" customHeight="1">
      <c r="A327" s="351"/>
      <c r="B327" s="437"/>
      <c r="C327" s="438"/>
      <c r="D327" s="351" t="s">
        <v>11</v>
      </c>
      <c r="E327" s="352">
        <v>462491.90625</v>
      </c>
      <c r="F327" s="353">
        <v>33202.800000000003</v>
      </c>
      <c r="G327" s="353">
        <f t="shared" si="38"/>
        <v>0</v>
      </c>
      <c r="H327" s="353">
        <v>2900.9459455128194</v>
      </c>
      <c r="I327" s="353">
        <f>I326</f>
        <v>1402.2720000000002</v>
      </c>
      <c r="J327" s="353">
        <v>9321.4</v>
      </c>
      <c r="K327" s="353">
        <v>46.464599999999997</v>
      </c>
      <c r="L327" s="353">
        <f>SUM(E327:K327)</f>
        <v>509365.78879551281</v>
      </c>
      <c r="M327" s="353">
        <v>127341.44719887822</v>
      </c>
      <c r="N327" s="349">
        <f>M327+L327</f>
        <v>636707.23599439103</v>
      </c>
      <c r="O327" s="441">
        <v>10753.125</v>
      </c>
      <c r="P327" s="441">
        <v>8602.5</v>
      </c>
      <c r="Q327" s="442">
        <v>2150.625</v>
      </c>
      <c r="R327" s="443">
        <v>1.7204999999999999</v>
      </c>
      <c r="S327" s="641">
        <f t="shared" si="39"/>
        <v>25468.289439775643</v>
      </c>
      <c r="T327" s="10">
        <f t="shared" si="40"/>
        <v>20374.631551820512</v>
      </c>
      <c r="U327" s="10"/>
      <c r="V327" s="10"/>
      <c r="W327" s="10"/>
      <c r="X327" s="10"/>
      <c r="Y327" s="10"/>
    </row>
    <row r="328" spans="1:25" s="4" customFormat="1" ht="22.15" customHeight="1">
      <c r="A328" s="351"/>
      <c r="B328" s="437"/>
      <c r="C328" s="438"/>
      <c r="D328" s="351" t="s">
        <v>12</v>
      </c>
      <c r="E328" s="352">
        <v>555097.8125</v>
      </c>
      <c r="F328" s="353">
        <v>39854.400000000001</v>
      </c>
      <c r="G328" s="353">
        <f t="shared" si="38"/>
        <v>0</v>
      </c>
      <c r="H328" s="353">
        <v>3191.0405400641016</v>
      </c>
      <c r="I328" s="353">
        <f>I327</f>
        <v>1402.2720000000002</v>
      </c>
      <c r="J328" s="353">
        <v>10257.120000000001</v>
      </c>
      <c r="K328" s="353">
        <v>50.505000000000003</v>
      </c>
      <c r="L328" s="353">
        <f>SUM(E328:K328)</f>
        <v>609853.15004006412</v>
      </c>
      <c r="M328" s="353">
        <v>152463.28751001603</v>
      </c>
      <c r="N328" s="349">
        <f>M328+L328</f>
        <v>762316.43755008013</v>
      </c>
      <c r="O328" s="441">
        <v>12906.25</v>
      </c>
      <c r="P328" s="441">
        <v>10325</v>
      </c>
      <c r="Q328" s="442">
        <v>2581.25</v>
      </c>
      <c r="R328" s="443">
        <v>2.0649999999999999</v>
      </c>
      <c r="S328" s="641">
        <f t="shared" si="39"/>
        <v>30492.657502003207</v>
      </c>
      <c r="T328" s="10">
        <f t="shared" si="40"/>
        <v>24394.126001602566</v>
      </c>
      <c r="U328" s="10"/>
      <c r="V328" s="10"/>
      <c r="W328" s="10"/>
      <c r="X328" s="10"/>
      <c r="Y328" s="10"/>
    </row>
    <row r="329" spans="1:25" s="4" customFormat="1" ht="22.15" customHeight="1">
      <c r="A329" s="351"/>
      <c r="B329" s="437"/>
      <c r="C329" s="438"/>
      <c r="D329" s="351"/>
      <c r="E329" s="352"/>
      <c r="F329" s="353"/>
      <c r="G329" s="353">
        <f t="shared" si="38"/>
        <v>0</v>
      </c>
      <c r="H329" s="353"/>
      <c r="I329" s="353"/>
      <c r="J329" s="353"/>
      <c r="K329" s="353"/>
      <c r="L329" s="353"/>
      <c r="M329" s="353"/>
      <c r="N329" s="349"/>
      <c r="O329" s="441"/>
      <c r="P329" s="441"/>
      <c r="Q329" s="442"/>
      <c r="R329" s="443"/>
      <c r="S329" s="10"/>
      <c r="T329" s="10"/>
      <c r="U329" s="10"/>
      <c r="V329" s="10"/>
      <c r="W329" s="10"/>
      <c r="X329" s="10"/>
      <c r="Y329" s="10"/>
    </row>
    <row r="330" spans="1:25" s="4" customFormat="1" ht="22.15" customHeight="1">
      <c r="A330" s="557" t="s">
        <v>4</v>
      </c>
      <c r="B330" s="611" t="s">
        <v>382</v>
      </c>
      <c r="C330" s="645"/>
      <c r="D330" s="355"/>
      <c r="E330" s="356"/>
      <c r="F330" s="357"/>
      <c r="G330" s="353">
        <f t="shared" si="38"/>
        <v>0</v>
      </c>
      <c r="H330" s="357"/>
      <c r="I330" s="357"/>
      <c r="J330" s="357"/>
      <c r="K330" s="357"/>
      <c r="L330" s="357"/>
      <c r="M330" s="357"/>
      <c r="N330" s="359"/>
      <c r="O330" s="646"/>
      <c r="P330" s="441"/>
      <c r="Q330" s="442"/>
      <c r="R330" s="443"/>
      <c r="S330" s="10"/>
      <c r="T330" s="10"/>
      <c r="U330" s="10"/>
      <c r="V330" s="10"/>
      <c r="W330" s="10"/>
      <c r="X330" s="10"/>
      <c r="Y330" s="10"/>
    </row>
    <row r="331" spans="1:25" s="4" customFormat="1" ht="22.15" customHeight="1">
      <c r="A331" s="351" t="s">
        <v>9</v>
      </c>
      <c r="B331" s="437" t="s">
        <v>383</v>
      </c>
      <c r="C331" s="438"/>
      <c r="D331" s="351"/>
      <c r="E331" s="352"/>
      <c r="F331" s="353"/>
      <c r="G331" s="353"/>
      <c r="H331" s="353"/>
      <c r="I331" s="353"/>
      <c r="J331" s="353"/>
      <c r="K331" s="353"/>
      <c r="L331" s="353"/>
      <c r="M331" s="353"/>
      <c r="N331" s="349"/>
      <c r="O331" s="441"/>
      <c r="P331" s="441"/>
      <c r="Q331" s="442"/>
      <c r="R331" s="443"/>
      <c r="S331" s="10"/>
      <c r="T331" s="10"/>
      <c r="U331" s="10"/>
      <c r="V331" s="10"/>
      <c r="W331" s="10"/>
      <c r="X331" s="10"/>
      <c r="Y331" s="10"/>
    </row>
    <row r="332" spans="1:25" s="4" customFormat="1" ht="22.15" customHeight="1">
      <c r="A332" s="642"/>
      <c r="B332" s="642"/>
      <c r="C332" s="642"/>
      <c r="D332" s="351"/>
      <c r="E332" s="352"/>
      <c r="F332" s="353"/>
      <c r="G332" s="353"/>
      <c r="H332" s="353"/>
      <c r="I332" s="353"/>
      <c r="J332" s="353"/>
      <c r="K332" s="353"/>
      <c r="L332" s="353"/>
      <c r="M332" s="353"/>
      <c r="N332" s="349"/>
      <c r="O332" s="441"/>
      <c r="P332" s="441"/>
      <c r="Q332" s="442"/>
      <c r="R332" s="443"/>
      <c r="S332" s="10"/>
      <c r="T332" s="10"/>
      <c r="U332" s="10"/>
      <c r="V332" s="10"/>
      <c r="W332" s="10"/>
      <c r="X332" s="10"/>
      <c r="Y332" s="10"/>
    </row>
    <row r="333" spans="1:25" s="4" customFormat="1" ht="22.15" customHeight="1">
      <c r="A333" s="351" t="s">
        <v>10</v>
      </c>
      <c r="B333" s="437" t="s">
        <v>81</v>
      </c>
      <c r="C333" s="438" t="s">
        <v>278</v>
      </c>
      <c r="D333" s="351" t="s">
        <v>9</v>
      </c>
      <c r="E333" s="352">
        <v>9770.2000000000007</v>
      </c>
      <c r="F333" s="353"/>
      <c r="G333" s="353">
        <f>$Q$1*10*P333</f>
        <v>0</v>
      </c>
      <c r="H333" s="353">
        <v>304.16417338461548</v>
      </c>
      <c r="I333" s="353">
        <v>5618.5919999999996</v>
      </c>
      <c r="J333" s="353">
        <v>268.11959999999999</v>
      </c>
      <c r="K333" s="353">
        <v>485.15879999999999</v>
      </c>
      <c r="L333" s="353">
        <f>SUM(E333:K333)</f>
        <v>16446.234573384616</v>
      </c>
      <c r="M333" s="353">
        <v>3289.2469146769231</v>
      </c>
      <c r="N333" s="349">
        <f>M333+L333</f>
        <v>19735.481488061538</v>
      </c>
      <c r="O333" s="441">
        <v>264</v>
      </c>
      <c r="P333" s="441">
        <v>220.00000000000003</v>
      </c>
      <c r="Q333" s="442">
        <v>44.000000000000007</v>
      </c>
      <c r="R333" s="443">
        <v>4.4000000000000004E-2</v>
      </c>
      <c r="S333" s="641">
        <f>N333*3%</f>
        <v>592.06444464184608</v>
      </c>
      <c r="T333" s="641">
        <f>L333*2%</f>
        <v>328.9246914676923</v>
      </c>
      <c r="U333" s="10"/>
      <c r="V333" s="10"/>
      <c r="W333" s="10"/>
      <c r="X333" s="10"/>
      <c r="Y333" s="10"/>
    </row>
    <row r="334" spans="1:25" s="4" customFormat="1" ht="22.15" customHeight="1">
      <c r="A334" s="351"/>
      <c r="B334" s="437"/>
      <c r="C334" s="438"/>
      <c r="D334" s="351" t="s">
        <v>10</v>
      </c>
      <c r="E334" s="352">
        <v>10747.22</v>
      </c>
      <c r="F334" s="353"/>
      <c r="G334" s="353">
        <f>$Q$1*10*P334</f>
        <v>0</v>
      </c>
      <c r="H334" s="353">
        <v>380.20521673076934</v>
      </c>
      <c r="I334" s="353">
        <f>I333</f>
        <v>5618.5919999999996</v>
      </c>
      <c r="J334" s="353">
        <v>281.88279999999997</v>
      </c>
      <c r="K334" s="353">
        <v>509.24580000000003</v>
      </c>
      <c r="L334" s="353">
        <f>SUM(E334:K334)</f>
        <v>17537.145816730768</v>
      </c>
      <c r="M334" s="353">
        <v>3507.4291633461539</v>
      </c>
      <c r="N334" s="349">
        <f>M334+L334</f>
        <v>21044.574980076923</v>
      </c>
      <c r="O334" s="441">
        <v>290.39999999999998</v>
      </c>
      <c r="P334" s="441">
        <v>242</v>
      </c>
      <c r="Q334" s="442">
        <v>48.4</v>
      </c>
      <c r="R334" s="443">
        <v>4.8399999999999999E-2</v>
      </c>
      <c r="S334" s="641">
        <f>N334*3%</f>
        <v>631.33724940230763</v>
      </c>
      <c r="T334" s="641">
        <f>L334*2%</f>
        <v>350.74291633461536</v>
      </c>
      <c r="U334" s="10"/>
      <c r="V334" s="10"/>
      <c r="W334" s="10"/>
      <c r="X334" s="10"/>
      <c r="Y334" s="10"/>
    </row>
    <row r="335" spans="1:25" s="4" customFormat="1" ht="22.15" customHeight="1">
      <c r="A335" s="351"/>
      <c r="B335" s="437"/>
      <c r="C335" s="438"/>
      <c r="D335" s="351" t="s">
        <v>11</v>
      </c>
      <c r="E335" s="352">
        <v>13145.36</v>
      </c>
      <c r="F335" s="353"/>
      <c r="G335" s="353">
        <f>$Q$1*10*P335</f>
        <v>0</v>
      </c>
      <c r="H335" s="353">
        <v>506.94028897435913</v>
      </c>
      <c r="I335" s="353">
        <f>I334</f>
        <v>5618.5919999999996</v>
      </c>
      <c r="J335" s="353">
        <v>315.36600000000004</v>
      </c>
      <c r="K335" s="353">
        <v>569.38559999999995</v>
      </c>
      <c r="L335" s="353">
        <f>SUM(E335:K335)</f>
        <v>20155.643888974362</v>
      </c>
      <c r="M335" s="353">
        <v>4031.1287777948723</v>
      </c>
      <c r="N335" s="349">
        <f>M335+L335</f>
        <v>24186.772666769233</v>
      </c>
      <c r="O335" s="441">
        <v>355.2</v>
      </c>
      <c r="P335" s="441">
        <v>296</v>
      </c>
      <c r="Q335" s="442">
        <v>59.2</v>
      </c>
      <c r="R335" s="443">
        <v>5.9200000000000003E-2</v>
      </c>
      <c r="S335" s="641">
        <f>N335*3%</f>
        <v>725.603180003077</v>
      </c>
      <c r="T335" s="641">
        <f>L335*2%</f>
        <v>403.11287777948723</v>
      </c>
      <c r="U335" s="10"/>
      <c r="V335" s="10"/>
      <c r="W335" s="10"/>
      <c r="X335" s="10"/>
      <c r="Y335" s="10"/>
    </row>
    <row r="336" spans="1:25" s="4" customFormat="1" ht="22.15" customHeight="1">
      <c r="A336" s="351"/>
      <c r="B336" s="437"/>
      <c r="C336" s="438"/>
      <c r="D336" s="351" t="s">
        <v>12</v>
      </c>
      <c r="E336" s="352">
        <v>14122.38</v>
      </c>
      <c r="F336" s="353"/>
      <c r="G336" s="353">
        <f>$Q$1*10*P336</f>
        <v>0</v>
      </c>
      <c r="H336" s="353">
        <v>557.63431787179513</v>
      </c>
      <c r="I336" s="353">
        <f>I335</f>
        <v>5618.5919999999996</v>
      </c>
      <c r="J336" s="353">
        <v>328.56080000000003</v>
      </c>
      <c r="K336" s="353">
        <v>592.69560000000001</v>
      </c>
      <c r="L336" s="353">
        <f>SUM(E336:K336)</f>
        <v>21219.862717871791</v>
      </c>
      <c r="M336" s="353">
        <v>4243.9725435743576</v>
      </c>
      <c r="N336" s="349">
        <f>M336+L336</f>
        <v>25463.835261446147</v>
      </c>
      <c r="O336" s="441">
        <v>381.6</v>
      </c>
      <c r="P336" s="441">
        <v>318</v>
      </c>
      <c r="Q336" s="442">
        <v>63.6</v>
      </c>
      <c r="R336" s="443">
        <v>6.3600000000000004E-2</v>
      </c>
      <c r="S336" s="641">
        <f>N336*3%</f>
        <v>763.91505784338437</v>
      </c>
      <c r="T336" s="641">
        <f>L336*2%</f>
        <v>424.39725435743583</v>
      </c>
      <c r="U336" s="10"/>
      <c r="V336" s="10"/>
      <c r="W336" s="10"/>
      <c r="X336" s="10"/>
      <c r="Y336" s="10"/>
    </row>
    <row r="337" spans="1:25" s="4" customFormat="1" ht="22.15" customHeight="1">
      <c r="A337" s="351"/>
      <c r="B337" s="437"/>
      <c r="C337" s="438"/>
      <c r="D337" s="351"/>
      <c r="E337" s="352"/>
      <c r="F337" s="353"/>
      <c r="G337" s="353">
        <f>$Q$1*10*P337</f>
        <v>0</v>
      </c>
      <c r="H337" s="353"/>
      <c r="I337" s="353"/>
      <c r="J337" s="353"/>
      <c r="K337" s="353"/>
      <c r="L337" s="353"/>
      <c r="M337" s="353"/>
      <c r="N337" s="349"/>
      <c r="O337" s="441"/>
      <c r="P337" s="441"/>
      <c r="Q337" s="442"/>
      <c r="R337" s="443"/>
      <c r="S337" s="641">
        <f>N337*3%</f>
        <v>0</v>
      </c>
      <c r="T337" s="641">
        <f>L337*2%</f>
        <v>0</v>
      </c>
      <c r="U337" s="10"/>
      <c r="V337" s="10"/>
      <c r="W337" s="10"/>
      <c r="X337" s="10"/>
      <c r="Y337" s="10"/>
    </row>
    <row r="338" spans="1:25" s="4" customFormat="1" ht="30" customHeight="1">
      <c r="A338" s="987" t="s">
        <v>376</v>
      </c>
      <c r="B338" s="989" t="s">
        <v>377</v>
      </c>
      <c r="C338" s="991" t="s">
        <v>378</v>
      </c>
      <c r="D338" s="987" t="s">
        <v>91</v>
      </c>
      <c r="E338" s="996" t="s">
        <v>368</v>
      </c>
      <c r="F338" s="997"/>
      <c r="G338" s="997"/>
      <c r="H338" s="997"/>
      <c r="I338" s="997"/>
      <c r="J338" s="997"/>
      <c r="K338" s="997"/>
      <c r="L338" s="998"/>
      <c r="M338" s="991" t="s">
        <v>427</v>
      </c>
      <c r="N338" s="991" t="s">
        <v>379</v>
      </c>
      <c r="O338" s="579" t="s">
        <v>18</v>
      </c>
      <c r="P338" s="787" t="s">
        <v>19</v>
      </c>
      <c r="Q338" s="580" t="s">
        <v>19</v>
      </c>
      <c r="R338" s="581" t="s">
        <v>16</v>
      </c>
      <c r="S338" s="10"/>
      <c r="T338" s="10"/>
      <c r="U338" s="10"/>
      <c r="V338" s="10"/>
      <c r="W338" s="10"/>
      <c r="X338" s="10"/>
      <c r="Y338" s="10"/>
    </row>
    <row r="339" spans="1:25" s="4" customFormat="1" ht="26.25" customHeight="1">
      <c r="A339" s="988"/>
      <c r="B339" s="990"/>
      <c r="C339" s="992"/>
      <c r="D339" s="988"/>
      <c r="E339" s="582" t="s">
        <v>369</v>
      </c>
      <c r="F339" s="564" t="s">
        <v>370</v>
      </c>
      <c r="G339" s="583">
        <v>0</v>
      </c>
      <c r="H339" s="564" t="s">
        <v>257</v>
      </c>
      <c r="I339" s="564" t="s">
        <v>280</v>
      </c>
      <c r="J339" s="564" t="s">
        <v>261</v>
      </c>
      <c r="K339" s="564" t="s">
        <v>371</v>
      </c>
      <c r="L339" s="564" t="s">
        <v>372</v>
      </c>
      <c r="M339" s="992"/>
      <c r="N339" s="992"/>
      <c r="O339" s="563" t="s">
        <v>20</v>
      </c>
      <c r="P339" s="788" t="s">
        <v>21</v>
      </c>
      <c r="Q339" s="584" t="s">
        <v>22</v>
      </c>
      <c r="R339" s="585" t="s">
        <v>17</v>
      </c>
      <c r="S339" s="10"/>
      <c r="T339" s="10"/>
      <c r="U339" s="10"/>
      <c r="V339" s="10"/>
      <c r="W339" s="10"/>
      <c r="X339" s="10"/>
      <c r="Y339" s="10"/>
    </row>
    <row r="340" spans="1:25" s="4" customFormat="1" ht="14.25" customHeight="1">
      <c r="A340" s="331" t="s">
        <v>52</v>
      </c>
      <c r="B340" s="586" t="s">
        <v>53</v>
      </c>
      <c r="C340" s="586" t="s">
        <v>54</v>
      </c>
      <c r="D340" s="331" t="s">
        <v>55</v>
      </c>
      <c r="E340" s="332" t="s">
        <v>56</v>
      </c>
      <c r="F340" s="332" t="s">
        <v>57</v>
      </c>
      <c r="G340" s="332"/>
      <c r="H340" s="332" t="s">
        <v>58</v>
      </c>
      <c r="I340" s="332" t="s">
        <v>59</v>
      </c>
      <c r="J340" s="332" t="s">
        <v>60</v>
      </c>
      <c r="K340" s="332" t="s">
        <v>61</v>
      </c>
      <c r="L340" s="334" t="s">
        <v>373</v>
      </c>
      <c r="M340" s="334" t="s">
        <v>374</v>
      </c>
      <c r="N340" s="334" t="s">
        <v>375</v>
      </c>
      <c r="O340" s="332" t="s">
        <v>62</v>
      </c>
      <c r="P340" s="48"/>
      <c r="Q340" s="48"/>
      <c r="R340" s="49"/>
      <c r="S340" s="10"/>
      <c r="T340" s="10"/>
      <c r="U340" s="10"/>
      <c r="V340" s="10"/>
      <c r="W340" s="10"/>
      <c r="X340" s="10"/>
      <c r="Y340" s="10"/>
    </row>
    <row r="341" spans="1:25" s="4" customFormat="1" ht="22.15" customHeight="1">
      <c r="A341" s="351" t="s">
        <v>11</v>
      </c>
      <c r="B341" s="437" t="s">
        <v>384</v>
      </c>
      <c r="C341" s="438" t="s">
        <v>278</v>
      </c>
      <c r="D341" s="351" t="s">
        <v>15</v>
      </c>
      <c r="E341" s="352">
        <v>5851.5</v>
      </c>
      <c r="F341" s="353"/>
      <c r="G341" s="353">
        <f t="shared" ref="G341:G350" si="41">$Q$1*10*P341</f>
        <v>0</v>
      </c>
      <c r="H341" s="353"/>
      <c r="I341" s="353"/>
      <c r="J341" s="353"/>
      <c r="K341" s="353"/>
      <c r="L341" s="353">
        <f>SUM(E341:K341)</f>
        <v>5851.5</v>
      </c>
      <c r="M341" s="353">
        <v>1170.3</v>
      </c>
      <c r="N341" s="349">
        <f>M341+L341</f>
        <v>7021.8</v>
      </c>
      <c r="O341" s="441">
        <v>180</v>
      </c>
      <c r="P341" s="441">
        <v>150</v>
      </c>
      <c r="Q341" s="442">
        <v>30</v>
      </c>
      <c r="R341" s="443">
        <v>0.03</v>
      </c>
      <c r="S341" s="641">
        <f t="shared" ref="S341:S349" si="42">N341*3%</f>
        <v>210.654</v>
      </c>
      <c r="T341" s="641">
        <f t="shared" ref="T341:T350" si="43">L341*2%</f>
        <v>117.03</v>
      </c>
      <c r="U341" s="10"/>
      <c r="V341" s="10"/>
      <c r="W341" s="10"/>
      <c r="X341" s="10"/>
      <c r="Y341" s="10"/>
    </row>
    <row r="342" spans="1:25" s="4" customFormat="1" ht="22.15" customHeight="1">
      <c r="A342" s="351"/>
      <c r="B342" s="437" t="s">
        <v>385</v>
      </c>
      <c r="C342" s="438"/>
      <c r="D342" s="351"/>
      <c r="E342" s="352"/>
      <c r="F342" s="353"/>
      <c r="G342" s="353">
        <f t="shared" si="41"/>
        <v>0</v>
      </c>
      <c r="H342" s="353"/>
      <c r="I342" s="353"/>
      <c r="J342" s="353"/>
      <c r="K342" s="353"/>
      <c r="L342" s="353"/>
      <c r="M342" s="353"/>
      <c r="N342" s="349"/>
      <c r="O342" s="441"/>
      <c r="P342" s="441"/>
      <c r="Q342" s="442"/>
      <c r="R342" s="443"/>
      <c r="S342" s="641">
        <f t="shared" si="42"/>
        <v>0</v>
      </c>
      <c r="T342" s="641">
        <f t="shared" si="43"/>
        <v>0</v>
      </c>
      <c r="U342" s="10"/>
      <c r="V342" s="10"/>
      <c r="W342" s="10"/>
      <c r="X342" s="10"/>
      <c r="Y342" s="10"/>
    </row>
    <row r="343" spans="1:25" s="4" customFormat="1" ht="22.15" customHeight="1">
      <c r="A343" s="351"/>
      <c r="B343" s="437"/>
      <c r="C343" s="438"/>
      <c r="D343" s="351"/>
      <c r="E343" s="352"/>
      <c r="F343" s="353"/>
      <c r="G343" s="353">
        <f t="shared" si="41"/>
        <v>0</v>
      </c>
      <c r="H343" s="353"/>
      <c r="I343" s="353"/>
      <c r="J343" s="353"/>
      <c r="K343" s="353"/>
      <c r="L343" s="353"/>
      <c r="M343" s="353"/>
      <c r="N343" s="349"/>
      <c r="O343" s="441"/>
      <c r="P343" s="441"/>
      <c r="Q343" s="442"/>
      <c r="R343" s="443"/>
      <c r="S343" s="641">
        <f t="shared" si="42"/>
        <v>0</v>
      </c>
      <c r="T343" s="641">
        <f t="shared" si="43"/>
        <v>0</v>
      </c>
      <c r="U343" s="10"/>
      <c r="V343" s="10"/>
      <c r="W343" s="10"/>
      <c r="X343" s="10"/>
      <c r="Y343" s="10"/>
    </row>
    <row r="344" spans="1:25" s="4" customFormat="1" ht="22.15" customHeight="1">
      <c r="A344" s="351" t="s">
        <v>12</v>
      </c>
      <c r="B344" s="437" t="s">
        <v>363</v>
      </c>
      <c r="C344" s="438" t="s">
        <v>278</v>
      </c>
      <c r="D344" s="351" t="s">
        <v>15</v>
      </c>
      <c r="E344" s="352">
        <v>5071.3</v>
      </c>
      <c r="F344" s="353"/>
      <c r="G344" s="353">
        <f t="shared" si="41"/>
        <v>0</v>
      </c>
      <c r="H344" s="353">
        <v>184.59746666666666</v>
      </c>
      <c r="I344" s="353">
        <v>1232.28</v>
      </c>
      <c r="J344" s="353">
        <v>105.78</v>
      </c>
      <c r="K344" s="353">
        <v>191.142</v>
      </c>
      <c r="L344" s="353">
        <f>SUM(E344:K344)</f>
        <v>6785.0994666666666</v>
      </c>
      <c r="M344" s="353">
        <v>1357.0198933333334</v>
      </c>
      <c r="N344" s="349">
        <f>M344+L344</f>
        <v>8142.1193599999997</v>
      </c>
      <c r="O344" s="441">
        <v>156</v>
      </c>
      <c r="P344" s="441">
        <v>130</v>
      </c>
      <c r="Q344" s="442">
        <v>26.000000000000004</v>
      </c>
      <c r="R344" s="680">
        <v>2.6000000000000002E-2</v>
      </c>
      <c r="S344" s="641">
        <f t="shared" si="42"/>
        <v>244.26358079999997</v>
      </c>
      <c r="T344" s="641">
        <f t="shared" si="43"/>
        <v>135.70198933333333</v>
      </c>
      <c r="U344" s="10"/>
      <c r="V344" s="10"/>
      <c r="W344" s="10"/>
      <c r="X344" s="10"/>
      <c r="Y344" s="10"/>
    </row>
    <row r="345" spans="1:25" s="4" customFormat="1" ht="22.15" customHeight="1">
      <c r="A345" s="361"/>
      <c r="B345" s="588"/>
      <c r="C345" s="596"/>
      <c r="D345" s="361"/>
      <c r="E345" s="362"/>
      <c r="F345" s="363"/>
      <c r="G345" s="353">
        <f t="shared" si="41"/>
        <v>0</v>
      </c>
      <c r="H345" s="363"/>
      <c r="I345" s="363"/>
      <c r="J345" s="363"/>
      <c r="K345" s="363"/>
      <c r="L345" s="353"/>
      <c r="M345" s="353"/>
      <c r="N345" s="349"/>
      <c r="O345" s="441"/>
      <c r="P345" s="441"/>
      <c r="Q345" s="442"/>
      <c r="R345" s="681"/>
      <c r="S345" s="641">
        <f t="shared" si="42"/>
        <v>0</v>
      </c>
      <c r="T345" s="641">
        <f t="shared" si="43"/>
        <v>0</v>
      </c>
      <c r="U345" s="10"/>
      <c r="V345" s="10"/>
      <c r="W345" s="10"/>
      <c r="X345" s="10"/>
      <c r="Y345" s="10"/>
    </row>
    <row r="346" spans="1:25" s="4" customFormat="1" ht="22.15" customHeight="1">
      <c r="A346" s="351" t="s">
        <v>13</v>
      </c>
      <c r="B346" s="437" t="s">
        <v>364</v>
      </c>
      <c r="C346" s="438" t="s">
        <v>1</v>
      </c>
      <c r="D346" s="351" t="s">
        <v>15</v>
      </c>
      <c r="E346" s="362">
        <v>54.180555555555557</v>
      </c>
      <c r="F346" s="363"/>
      <c r="G346" s="353">
        <f t="shared" si="41"/>
        <v>0</v>
      </c>
      <c r="H346" s="363">
        <v>8.5256537891737878</v>
      </c>
      <c r="I346" s="363">
        <v>16.138500000000001</v>
      </c>
      <c r="J346" s="363">
        <v>1.6863888888888889</v>
      </c>
      <c r="K346" s="363">
        <v>1.8345833333333332</v>
      </c>
      <c r="L346" s="353">
        <f>SUM(E346:K346)</f>
        <v>82.365681566951565</v>
      </c>
      <c r="M346" s="353">
        <v>16.473136313390313</v>
      </c>
      <c r="N346" s="349">
        <f>M346+L346</f>
        <v>98.838817880341878</v>
      </c>
      <c r="O346" s="441">
        <v>1.6666666666666667</v>
      </c>
      <c r="P346" s="441">
        <v>1.3888888888888888</v>
      </c>
      <c r="Q346" s="674">
        <v>0.27777777777777779</v>
      </c>
      <c r="R346" s="681">
        <v>2.7777777777777778E-4</v>
      </c>
      <c r="S346" s="641">
        <f t="shared" si="42"/>
        <v>2.9651645364102563</v>
      </c>
      <c r="T346" s="641">
        <f t="shared" si="43"/>
        <v>1.6473136313390313</v>
      </c>
      <c r="U346" s="10"/>
      <c r="V346" s="10"/>
      <c r="W346" s="10"/>
      <c r="X346" s="10"/>
      <c r="Y346" s="10"/>
    </row>
    <row r="347" spans="1:25" s="4" customFormat="1" ht="22.15" customHeight="1">
      <c r="A347" s="361"/>
      <c r="B347" s="588"/>
      <c r="C347" s="596"/>
      <c r="D347" s="361"/>
      <c r="E347" s="362"/>
      <c r="F347" s="363"/>
      <c r="G347" s="353">
        <f t="shared" si="41"/>
        <v>0</v>
      </c>
      <c r="H347" s="363"/>
      <c r="I347" s="363"/>
      <c r="J347" s="363"/>
      <c r="K347" s="363"/>
      <c r="L347" s="353"/>
      <c r="M347" s="353"/>
      <c r="N347" s="349"/>
      <c r="O347" s="441"/>
      <c r="P347" s="441"/>
      <c r="Q347" s="674"/>
      <c r="R347" s="681"/>
      <c r="S347" s="641">
        <f t="shared" si="42"/>
        <v>0</v>
      </c>
      <c r="T347" s="641">
        <f t="shared" si="43"/>
        <v>0</v>
      </c>
      <c r="U347" s="10"/>
      <c r="V347" s="10"/>
      <c r="W347" s="10"/>
      <c r="X347" s="10"/>
      <c r="Y347" s="10"/>
    </row>
    <row r="348" spans="1:25" s="4" customFormat="1" ht="22.15" customHeight="1">
      <c r="A348" s="351" t="s">
        <v>14</v>
      </c>
      <c r="B348" s="437" t="s">
        <v>365</v>
      </c>
      <c r="C348" s="438" t="s">
        <v>1</v>
      </c>
      <c r="D348" s="351" t="s">
        <v>15</v>
      </c>
      <c r="E348" s="362">
        <v>108.36111111111111</v>
      </c>
      <c r="F348" s="363"/>
      <c r="G348" s="353">
        <f t="shared" si="41"/>
        <v>0</v>
      </c>
      <c r="H348" s="363">
        <v>1.8269258119658116</v>
      </c>
      <c r="I348" s="363">
        <v>3.45825</v>
      </c>
      <c r="J348" s="363"/>
      <c r="K348" s="363"/>
      <c r="L348" s="353">
        <f>SUM(E348:K348)</f>
        <v>113.64628692307693</v>
      </c>
      <c r="M348" s="353">
        <v>22.729257384615384</v>
      </c>
      <c r="N348" s="349">
        <f>M348+L348</f>
        <v>136.37554430769231</v>
      </c>
      <c r="O348" s="441">
        <v>3.3333333333333335</v>
      </c>
      <c r="P348" s="441">
        <v>2.7777777777777777</v>
      </c>
      <c r="Q348" s="442">
        <v>0.55555555555555558</v>
      </c>
      <c r="R348" s="681">
        <v>5.5555555555555556E-4</v>
      </c>
      <c r="S348" s="641">
        <f t="shared" si="42"/>
        <v>4.0912663292307689</v>
      </c>
      <c r="T348" s="641">
        <f t="shared" si="43"/>
        <v>2.2729257384615384</v>
      </c>
      <c r="U348" s="10"/>
      <c r="V348" s="10"/>
      <c r="W348" s="10"/>
      <c r="X348" s="10"/>
      <c r="Y348" s="10"/>
    </row>
    <row r="349" spans="1:25" s="4" customFormat="1" ht="22.15" customHeight="1">
      <c r="A349" s="361"/>
      <c r="B349" s="588"/>
      <c r="C349" s="596"/>
      <c r="D349" s="361"/>
      <c r="E349" s="362"/>
      <c r="F349" s="363"/>
      <c r="G349" s="353">
        <f t="shared" si="41"/>
        <v>0</v>
      </c>
      <c r="H349" s="363"/>
      <c r="I349" s="363"/>
      <c r="J349" s="363"/>
      <c r="K349" s="363"/>
      <c r="L349" s="353"/>
      <c r="M349" s="353"/>
      <c r="N349" s="349"/>
      <c r="O349" s="441"/>
      <c r="P349" s="441"/>
      <c r="Q349" s="442"/>
      <c r="R349" s="681"/>
      <c r="S349" s="641">
        <f t="shared" si="42"/>
        <v>0</v>
      </c>
      <c r="T349" s="641">
        <f t="shared" si="43"/>
        <v>0</v>
      </c>
      <c r="U349" s="10"/>
      <c r="V349" s="10"/>
      <c r="W349" s="10"/>
      <c r="X349" s="10"/>
      <c r="Y349" s="10"/>
    </row>
    <row r="350" spans="1:25" s="4" customFormat="1" ht="22.15" customHeight="1">
      <c r="A350" s="361" t="s">
        <v>85</v>
      </c>
      <c r="B350" s="588" t="s">
        <v>366</v>
      </c>
      <c r="C350" s="596" t="s">
        <v>1</v>
      </c>
      <c r="D350" s="361" t="s">
        <v>15</v>
      </c>
      <c r="E350" s="362">
        <v>216.72222222222223</v>
      </c>
      <c r="F350" s="363"/>
      <c r="G350" s="353">
        <f t="shared" si="41"/>
        <v>0</v>
      </c>
      <c r="H350" s="363">
        <v>1.8269258119658116</v>
      </c>
      <c r="I350" s="363">
        <v>3.45825</v>
      </c>
      <c r="J350" s="363"/>
      <c r="K350" s="363"/>
      <c r="L350" s="353">
        <f>SUM(E350:K350)</f>
        <v>222.00739803418804</v>
      </c>
      <c r="M350" s="353">
        <v>44.401479606837611</v>
      </c>
      <c r="N350" s="349">
        <f>M350+L350</f>
        <v>266.40887764102564</v>
      </c>
      <c r="O350" s="441">
        <v>6.666666666666667</v>
      </c>
      <c r="P350" s="441">
        <v>5.5555555555555554</v>
      </c>
      <c r="Q350" s="442">
        <v>1.1111111111111112</v>
      </c>
      <c r="R350" s="681">
        <v>1.1111111111111111E-3</v>
      </c>
      <c r="S350" s="641">
        <f>N350*3%</f>
        <v>7.9922663292307687</v>
      </c>
      <c r="T350" s="641">
        <f t="shared" si="43"/>
        <v>4.4401479606837606</v>
      </c>
      <c r="U350" s="10"/>
      <c r="V350" s="10"/>
      <c r="W350" s="10"/>
      <c r="X350" s="10"/>
      <c r="Y350" s="10"/>
    </row>
    <row r="351" spans="1:25" s="4" customFormat="1" ht="22.15" customHeight="1">
      <c r="A351" s="377"/>
      <c r="B351" s="597"/>
      <c r="C351" s="598"/>
      <c r="D351" s="377"/>
      <c r="E351" s="378"/>
      <c r="F351" s="379"/>
      <c r="G351" s="379"/>
      <c r="H351" s="379"/>
      <c r="I351" s="379"/>
      <c r="J351" s="379"/>
      <c r="K351" s="379"/>
      <c r="L351" s="379"/>
      <c r="M351" s="379"/>
      <c r="N351" s="381"/>
      <c r="O351" s="599"/>
      <c r="P351" s="599"/>
      <c r="Q351" s="600"/>
      <c r="R351" s="601"/>
      <c r="S351" s="10"/>
      <c r="T351" s="10"/>
      <c r="U351" s="10"/>
      <c r="V351" s="10"/>
      <c r="W351" s="10"/>
      <c r="X351" s="10"/>
      <c r="Y351" s="10"/>
    </row>
    <row r="352" spans="1:25" s="4" customFormat="1" ht="6.6" customHeight="1">
      <c r="A352" s="675"/>
      <c r="B352" s="642"/>
      <c r="C352" s="642"/>
      <c r="D352" s="675"/>
      <c r="E352" s="636"/>
      <c r="F352" s="636"/>
      <c r="G352" s="635"/>
      <c r="H352" s="636"/>
      <c r="I352" s="636"/>
      <c r="J352" s="636"/>
      <c r="K352" s="636"/>
      <c r="L352" s="636"/>
      <c r="M352" s="636"/>
      <c r="N352" s="636"/>
      <c r="O352" s="606"/>
      <c r="P352" s="606"/>
      <c r="Q352" s="607"/>
      <c r="R352" s="608"/>
      <c r="S352" s="10"/>
      <c r="T352" s="10"/>
      <c r="U352" s="10"/>
      <c r="V352" s="10"/>
      <c r="W352" s="10"/>
      <c r="X352" s="10"/>
      <c r="Y352" s="10"/>
    </row>
    <row r="353" spans="1:25" s="4" customFormat="1" ht="19.149999999999999" customHeight="1">
      <c r="A353" s="682" t="s">
        <v>508</v>
      </c>
      <c r="B353" s="550" t="s">
        <v>509</v>
      </c>
      <c r="C353" s="550"/>
      <c r="D353" s="551"/>
      <c r="E353" s="550"/>
      <c r="F353" s="550"/>
      <c r="G353" s="550"/>
      <c r="H353" s="550"/>
      <c r="I353" s="550"/>
      <c r="J353" s="550"/>
      <c r="K353" s="550"/>
      <c r="L353" s="550"/>
      <c r="M353" s="550"/>
      <c r="N353" s="550"/>
      <c r="O353" s="552"/>
      <c r="P353" s="553"/>
      <c r="Q353" s="554"/>
      <c r="R353" s="555"/>
      <c r="S353" s="10"/>
      <c r="T353" s="10"/>
      <c r="U353" s="10"/>
      <c r="V353" s="10"/>
      <c r="W353" s="10"/>
      <c r="X353" s="10"/>
      <c r="Y353" s="10"/>
    </row>
    <row r="354" spans="1:25" s="4" customFormat="1" ht="21" customHeight="1">
      <c r="A354" s="978" t="s">
        <v>9</v>
      </c>
      <c r="B354" s="981" t="s">
        <v>390</v>
      </c>
      <c r="C354" s="984" t="s">
        <v>1</v>
      </c>
      <c r="D354" s="694">
        <v>1</v>
      </c>
      <c r="E354" s="356">
        <f t="shared" ref="E354:Q357" si="44">E315+E$288+E$290+E$292</f>
        <v>6188.2819444444449</v>
      </c>
      <c r="F354" s="356">
        <f t="shared" si="44"/>
        <v>0</v>
      </c>
      <c r="G354" s="356">
        <f t="shared" si="44"/>
        <v>0</v>
      </c>
      <c r="H354" s="356">
        <f t="shared" si="44"/>
        <v>72.856951531339035</v>
      </c>
      <c r="I354" s="356">
        <f t="shared" si="44"/>
        <v>113.07</v>
      </c>
      <c r="J354" s="356">
        <f t="shared" si="44"/>
        <v>5.0177777777777779</v>
      </c>
      <c r="K354" s="356">
        <f t="shared" si="44"/>
        <v>7.2519999999999998</v>
      </c>
      <c r="L354" s="356">
        <f t="shared" si="44"/>
        <v>6386.4786737535615</v>
      </c>
      <c r="M354" s="356">
        <f t="shared" si="44"/>
        <v>1525.7023678970797</v>
      </c>
      <c r="N354" s="556">
        <f t="shared" si="44"/>
        <v>7912.1810416506405</v>
      </c>
      <c r="O354" s="356">
        <f t="shared" si="44"/>
        <v>161.19444444444446</v>
      </c>
      <c r="P354" s="556">
        <f t="shared" si="44"/>
        <v>130.27777777777777</v>
      </c>
      <c r="Q354" s="556">
        <f t="shared" si="44"/>
        <v>30.916666666666668</v>
      </c>
      <c r="R354" s="556"/>
      <c r="S354" s="556">
        <f t="shared" ref="S354:T357" si="45">S315+S$288+S$290+S$292</f>
        <v>299.46708953611113</v>
      </c>
      <c r="T354" s="556">
        <f t="shared" si="45"/>
        <v>227.09222673361825</v>
      </c>
      <c r="U354" s="10"/>
      <c r="V354" s="10"/>
      <c r="W354" s="10"/>
      <c r="X354" s="10"/>
      <c r="Y354" s="10"/>
    </row>
    <row r="355" spans="1:25" s="4" customFormat="1" ht="21" customHeight="1">
      <c r="A355" s="979"/>
      <c r="B355" s="982"/>
      <c r="C355" s="985"/>
      <c r="D355" s="695">
        <v>2</v>
      </c>
      <c r="E355" s="356">
        <f t="shared" si="44"/>
        <v>7168.0388888888892</v>
      </c>
      <c r="F355" s="356">
        <f t="shared" si="44"/>
        <v>0</v>
      </c>
      <c r="G355" s="356">
        <f t="shared" si="44"/>
        <v>0</v>
      </c>
      <c r="H355" s="356">
        <f t="shared" si="44"/>
        <v>84.981436707621086</v>
      </c>
      <c r="I355" s="356">
        <f t="shared" si="44"/>
        <v>113.07</v>
      </c>
      <c r="J355" s="356">
        <f t="shared" si="44"/>
        <v>5.0177777777777779</v>
      </c>
      <c r="K355" s="356">
        <f t="shared" si="44"/>
        <v>7.2519999999999998</v>
      </c>
      <c r="L355" s="356">
        <f t="shared" si="44"/>
        <v>7378.360103374288</v>
      </c>
      <c r="M355" s="356">
        <f t="shared" si="44"/>
        <v>1773.6727253022614</v>
      </c>
      <c r="N355" s="556">
        <f t="shared" si="44"/>
        <v>9152.0328286765507</v>
      </c>
      <c r="O355" s="356">
        <f t="shared" si="44"/>
        <v>185.5</v>
      </c>
      <c r="P355" s="556">
        <f t="shared" si="44"/>
        <v>149.7222222222222</v>
      </c>
      <c r="Q355" s="556">
        <f t="shared" si="44"/>
        <v>35.777777777777779</v>
      </c>
      <c r="R355" s="556"/>
      <c r="S355" s="556">
        <f t="shared" si="45"/>
        <v>349.06116101714747</v>
      </c>
      <c r="T355" s="556">
        <f t="shared" si="45"/>
        <v>266.76748391844728</v>
      </c>
      <c r="U355" s="10"/>
      <c r="V355" s="10"/>
      <c r="W355" s="10"/>
      <c r="X355" s="10"/>
      <c r="Y355" s="10"/>
    </row>
    <row r="356" spans="1:25" s="4" customFormat="1" ht="21" customHeight="1">
      <c r="A356" s="979"/>
      <c r="B356" s="982"/>
      <c r="C356" s="985"/>
      <c r="D356" s="695">
        <v>3</v>
      </c>
      <c r="E356" s="356">
        <f t="shared" si="44"/>
        <v>8343.7472222222223</v>
      </c>
      <c r="F356" s="356">
        <f t="shared" si="44"/>
        <v>0</v>
      </c>
      <c r="G356" s="356">
        <f t="shared" si="44"/>
        <v>0</v>
      </c>
      <c r="H356" s="356">
        <f t="shared" si="44"/>
        <v>105.1889120014245</v>
      </c>
      <c r="I356" s="356">
        <f t="shared" si="44"/>
        <v>113.07</v>
      </c>
      <c r="J356" s="356">
        <f t="shared" si="44"/>
        <v>5.0177777777777779</v>
      </c>
      <c r="K356" s="356">
        <f t="shared" si="44"/>
        <v>7.2519999999999998</v>
      </c>
      <c r="L356" s="356">
        <f t="shared" si="44"/>
        <v>8574.2759120014252</v>
      </c>
      <c r="M356" s="356">
        <f t="shared" si="44"/>
        <v>2072.6516774590455</v>
      </c>
      <c r="N356" s="556">
        <f t="shared" si="44"/>
        <v>10646.927589460469</v>
      </c>
      <c r="O356" s="356">
        <f t="shared" si="44"/>
        <v>214.66666666666666</v>
      </c>
      <c r="P356" s="556">
        <f t="shared" si="44"/>
        <v>173.05555555555557</v>
      </c>
      <c r="Q356" s="556">
        <f t="shared" si="44"/>
        <v>41.611111111111107</v>
      </c>
      <c r="R356" s="556"/>
      <c r="S356" s="556">
        <f t="shared" si="45"/>
        <v>408.85695144850428</v>
      </c>
      <c r="T356" s="556">
        <f t="shared" si="45"/>
        <v>314.60411626353283</v>
      </c>
      <c r="U356" s="10"/>
      <c r="V356" s="10"/>
      <c r="W356" s="10"/>
      <c r="X356" s="10"/>
      <c r="Y356" s="10"/>
    </row>
    <row r="357" spans="1:25" s="4" customFormat="1" ht="21" customHeight="1">
      <c r="A357" s="979"/>
      <c r="B357" s="982"/>
      <c r="C357" s="985"/>
      <c r="D357" s="698">
        <v>4</v>
      </c>
      <c r="E357" s="356">
        <f t="shared" si="44"/>
        <v>9754.5972222222226</v>
      </c>
      <c r="F357" s="356">
        <f t="shared" si="44"/>
        <v>0</v>
      </c>
      <c r="G357" s="356">
        <f t="shared" si="44"/>
        <v>0</v>
      </c>
      <c r="H357" s="356">
        <f t="shared" si="44"/>
        <v>113.27190211894587</v>
      </c>
      <c r="I357" s="356">
        <f t="shared" si="44"/>
        <v>113.07</v>
      </c>
      <c r="J357" s="356">
        <f t="shared" si="44"/>
        <v>5.0177777777777779</v>
      </c>
      <c r="K357" s="356">
        <f t="shared" si="44"/>
        <v>7.2519999999999998</v>
      </c>
      <c r="L357" s="356">
        <f t="shared" si="44"/>
        <v>9993.2089021189477</v>
      </c>
      <c r="M357" s="356">
        <f t="shared" si="44"/>
        <v>2427.3849249884261</v>
      </c>
      <c r="N357" s="556">
        <f t="shared" si="44"/>
        <v>12420.593827107372</v>
      </c>
      <c r="O357" s="356">
        <f t="shared" si="44"/>
        <v>249.66666666666666</v>
      </c>
      <c r="P357" s="556">
        <f t="shared" si="44"/>
        <v>201.05555555555557</v>
      </c>
      <c r="Q357" s="556">
        <f t="shared" si="44"/>
        <v>48.611111111111107</v>
      </c>
      <c r="R357" s="556"/>
      <c r="S357" s="556">
        <f t="shared" si="45"/>
        <v>479.80360095438044</v>
      </c>
      <c r="T357" s="556">
        <f t="shared" si="45"/>
        <v>371.36143586823368</v>
      </c>
      <c r="U357" s="10"/>
      <c r="V357" s="10"/>
      <c r="W357" s="10"/>
      <c r="X357" s="10"/>
      <c r="Y357" s="10"/>
    </row>
    <row r="358" spans="1:25" s="4" customFormat="1" ht="6.6" customHeight="1">
      <c r="A358" s="993"/>
      <c r="B358" s="994"/>
      <c r="C358" s="995"/>
      <c r="D358" s="695"/>
      <c r="E358" s="352"/>
      <c r="F358" s="352"/>
      <c r="G358" s="352"/>
      <c r="H358" s="352"/>
      <c r="I358" s="352"/>
      <c r="J358" s="352"/>
      <c r="K358" s="352"/>
      <c r="L358" s="352"/>
      <c r="M358" s="352"/>
      <c r="N358" s="560"/>
      <c r="O358" s="352"/>
      <c r="P358" s="352"/>
      <c r="Q358" s="561"/>
      <c r="R358" s="562"/>
      <c r="S358" s="560"/>
      <c r="T358" s="560"/>
      <c r="U358" s="10"/>
      <c r="V358" s="10"/>
      <c r="W358" s="10"/>
      <c r="X358" s="10"/>
      <c r="Y358" s="10"/>
    </row>
    <row r="359" spans="1:25" s="4" customFormat="1" ht="21" customHeight="1">
      <c r="A359" s="978" t="s">
        <v>10</v>
      </c>
      <c r="B359" s="981" t="s">
        <v>391</v>
      </c>
      <c r="C359" s="984" t="s">
        <v>278</v>
      </c>
      <c r="D359" s="695">
        <v>1</v>
      </c>
      <c r="E359" s="353">
        <f t="shared" ref="E359:Q362" si="46">E320++E325+E333+E$283+E$286</f>
        <v>363697.75</v>
      </c>
      <c r="F359" s="353">
        <f t="shared" si="46"/>
        <v>23073.599999999999</v>
      </c>
      <c r="G359" s="353">
        <f t="shared" si="46"/>
        <v>0</v>
      </c>
      <c r="H359" s="353">
        <f t="shared" si="46"/>
        <v>2358.2424525512815</v>
      </c>
      <c r="I359" s="353">
        <f t="shared" si="46"/>
        <v>8323.2576000000008</v>
      </c>
      <c r="J359" s="353">
        <f t="shared" si="46"/>
        <v>6928.8195999999998</v>
      </c>
      <c r="K359" s="353">
        <f t="shared" si="46"/>
        <v>709.0902000000001</v>
      </c>
      <c r="L359" s="353">
        <f t="shared" si="46"/>
        <v>405090.75985255127</v>
      </c>
      <c r="M359" s="353">
        <f t="shared" si="46"/>
        <v>99818.548261135249</v>
      </c>
      <c r="N359" s="349">
        <f t="shared" si="46"/>
        <v>504909.30811368657</v>
      </c>
      <c r="O359" s="353">
        <f t="shared" si="46"/>
        <v>8575</v>
      </c>
      <c r="P359" s="349">
        <f t="shared" si="46"/>
        <v>6880</v>
      </c>
      <c r="Q359" s="349">
        <f t="shared" si="46"/>
        <v>1695</v>
      </c>
      <c r="R359" s="349"/>
      <c r="S359" s="349">
        <f>S320++S325+S333+S$283+S$286</f>
        <v>19847.378316066846</v>
      </c>
      <c r="T359" s="349">
        <f>T320++T325+T333+T$283+T$286</f>
        <v>15621.973713301024</v>
      </c>
      <c r="U359" s="10"/>
      <c r="V359" s="10"/>
      <c r="W359" s="10"/>
      <c r="X359" s="10"/>
      <c r="Y359" s="10"/>
    </row>
    <row r="360" spans="1:25" s="4" customFormat="1" ht="21" customHeight="1">
      <c r="A360" s="979"/>
      <c r="B360" s="982"/>
      <c r="C360" s="985"/>
      <c r="D360" s="695">
        <v>2</v>
      </c>
      <c r="E360" s="353">
        <f t="shared" si="46"/>
        <v>123765.00750000001</v>
      </c>
      <c r="F360" s="353">
        <f t="shared" si="46"/>
        <v>27669</v>
      </c>
      <c r="G360" s="353">
        <f t="shared" si="46"/>
        <v>0</v>
      </c>
      <c r="H360" s="353">
        <f t="shared" si="46"/>
        <v>2901.6536990224349</v>
      </c>
      <c r="I360" s="353">
        <f t="shared" si="46"/>
        <v>8323.2576000000008</v>
      </c>
      <c r="J360" s="353">
        <f t="shared" si="46"/>
        <v>7939.6228000000001</v>
      </c>
      <c r="K360" s="353">
        <f t="shared" si="46"/>
        <v>737.83920000000012</v>
      </c>
      <c r="L360" s="353">
        <f t="shared" si="46"/>
        <v>171336.38079902242</v>
      </c>
      <c r="M360" s="353">
        <f t="shared" si="46"/>
        <v>41325.407935585739</v>
      </c>
      <c r="N360" s="349">
        <f t="shared" si="46"/>
        <v>212661.78873460818</v>
      </c>
      <c r="O360" s="353">
        <f t="shared" si="46"/>
        <v>3000.15</v>
      </c>
      <c r="P360" s="349">
        <f t="shared" si="46"/>
        <v>2421</v>
      </c>
      <c r="Q360" s="349">
        <f t="shared" si="46"/>
        <v>579.15</v>
      </c>
      <c r="R360" s="349"/>
      <c r="S360" s="359" t="e">
        <f>S321+S326+#REF!+#REF!+S334+S$283+S$286</f>
        <v>#REF!</v>
      </c>
      <c r="T360" s="359" t="e">
        <f>T321+T326+#REF!+#REF!+T334+T$283+T$286</f>
        <v>#REF!</v>
      </c>
      <c r="U360" s="10"/>
      <c r="V360" s="10"/>
      <c r="W360" s="10"/>
      <c r="X360" s="10"/>
      <c r="Y360" s="10"/>
    </row>
    <row r="361" spans="1:25" s="4" customFormat="1" ht="21" customHeight="1">
      <c r="A361" s="979"/>
      <c r="B361" s="982"/>
      <c r="C361" s="985"/>
      <c r="D361" s="695">
        <v>3</v>
      </c>
      <c r="E361" s="353">
        <f t="shared" si="46"/>
        <v>519892.81624999997</v>
      </c>
      <c r="F361" s="353">
        <f t="shared" si="46"/>
        <v>33202.800000000003</v>
      </c>
      <c r="G361" s="353">
        <f t="shared" si="46"/>
        <v>0</v>
      </c>
      <c r="H361" s="353">
        <f t="shared" si="46"/>
        <v>3807.3391098076913</v>
      </c>
      <c r="I361" s="353">
        <f t="shared" si="46"/>
        <v>8323.2576000000008</v>
      </c>
      <c r="J361" s="353">
        <f t="shared" si="46"/>
        <v>10489.425999999999</v>
      </c>
      <c r="K361" s="353">
        <f t="shared" si="46"/>
        <v>810.56639999999993</v>
      </c>
      <c r="L361" s="353">
        <f t="shared" si="46"/>
        <v>576526.2053598077</v>
      </c>
      <c r="M361" s="353">
        <f t="shared" si="46"/>
        <v>142491.93917216986</v>
      </c>
      <c r="N361" s="349">
        <f t="shared" si="46"/>
        <v>719018.1445319776</v>
      </c>
      <c r="O361" s="353">
        <f t="shared" si="46"/>
        <v>12219.325000000001</v>
      </c>
      <c r="P361" s="349">
        <f t="shared" si="46"/>
        <v>9798.5</v>
      </c>
      <c r="Q361" s="349">
        <f t="shared" si="46"/>
        <v>2420.8249999999998</v>
      </c>
      <c r="R361" s="349"/>
      <c r="S361" s="359" t="e">
        <f>S322+S327+#REF!+#REF!+S335+S$283+S$286</f>
        <v>#REF!</v>
      </c>
      <c r="T361" s="359" t="e">
        <f>T322+T327+#REF!+#REF!+T335+T$283+T$286</f>
        <v>#REF!</v>
      </c>
      <c r="U361" s="10"/>
      <c r="V361" s="10"/>
      <c r="W361" s="10"/>
      <c r="X361" s="10"/>
      <c r="Y361" s="10"/>
    </row>
    <row r="362" spans="1:25" s="4" customFormat="1" ht="21" customHeight="1">
      <c r="A362" s="980"/>
      <c r="B362" s="983"/>
      <c r="C362" s="986"/>
      <c r="D362" s="697">
        <v>4</v>
      </c>
      <c r="E362" s="379">
        <f t="shared" si="46"/>
        <v>616701.49250000005</v>
      </c>
      <c r="F362" s="379">
        <f t="shared" si="46"/>
        <v>39854.400000000001</v>
      </c>
      <c r="G362" s="379">
        <f t="shared" si="46"/>
        <v>0</v>
      </c>
      <c r="H362" s="379">
        <f t="shared" si="46"/>
        <v>4169.6132741217943</v>
      </c>
      <c r="I362" s="379">
        <f t="shared" si="46"/>
        <v>8323.2576000000008</v>
      </c>
      <c r="J362" s="379">
        <f t="shared" si="46"/>
        <v>11519.700800000001</v>
      </c>
      <c r="K362" s="379">
        <f t="shared" si="46"/>
        <v>838.53839999999991</v>
      </c>
      <c r="L362" s="379">
        <f t="shared" si="46"/>
        <v>681407.00257412181</v>
      </c>
      <c r="M362" s="379">
        <f t="shared" si="46"/>
        <v>168658.92753430351</v>
      </c>
      <c r="N362" s="381">
        <f t="shared" si="46"/>
        <v>850065.93010842544</v>
      </c>
      <c r="O362" s="379">
        <f t="shared" si="46"/>
        <v>14473.85</v>
      </c>
      <c r="P362" s="381">
        <f t="shared" si="46"/>
        <v>11603</v>
      </c>
      <c r="Q362" s="381">
        <f t="shared" si="46"/>
        <v>2870.85</v>
      </c>
      <c r="R362" s="381"/>
      <c r="S362" s="676" t="e">
        <f>S323+S328+#REF!+#REF!+S336+S$283+S$286</f>
        <v>#REF!</v>
      </c>
      <c r="T362" s="676" t="e">
        <f>T323+T328+#REF!+#REF!+T336+T$283+T$286</f>
        <v>#REF!</v>
      </c>
      <c r="U362" s="10"/>
      <c r="V362" s="10"/>
      <c r="W362" s="10"/>
      <c r="X362" s="10"/>
      <c r="Y362" s="10"/>
    </row>
    <row r="363" spans="1:25" s="4" customFormat="1" ht="12.75">
      <c r="A363" s="677"/>
      <c r="B363" s="678"/>
      <c r="C363" s="678"/>
      <c r="D363" s="677"/>
      <c r="E363" s="679"/>
      <c r="F363" s="679"/>
      <c r="G363" s="679"/>
      <c r="H363" s="679"/>
      <c r="I363" s="679"/>
      <c r="J363" s="679"/>
      <c r="K363" s="679"/>
      <c r="L363" s="679"/>
      <c r="M363" s="679"/>
      <c r="N363" s="679"/>
      <c r="O363" s="570"/>
      <c r="P363" s="570"/>
      <c r="Q363" s="570"/>
      <c r="R363" s="571"/>
      <c r="S363" s="10"/>
      <c r="T363" s="10"/>
      <c r="U363" s="10"/>
      <c r="V363" s="10"/>
      <c r="W363" s="10"/>
      <c r="X363" s="10"/>
      <c r="Y363" s="10"/>
    </row>
    <row r="364" spans="1:25" s="4" customFormat="1" ht="12.75">
      <c r="A364" s="677"/>
      <c r="B364" s="678"/>
      <c r="C364" s="678"/>
      <c r="D364" s="677"/>
      <c r="E364" s="679"/>
      <c r="F364" s="679"/>
      <c r="G364" s="679"/>
      <c r="H364" s="679"/>
      <c r="I364" s="679"/>
      <c r="J364" s="679"/>
      <c r="K364" s="679"/>
      <c r="L364" s="679"/>
      <c r="M364" s="679"/>
      <c r="N364" s="679"/>
      <c r="O364" s="570"/>
      <c r="P364" s="570"/>
      <c r="Q364" s="570"/>
      <c r="R364" s="571"/>
      <c r="S364" s="10"/>
      <c r="T364" s="10"/>
      <c r="U364" s="10"/>
      <c r="V364" s="10"/>
      <c r="W364" s="10"/>
      <c r="X364" s="10"/>
      <c r="Y364" s="10"/>
    </row>
    <row r="365" spans="1:25" s="4" customFormat="1" ht="12.75">
      <c r="A365" s="677"/>
      <c r="B365" s="678"/>
      <c r="C365" s="678"/>
      <c r="D365" s="677"/>
      <c r="E365" s="679"/>
      <c r="F365" s="679"/>
      <c r="G365" s="679"/>
      <c r="H365" s="679"/>
      <c r="I365" s="679"/>
      <c r="J365" s="679"/>
      <c r="K365" s="679"/>
      <c r="L365" s="679"/>
      <c r="M365" s="679"/>
      <c r="N365" s="679"/>
      <c r="O365" s="570"/>
      <c r="P365" s="570"/>
      <c r="Q365" s="570"/>
      <c r="R365" s="571"/>
      <c r="S365" s="10"/>
      <c r="T365" s="10"/>
      <c r="U365" s="10"/>
      <c r="V365" s="10"/>
      <c r="W365" s="10"/>
      <c r="X365" s="10"/>
      <c r="Y365" s="10"/>
    </row>
    <row r="366" spans="1:25" s="4" customFormat="1" ht="12.75">
      <c r="A366" s="677"/>
      <c r="B366" s="678"/>
      <c r="C366" s="678"/>
      <c r="D366" s="677"/>
      <c r="E366" s="679"/>
      <c r="F366" s="679"/>
      <c r="G366" s="679"/>
      <c r="H366" s="679"/>
      <c r="I366" s="679"/>
      <c r="J366" s="679"/>
      <c r="K366" s="679"/>
      <c r="L366" s="679"/>
      <c r="M366" s="679"/>
      <c r="N366" s="679"/>
      <c r="O366" s="570"/>
      <c r="P366" s="570"/>
      <c r="Q366" s="570"/>
      <c r="R366" s="571"/>
      <c r="S366" s="10"/>
      <c r="T366" s="10"/>
      <c r="U366" s="10"/>
      <c r="V366" s="10"/>
      <c r="W366" s="10"/>
      <c r="X366" s="10"/>
      <c r="Y366" s="10"/>
    </row>
    <row r="367" spans="1:25" s="4" customFormat="1" ht="12.75">
      <c r="A367" s="677"/>
      <c r="B367" s="678"/>
      <c r="C367" s="678"/>
      <c r="D367" s="677"/>
      <c r="E367" s="679"/>
      <c r="F367" s="679"/>
      <c r="G367" s="679"/>
      <c r="H367" s="679"/>
      <c r="I367" s="679"/>
      <c r="J367" s="679"/>
      <c r="K367" s="679"/>
      <c r="L367" s="679"/>
      <c r="M367" s="679"/>
      <c r="N367" s="679"/>
      <c r="O367" s="570"/>
      <c r="P367" s="570"/>
      <c r="Q367" s="570"/>
      <c r="R367" s="571"/>
      <c r="S367" s="10"/>
      <c r="T367" s="10"/>
      <c r="U367" s="10"/>
      <c r="V367" s="10"/>
      <c r="W367" s="10"/>
      <c r="X367" s="10"/>
      <c r="Y367" s="10"/>
    </row>
    <row r="368" spans="1:25" s="4" customFormat="1" ht="12.75">
      <c r="A368" s="677"/>
      <c r="B368" s="678"/>
      <c r="C368" s="678"/>
      <c r="D368" s="677"/>
      <c r="E368" s="679"/>
      <c r="F368" s="679"/>
      <c r="G368" s="679"/>
      <c r="H368" s="679"/>
      <c r="I368" s="679"/>
      <c r="J368" s="679"/>
      <c r="K368" s="679"/>
      <c r="L368" s="679"/>
      <c r="M368" s="679"/>
      <c r="N368" s="679"/>
      <c r="O368" s="570"/>
      <c r="P368" s="570"/>
      <c r="Q368" s="570"/>
      <c r="R368" s="571"/>
      <c r="S368" s="10"/>
      <c r="T368" s="10"/>
      <c r="U368" s="10"/>
      <c r="V368" s="10"/>
      <c r="W368" s="10"/>
      <c r="X368" s="10"/>
      <c r="Y368" s="10"/>
    </row>
    <row r="369" spans="1:25" s="4" customFormat="1" ht="12.75">
      <c r="A369" s="677"/>
      <c r="B369" s="678"/>
      <c r="C369" s="678"/>
      <c r="D369" s="677"/>
      <c r="E369" s="679"/>
      <c r="F369" s="679"/>
      <c r="G369" s="679"/>
      <c r="H369" s="679"/>
      <c r="I369" s="679"/>
      <c r="J369" s="679"/>
      <c r="K369" s="679"/>
      <c r="L369" s="679"/>
      <c r="M369" s="679"/>
      <c r="N369" s="679"/>
      <c r="O369" s="570"/>
      <c r="P369" s="570"/>
      <c r="Q369" s="570"/>
      <c r="R369" s="571"/>
      <c r="S369" s="10"/>
      <c r="T369" s="10"/>
      <c r="U369" s="10"/>
      <c r="V369" s="10"/>
      <c r="W369" s="10"/>
      <c r="X369" s="10"/>
      <c r="Y369" s="10"/>
    </row>
    <row r="370" spans="1:25" s="4" customFormat="1" ht="12.75">
      <c r="A370" s="677"/>
      <c r="B370" s="678"/>
      <c r="C370" s="678"/>
      <c r="D370" s="677"/>
      <c r="E370" s="679"/>
      <c r="F370" s="679"/>
      <c r="G370" s="679"/>
      <c r="H370" s="679"/>
      <c r="I370" s="679"/>
      <c r="J370" s="679"/>
      <c r="K370" s="679"/>
      <c r="L370" s="679"/>
      <c r="M370" s="679"/>
      <c r="N370" s="679"/>
      <c r="O370" s="570"/>
      <c r="P370" s="570"/>
      <c r="Q370" s="570"/>
      <c r="R370" s="571"/>
      <c r="S370" s="10"/>
      <c r="T370" s="10"/>
      <c r="U370" s="10"/>
      <c r="V370" s="10"/>
      <c r="W370" s="10"/>
      <c r="X370" s="10"/>
      <c r="Y370" s="10"/>
    </row>
    <row r="371" spans="1:25" s="4" customFormat="1" ht="12.75">
      <c r="A371" s="677"/>
      <c r="B371" s="678"/>
      <c r="C371" s="678"/>
      <c r="D371" s="677"/>
      <c r="E371" s="679"/>
      <c r="F371" s="679"/>
      <c r="G371" s="679"/>
      <c r="H371" s="679"/>
      <c r="I371" s="679"/>
      <c r="J371" s="679"/>
      <c r="K371" s="679"/>
      <c r="L371" s="679"/>
      <c r="M371" s="679"/>
      <c r="N371" s="679"/>
      <c r="O371" s="570"/>
      <c r="P371" s="570"/>
      <c r="Q371" s="570"/>
      <c r="R371" s="571"/>
      <c r="S371" s="10"/>
      <c r="T371" s="10"/>
      <c r="U371" s="10"/>
      <c r="V371" s="10"/>
      <c r="W371" s="10"/>
      <c r="X371" s="10"/>
      <c r="Y371" s="10"/>
    </row>
    <row r="372" spans="1:25" s="4" customFormat="1" ht="12.75">
      <c r="A372" s="677"/>
      <c r="B372" s="678"/>
      <c r="C372" s="678"/>
      <c r="D372" s="677"/>
      <c r="E372" s="679"/>
      <c r="F372" s="679"/>
      <c r="G372" s="679"/>
      <c r="H372" s="679"/>
      <c r="I372" s="679"/>
      <c r="J372" s="679"/>
      <c r="K372" s="679"/>
      <c r="L372" s="679"/>
      <c r="M372" s="679"/>
      <c r="N372" s="679"/>
      <c r="O372" s="570"/>
      <c r="P372" s="570"/>
      <c r="Q372" s="570"/>
      <c r="R372" s="571"/>
      <c r="S372" s="10"/>
      <c r="T372" s="10"/>
      <c r="U372" s="10"/>
      <c r="V372" s="10"/>
      <c r="W372" s="10"/>
      <c r="X372" s="10"/>
      <c r="Y372" s="10"/>
    </row>
    <row r="373" spans="1:25" s="4" customFormat="1" ht="12.75">
      <c r="A373" s="677"/>
      <c r="B373" s="678"/>
      <c r="C373" s="678"/>
      <c r="D373" s="677"/>
      <c r="E373" s="679"/>
      <c r="F373" s="679"/>
      <c r="G373" s="679"/>
      <c r="H373" s="679"/>
      <c r="I373" s="679"/>
      <c r="J373" s="679"/>
      <c r="K373" s="679"/>
      <c r="L373" s="679"/>
      <c r="M373" s="679"/>
      <c r="N373" s="679"/>
      <c r="O373" s="570"/>
      <c r="P373" s="570"/>
      <c r="Q373" s="570"/>
      <c r="R373" s="571"/>
      <c r="S373" s="10"/>
      <c r="T373" s="10"/>
      <c r="U373" s="10"/>
      <c r="V373" s="10"/>
      <c r="W373" s="10"/>
      <c r="X373" s="10"/>
      <c r="Y373" s="10"/>
    </row>
    <row r="374" spans="1:25" s="4" customFormat="1" ht="12.75">
      <c r="A374" s="677"/>
      <c r="B374" s="678"/>
      <c r="C374" s="678"/>
      <c r="D374" s="677"/>
      <c r="E374" s="679"/>
      <c r="F374" s="679"/>
      <c r="G374" s="679"/>
      <c r="H374" s="679"/>
      <c r="I374" s="679"/>
      <c r="J374" s="679"/>
      <c r="K374" s="679"/>
      <c r="L374" s="679"/>
      <c r="M374" s="679"/>
      <c r="N374" s="679"/>
      <c r="O374" s="570"/>
      <c r="P374" s="570"/>
      <c r="Q374" s="570"/>
      <c r="R374" s="571"/>
      <c r="S374" s="10"/>
      <c r="T374" s="10"/>
      <c r="U374" s="10"/>
      <c r="V374" s="10"/>
      <c r="W374" s="10"/>
      <c r="X374" s="10"/>
      <c r="Y374" s="10"/>
    </row>
    <row r="375" spans="1:25" s="4" customFormat="1" ht="12.75">
      <c r="A375" s="677"/>
      <c r="B375" s="678"/>
      <c r="C375" s="678"/>
      <c r="D375" s="677"/>
      <c r="E375" s="679"/>
      <c r="F375" s="679"/>
      <c r="G375" s="679"/>
      <c r="H375" s="679"/>
      <c r="I375" s="679"/>
      <c r="J375" s="679"/>
      <c r="K375" s="679"/>
      <c r="L375" s="679"/>
      <c r="M375" s="679"/>
      <c r="N375" s="679"/>
      <c r="O375" s="570"/>
      <c r="P375" s="570"/>
      <c r="Q375" s="570"/>
      <c r="R375" s="571"/>
      <c r="S375" s="10"/>
      <c r="T375" s="10"/>
      <c r="U375" s="10"/>
      <c r="V375" s="10"/>
      <c r="W375" s="10"/>
      <c r="X375" s="10"/>
      <c r="Y375" s="10"/>
    </row>
    <row r="376" spans="1:25" s="4" customFormat="1" ht="12.75">
      <c r="A376" s="677"/>
      <c r="B376" s="678"/>
      <c r="C376" s="678"/>
      <c r="D376" s="677"/>
      <c r="E376" s="679"/>
      <c r="F376" s="679"/>
      <c r="G376" s="679"/>
      <c r="H376" s="679"/>
      <c r="I376" s="679"/>
      <c r="J376" s="679"/>
      <c r="K376" s="679"/>
      <c r="L376" s="679"/>
      <c r="M376" s="679"/>
      <c r="N376" s="679"/>
      <c r="O376" s="570"/>
      <c r="P376" s="570"/>
      <c r="Q376" s="570"/>
      <c r="R376" s="571"/>
      <c r="S376" s="10"/>
      <c r="T376" s="10"/>
      <c r="U376" s="10"/>
      <c r="V376" s="10"/>
      <c r="W376" s="10"/>
      <c r="X376" s="10"/>
      <c r="Y376" s="10"/>
    </row>
    <row r="377" spans="1:25" s="4" customFormat="1" ht="12.75">
      <c r="A377" s="677"/>
      <c r="B377" s="678"/>
      <c r="C377" s="678"/>
      <c r="D377" s="677"/>
      <c r="E377" s="679"/>
      <c r="F377" s="679"/>
      <c r="G377" s="679"/>
      <c r="H377" s="679"/>
      <c r="I377" s="679"/>
      <c r="J377" s="679"/>
      <c r="K377" s="679"/>
      <c r="L377" s="679"/>
      <c r="M377" s="679"/>
      <c r="N377" s="679"/>
      <c r="O377" s="570"/>
      <c r="P377" s="570"/>
      <c r="Q377" s="570"/>
      <c r="R377" s="571"/>
      <c r="S377" s="10"/>
      <c r="T377" s="10"/>
      <c r="U377" s="10"/>
      <c r="V377" s="10"/>
      <c r="W377" s="10"/>
      <c r="X377" s="10"/>
      <c r="Y377" s="10"/>
    </row>
    <row r="378" spans="1:25" s="4" customFormat="1" ht="12.75">
      <c r="A378" s="677"/>
      <c r="B378" s="678"/>
      <c r="C378" s="678"/>
      <c r="D378" s="677"/>
      <c r="E378" s="679"/>
      <c r="F378" s="679"/>
      <c r="G378" s="679"/>
      <c r="H378" s="679"/>
      <c r="I378" s="679"/>
      <c r="J378" s="679"/>
      <c r="K378" s="679"/>
      <c r="L378" s="679"/>
      <c r="M378" s="679"/>
      <c r="N378" s="679"/>
      <c r="O378" s="570"/>
      <c r="P378" s="570"/>
      <c r="Q378" s="570"/>
      <c r="R378" s="571"/>
      <c r="S378" s="10"/>
      <c r="T378" s="10"/>
      <c r="U378" s="10"/>
      <c r="V378" s="10"/>
      <c r="W378" s="10"/>
      <c r="X378" s="10"/>
      <c r="Y378" s="10"/>
    </row>
    <row r="379" spans="1:25" s="4" customFormat="1" ht="12.75">
      <c r="A379" s="677"/>
      <c r="B379" s="678"/>
      <c r="C379" s="678"/>
      <c r="D379" s="677"/>
      <c r="E379" s="679"/>
      <c r="F379" s="679"/>
      <c r="G379" s="679"/>
      <c r="H379" s="679"/>
      <c r="I379" s="679"/>
      <c r="J379" s="679"/>
      <c r="K379" s="679"/>
      <c r="L379" s="679"/>
      <c r="M379" s="679"/>
      <c r="N379" s="679"/>
      <c r="O379" s="570"/>
      <c r="P379" s="570"/>
      <c r="Q379" s="570"/>
      <c r="R379" s="571"/>
      <c r="S379" s="10"/>
      <c r="T379" s="10"/>
      <c r="U379" s="10"/>
      <c r="V379" s="10"/>
      <c r="W379" s="10"/>
      <c r="X379" s="10"/>
      <c r="Y379" s="10"/>
    </row>
    <row r="380" spans="1:25" s="4" customFormat="1" ht="12.75">
      <c r="A380" s="677"/>
      <c r="B380" s="678"/>
      <c r="C380" s="678"/>
      <c r="D380" s="677"/>
      <c r="E380" s="679"/>
      <c r="F380" s="679"/>
      <c r="G380" s="679"/>
      <c r="H380" s="679"/>
      <c r="I380" s="679"/>
      <c r="J380" s="679"/>
      <c r="K380" s="679"/>
      <c r="L380" s="679"/>
      <c r="M380" s="679"/>
      <c r="N380" s="679"/>
      <c r="O380" s="570"/>
      <c r="P380" s="570"/>
      <c r="Q380" s="570"/>
      <c r="R380" s="571"/>
      <c r="S380" s="10"/>
      <c r="T380" s="10"/>
      <c r="U380" s="10"/>
      <c r="V380" s="10"/>
      <c r="W380" s="10"/>
      <c r="X380" s="10"/>
      <c r="Y380" s="10"/>
    </row>
    <row r="381" spans="1:25" s="4" customFormat="1" ht="12.75">
      <c r="A381" s="677"/>
      <c r="B381" s="678"/>
      <c r="C381" s="678"/>
      <c r="D381" s="677"/>
      <c r="E381" s="679"/>
      <c r="F381" s="679"/>
      <c r="G381" s="679"/>
      <c r="H381" s="679"/>
      <c r="I381" s="679"/>
      <c r="J381" s="679"/>
      <c r="K381" s="679"/>
      <c r="L381" s="679"/>
      <c r="M381" s="679"/>
      <c r="N381" s="679"/>
      <c r="O381" s="570"/>
      <c r="P381" s="570"/>
      <c r="Q381" s="570"/>
      <c r="R381" s="571"/>
      <c r="S381" s="10"/>
      <c r="T381" s="10"/>
      <c r="U381" s="10"/>
      <c r="V381" s="10"/>
      <c r="W381" s="10"/>
      <c r="X381" s="10"/>
      <c r="Y381" s="10"/>
    </row>
    <row r="382" spans="1:25" s="4" customFormat="1" ht="12.75">
      <c r="A382" s="677"/>
      <c r="B382" s="678"/>
      <c r="C382" s="678"/>
      <c r="D382" s="677"/>
      <c r="E382" s="679"/>
      <c r="F382" s="679"/>
      <c r="G382" s="679"/>
      <c r="H382" s="679"/>
      <c r="I382" s="679"/>
      <c r="J382" s="679"/>
      <c r="K382" s="679"/>
      <c r="L382" s="679"/>
      <c r="M382" s="679"/>
      <c r="N382" s="679"/>
      <c r="O382" s="570"/>
      <c r="P382" s="570"/>
      <c r="Q382" s="570"/>
      <c r="R382" s="571"/>
      <c r="S382" s="10"/>
      <c r="T382" s="10"/>
      <c r="U382" s="10"/>
      <c r="V382" s="10"/>
      <c r="W382" s="10"/>
      <c r="X382" s="10"/>
      <c r="Y382" s="10"/>
    </row>
    <row r="383" spans="1:25" s="4" customFormat="1" ht="12.75">
      <c r="A383" s="677"/>
      <c r="B383" s="678"/>
      <c r="C383" s="678"/>
      <c r="D383" s="677"/>
      <c r="E383" s="679"/>
      <c r="F383" s="679"/>
      <c r="G383" s="679"/>
      <c r="H383" s="679"/>
      <c r="I383" s="679"/>
      <c r="J383" s="679"/>
      <c r="K383" s="679"/>
      <c r="L383" s="679"/>
      <c r="M383" s="679"/>
      <c r="N383" s="679"/>
      <c r="O383" s="570"/>
      <c r="P383" s="570"/>
      <c r="Q383" s="570"/>
      <c r="R383" s="571"/>
      <c r="S383" s="10"/>
      <c r="T383" s="10"/>
      <c r="U383" s="10"/>
      <c r="V383" s="10"/>
      <c r="W383" s="10"/>
      <c r="X383" s="10"/>
      <c r="Y383" s="10"/>
    </row>
    <row r="384" spans="1:25" s="4" customFormat="1" ht="12.75">
      <c r="A384" s="677"/>
      <c r="B384" s="678"/>
      <c r="C384" s="678"/>
      <c r="D384" s="677"/>
      <c r="E384" s="679"/>
      <c r="F384" s="679"/>
      <c r="G384" s="679"/>
      <c r="H384" s="679"/>
      <c r="I384" s="679"/>
      <c r="J384" s="679"/>
      <c r="K384" s="679"/>
      <c r="L384" s="679"/>
      <c r="M384" s="679"/>
      <c r="N384" s="679"/>
      <c r="O384" s="570"/>
      <c r="P384" s="570"/>
      <c r="Q384" s="570"/>
      <c r="R384" s="571"/>
      <c r="S384" s="10"/>
      <c r="T384" s="10"/>
      <c r="U384" s="10"/>
      <c r="V384" s="10"/>
      <c r="W384" s="10"/>
      <c r="X384" s="10"/>
      <c r="Y384" s="10"/>
    </row>
    <row r="385" spans="1:25" s="4" customFormat="1" ht="12.75">
      <c r="A385" s="677"/>
      <c r="B385" s="678"/>
      <c r="C385" s="678"/>
      <c r="D385" s="677"/>
      <c r="E385" s="679"/>
      <c r="F385" s="679"/>
      <c r="G385" s="679"/>
      <c r="H385" s="679"/>
      <c r="I385" s="679"/>
      <c r="J385" s="679"/>
      <c r="K385" s="679"/>
      <c r="L385" s="679"/>
      <c r="M385" s="679"/>
      <c r="N385" s="679"/>
      <c r="O385" s="570"/>
      <c r="P385" s="570"/>
      <c r="Q385" s="570"/>
      <c r="R385" s="571"/>
      <c r="S385" s="10"/>
      <c r="T385" s="10"/>
      <c r="U385" s="10"/>
      <c r="V385" s="10"/>
      <c r="W385" s="10"/>
      <c r="X385" s="10"/>
      <c r="Y385" s="10"/>
    </row>
    <row r="386" spans="1:25" s="4" customFormat="1" ht="12.75">
      <c r="A386" s="677"/>
      <c r="B386" s="678"/>
      <c r="C386" s="678"/>
      <c r="D386" s="677"/>
      <c r="E386" s="679"/>
      <c r="F386" s="679"/>
      <c r="G386" s="679"/>
      <c r="H386" s="679"/>
      <c r="I386" s="679"/>
      <c r="J386" s="679"/>
      <c r="K386" s="679"/>
      <c r="L386" s="679"/>
      <c r="M386" s="679"/>
      <c r="N386" s="679"/>
      <c r="O386" s="570"/>
      <c r="P386" s="570"/>
      <c r="Q386" s="570"/>
      <c r="R386" s="571"/>
      <c r="S386" s="10"/>
      <c r="T386" s="10"/>
      <c r="U386" s="10"/>
      <c r="V386" s="10"/>
      <c r="W386" s="10"/>
      <c r="X386" s="10"/>
      <c r="Y386" s="10"/>
    </row>
    <row r="387" spans="1:25" s="4" customFormat="1" ht="12.75">
      <c r="A387" s="677"/>
      <c r="B387" s="678"/>
      <c r="C387" s="678"/>
      <c r="D387" s="677"/>
      <c r="E387" s="679"/>
      <c r="F387" s="679"/>
      <c r="G387" s="679"/>
      <c r="H387" s="679"/>
      <c r="I387" s="679"/>
      <c r="J387" s="679"/>
      <c r="K387" s="679"/>
      <c r="L387" s="679"/>
      <c r="M387" s="679"/>
      <c r="N387" s="679"/>
      <c r="O387" s="570"/>
      <c r="P387" s="570"/>
      <c r="Q387" s="570"/>
      <c r="R387" s="571"/>
      <c r="S387" s="10"/>
      <c r="T387" s="10"/>
      <c r="U387" s="10"/>
      <c r="V387" s="10"/>
      <c r="W387" s="10"/>
      <c r="X387" s="10"/>
      <c r="Y387" s="10"/>
    </row>
    <row r="388" spans="1:25" s="4" customFormat="1" ht="12.75">
      <c r="A388" s="677"/>
      <c r="B388" s="678"/>
      <c r="C388" s="678"/>
      <c r="D388" s="677"/>
      <c r="E388" s="679"/>
      <c r="F388" s="679"/>
      <c r="G388" s="679"/>
      <c r="H388" s="679"/>
      <c r="I388" s="679"/>
      <c r="J388" s="679"/>
      <c r="K388" s="679"/>
      <c r="L388" s="679"/>
      <c r="M388" s="679"/>
      <c r="N388" s="679"/>
      <c r="O388" s="570"/>
      <c r="P388" s="570"/>
      <c r="Q388" s="570"/>
      <c r="R388" s="571"/>
      <c r="S388" s="10"/>
      <c r="T388" s="10"/>
      <c r="U388" s="10"/>
      <c r="V388" s="10"/>
      <c r="W388" s="10"/>
      <c r="X388" s="10"/>
      <c r="Y388" s="10"/>
    </row>
    <row r="389" spans="1:25" s="4" customFormat="1" ht="12.75">
      <c r="A389" s="677"/>
      <c r="B389" s="678"/>
      <c r="C389" s="678"/>
      <c r="D389" s="677"/>
      <c r="E389" s="679"/>
      <c r="F389" s="679"/>
      <c r="G389" s="679"/>
      <c r="H389" s="679"/>
      <c r="I389" s="679"/>
      <c r="J389" s="679"/>
      <c r="K389" s="679"/>
      <c r="L389" s="679"/>
      <c r="M389" s="679"/>
      <c r="N389" s="679"/>
      <c r="O389" s="570"/>
      <c r="P389" s="570"/>
      <c r="Q389" s="570"/>
      <c r="R389" s="571"/>
      <c r="S389" s="10"/>
      <c r="T389" s="10"/>
      <c r="U389" s="10"/>
      <c r="V389" s="10"/>
      <c r="W389" s="10"/>
      <c r="X389" s="10"/>
      <c r="Y389" s="10"/>
    </row>
    <row r="390" spans="1:25" s="4" customFormat="1" ht="12.75">
      <c r="A390" s="677"/>
      <c r="B390" s="678"/>
      <c r="C390" s="678"/>
      <c r="D390" s="677"/>
      <c r="E390" s="679"/>
      <c r="F390" s="679"/>
      <c r="G390" s="679"/>
      <c r="H390" s="679"/>
      <c r="I390" s="679"/>
      <c r="J390" s="679"/>
      <c r="K390" s="679"/>
      <c r="L390" s="679"/>
      <c r="M390" s="679"/>
      <c r="N390" s="679"/>
      <c r="O390" s="570"/>
      <c r="P390" s="570"/>
      <c r="Q390" s="570"/>
      <c r="R390" s="571"/>
      <c r="S390" s="10"/>
      <c r="T390" s="10"/>
      <c r="U390" s="10"/>
      <c r="V390" s="10"/>
      <c r="W390" s="10"/>
      <c r="X390" s="10"/>
      <c r="Y390" s="10"/>
    </row>
    <row r="391" spans="1:25" s="4" customFormat="1" ht="12.75">
      <c r="A391" s="677"/>
      <c r="B391" s="678"/>
      <c r="C391" s="678"/>
      <c r="D391" s="677"/>
      <c r="E391" s="679"/>
      <c r="F391" s="679"/>
      <c r="G391" s="679"/>
      <c r="H391" s="679"/>
      <c r="I391" s="679"/>
      <c r="J391" s="679"/>
      <c r="K391" s="679"/>
      <c r="L391" s="679"/>
      <c r="M391" s="679"/>
      <c r="N391" s="679"/>
      <c r="O391" s="570"/>
      <c r="P391" s="570"/>
      <c r="Q391" s="570"/>
      <c r="R391" s="571"/>
      <c r="S391" s="10"/>
      <c r="T391" s="10"/>
      <c r="U391" s="10"/>
      <c r="V391" s="10"/>
      <c r="W391" s="10"/>
      <c r="X391" s="10"/>
      <c r="Y391" s="10"/>
    </row>
    <row r="392" spans="1:25" s="4" customFormat="1" ht="12.75">
      <c r="A392" s="677"/>
      <c r="B392" s="678"/>
      <c r="C392" s="678"/>
      <c r="D392" s="677"/>
      <c r="E392" s="679"/>
      <c r="F392" s="679"/>
      <c r="G392" s="679"/>
      <c r="H392" s="679"/>
      <c r="I392" s="679"/>
      <c r="J392" s="679"/>
      <c r="K392" s="679"/>
      <c r="L392" s="679"/>
      <c r="M392" s="679"/>
      <c r="N392" s="679"/>
      <c r="O392" s="570"/>
      <c r="P392" s="570"/>
      <c r="Q392" s="570"/>
      <c r="R392" s="571"/>
      <c r="S392" s="10"/>
      <c r="T392" s="10"/>
      <c r="U392" s="10"/>
      <c r="V392" s="10"/>
      <c r="W392" s="10"/>
      <c r="X392" s="10"/>
      <c r="Y392" s="10"/>
    </row>
    <row r="393" spans="1:25" s="4" customFormat="1" ht="12.75">
      <c r="A393" s="677"/>
      <c r="B393" s="678"/>
      <c r="C393" s="678"/>
      <c r="D393" s="677"/>
      <c r="E393" s="679"/>
      <c r="F393" s="679"/>
      <c r="G393" s="679"/>
      <c r="H393" s="679"/>
      <c r="I393" s="679"/>
      <c r="J393" s="679"/>
      <c r="K393" s="679"/>
      <c r="L393" s="679"/>
      <c r="M393" s="679"/>
      <c r="N393" s="679"/>
      <c r="O393" s="570"/>
      <c r="P393" s="570"/>
      <c r="Q393" s="570"/>
      <c r="R393" s="571"/>
      <c r="S393" s="10"/>
      <c r="T393" s="10"/>
      <c r="U393" s="10"/>
      <c r="V393" s="10"/>
      <c r="W393" s="10"/>
      <c r="X393" s="10"/>
      <c r="Y393" s="10"/>
    </row>
    <row r="394" spans="1:25" s="4" customFormat="1" ht="12.75">
      <c r="A394" s="677"/>
      <c r="B394" s="678"/>
      <c r="C394" s="678"/>
      <c r="D394" s="677"/>
      <c r="E394" s="679"/>
      <c r="F394" s="679"/>
      <c r="G394" s="679"/>
      <c r="H394" s="679"/>
      <c r="I394" s="679"/>
      <c r="J394" s="679"/>
      <c r="K394" s="679"/>
      <c r="L394" s="679"/>
      <c r="M394" s="679"/>
      <c r="N394" s="679"/>
      <c r="O394" s="570"/>
      <c r="P394" s="570"/>
      <c r="Q394" s="570"/>
      <c r="R394" s="571"/>
      <c r="S394" s="10"/>
      <c r="T394" s="10"/>
      <c r="U394" s="10"/>
      <c r="V394" s="10"/>
      <c r="W394" s="10"/>
      <c r="X394" s="10"/>
      <c r="Y394" s="10"/>
    </row>
    <row r="395" spans="1:25" s="4" customFormat="1" ht="12.75">
      <c r="A395" s="65"/>
      <c r="B395" s="66"/>
      <c r="C395" s="66"/>
      <c r="D395" s="65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2"/>
      <c r="P395" s="52"/>
      <c r="Q395" s="52"/>
      <c r="R395" s="63"/>
    </row>
    <row r="396" spans="1:25" s="4" customFormat="1" ht="12.75">
      <c r="A396" s="65"/>
      <c r="B396" s="66"/>
      <c r="C396" s="66"/>
      <c r="D396" s="65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2"/>
      <c r="P396" s="52"/>
      <c r="Q396" s="52"/>
      <c r="R396" s="63"/>
    </row>
    <row r="397" spans="1:25" s="4" customFormat="1" ht="12.75">
      <c r="A397" s="65"/>
      <c r="B397" s="66"/>
      <c r="C397" s="66"/>
      <c r="D397" s="65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2"/>
      <c r="P397" s="52"/>
      <c r="Q397" s="52"/>
      <c r="R397" s="63"/>
    </row>
    <row r="398" spans="1:25" s="4" customFormat="1" ht="12.75">
      <c r="A398" s="65"/>
      <c r="B398" s="66"/>
      <c r="C398" s="66"/>
      <c r="D398" s="65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2"/>
      <c r="P398" s="52"/>
      <c r="Q398" s="52"/>
      <c r="R398" s="63"/>
    </row>
    <row r="399" spans="1:25" s="4" customFormat="1" ht="12.75">
      <c r="A399" s="65"/>
      <c r="B399" s="66"/>
      <c r="C399" s="66"/>
      <c r="D399" s="65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2"/>
      <c r="P399" s="52"/>
      <c r="Q399" s="52"/>
      <c r="R399" s="63"/>
    </row>
    <row r="400" spans="1:25" s="4" customFormat="1" ht="12.75">
      <c r="A400" s="65"/>
      <c r="B400" s="66"/>
      <c r="C400" s="66"/>
      <c r="D400" s="65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2"/>
      <c r="P400" s="52"/>
      <c r="Q400" s="52"/>
      <c r="R400" s="63"/>
    </row>
    <row r="401" spans="1:18" s="4" customFormat="1" ht="12.75">
      <c r="A401" s="65"/>
      <c r="B401" s="66"/>
      <c r="C401" s="66"/>
      <c r="D401" s="65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2"/>
      <c r="P401" s="52"/>
      <c r="Q401" s="52"/>
      <c r="R401" s="63"/>
    </row>
    <row r="402" spans="1:18" s="4" customFormat="1" ht="12.75">
      <c r="A402" s="65"/>
      <c r="B402" s="66"/>
      <c r="C402" s="66"/>
      <c r="D402" s="65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2"/>
      <c r="P402" s="52"/>
      <c r="Q402" s="52"/>
      <c r="R402" s="63"/>
    </row>
    <row r="403" spans="1:18" s="4" customFormat="1" ht="12.75">
      <c r="A403" s="65"/>
      <c r="B403" s="66"/>
      <c r="C403" s="66"/>
      <c r="D403" s="65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2"/>
      <c r="P403" s="52"/>
      <c r="Q403" s="52"/>
      <c r="R403" s="63"/>
    </row>
    <row r="404" spans="1:18" s="4" customFormat="1" ht="12.75">
      <c r="A404" s="65"/>
      <c r="B404" s="66"/>
      <c r="C404" s="66"/>
      <c r="D404" s="65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2"/>
      <c r="P404" s="52"/>
      <c r="Q404" s="52"/>
      <c r="R404" s="63"/>
    </row>
    <row r="405" spans="1:18" s="4" customFormat="1" ht="12.75">
      <c r="A405" s="65"/>
      <c r="B405" s="66"/>
      <c r="C405" s="66"/>
      <c r="D405" s="65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2"/>
      <c r="P405" s="52"/>
      <c r="Q405" s="52"/>
      <c r="R405" s="63"/>
    </row>
    <row r="406" spans="1:18" s="4" customFormat="1" ht="12.75">
      <c r="A406" s="65"/>
      <c r="B406" s="66"/>
      <c r="C406" s="66"/>
      <c r="D406" s="65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2"/>
      <c r="P406" s="52"/>
      <c r="Q406" s="52"/>
      <c r="R406" s="63"/>
    </row>
    <row r="407" spans="1:18" s="4" customFormat="1" ht="12.75">
      <c r="A407" s="65"/>
      <c r="B407" s="66"/>
      <c r="C407" s="66"/>
      <c r="D407" s="65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2"/>
      <c r="P407" s="52"/>
      <c r="Q407" s="52"/>
      <c r="R407" s="63"/>
    </row>
    <row r="408" spans="1:18" s="4" customFormat="1" ht="12.75">
      <c r="A408" s="65"/>
      <c r="B408" s="66"/>
      <c r="C408" s="66"/>
      <c r="D408" s="65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2"/>
      <c r="P408" s="52"/>
      <c r="Q408" s="52"/>
      <c r="R408" s="63"/>
    </row>
    <row r="409" spans="1:18" s="4" customFormat="1" ht="12.75">
      <c r="A409" s="65"/>
      <c r="B409" s="66"/>
      <c r="C409" s="66"/>
      <c r="D409" s="65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2"/>
      <c r="P409" s="52"/>
      <c r="Q409" s="52"/>
      <c r="R409" s="63"/>
    </row>
    <row r="410" spans="1:18" s="4" customFormat="1" ht="12.75">
      <c r="A410" s="65"/>
      <c r="B410" s="66"/>
      <c r="C410" s="66"/>
      <c r="D410" s="65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2"/>
      <c r="P410" s="52"/>
      <c r="Q410" s="52"/>
      <c r="R410" s="63"/>
    </row>
    <row r="411" spans="1:18" s="4" customFormat="1" ht="12.75">
      <c r="A411" s="65"/>
      <c r="B411" s="66"/>
      <c r="C411" s="66"/>
      <c r="D411" s="65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2"/>
      <c r="P411" s="52"/>
      <c r="Q411" s="52"/>
      <c r="R411" s="63"/>
    </row>
    <row r="412" spans="1:18" s="4" customFormat="1" ht="12.75">
      <c r="A412" s="65"/>
      <c r="B412" s="66"/>
      <c r="C412" s="66"/>
      <c r="D412" s="65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2"/>
      <c r="P412" s="52"/>
      <c r="Q412" s="52"/>
      <c r="R412" s="63"/>
    </row>
    <row r="413" spans="1:18" s="4" customFormat="1" ht="12.75">
      <c r="A413" s="65"/>
      <c r="B413" s="66"/>
      <c r="C413" s="66"/>
      <c r="D413" s="65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2"/>
      <c r="P413" s="52"/>
      <c r="Q413" s="52"/>
      <c r="R413" s="63"/>
    </row>
    <row r="414" spans="1:18" s="4" customFormat="1" ht="12.75">
      <c r="A414" s="65"/>
      <c r="B414" s="66"/>
      <c r="C414" s="66"/>
      <c r="D414" s="65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2"/>
      <c r="P414" s="52"/>
      <c r="Q414" s="52"/>
      <c r="R414" s="63"/>
    </row>
    <row r="415" spans="1:18" s="4" customFormat="1" ht="12.75">
      <c r="A415" s="65"/>
      <c r="B415" s="66"/>
      <c r="C415" s="66"/>
      <c r="D415" s="65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2"/>
      <c r="P415" s="52"/>
      <c r="Q415" s="52"/>
      <c r="R415" s="63"/>
    </row>
    <row r="416" spans="1:18" s="4" customFormat="1" ht="12.75">
      <c r="A416" s="65"/>
      <c r="B416" s="66"/>
      <c r="C416" s="66"/>
      <c r="D416" s="65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2"/>
      <c r="P416" s="52"/>
      <c r="Q416" s="52"/>
      <c r="R416" s="63"/>
    </row>
    <row r="417" spans="1:18" s="4" customFormat="1" ht="12.75">
      <c r="A417" s="65"/>
      <c r="B417" s="66"/>
      <c r="C417" s="66"/>
      <c r="D417" s="65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2"/>
      <c r="P417" s="52"/>
      <c r="Q417" s="52"/>
      <c r="R417" s="63"/>
    </row>
    <row r="418" spans="1:18" s="4" customFormat="1" ht="12.75">
      <c r="A418" s="65"/>
      <c r="B418" s="66"/>
      <c r="C418" s="66"/>
      <c r="D418" s="65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2"/>
      <c r="P418" s="52"/>
      <c r="Q418" s="52"/>
      <c r="R418" s="63"/>
    </row>
    <row r="419" spans="1:18" s="4" customFormat="1" ht="12.75">
      <c r="A419" s="65"/>
      <c r="B419" s="66"/>
      <c r="C419" s="66"/>
      <c r="D419" s="65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2"/>
      <c r="P419" s="52"/>
      <c r="Q419" s="52"/>
      <c r="R419" s="63"/>
    </row>
    <row r="420" spans="1:18" s="4" customFormat="1" ht="12.75">
      <c r="A420" s="65"/>
      <c r="B420" s="66"/>
      <c r="C420" s="66"/>
      <c r="D420" s="65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2"/>
      <c r="P420" s="52"/>
      <c r="Q420" s="52"/>
      <c r="R420" s="63"/>
    </row>
    <row r="421" spans="1:18" s="4" customFormat="1" ht="12.75">
      <c r="A421" s="65"/>
      <c r="B421" s="66"/>
      <c r="C421" s="66"/>
      <c r="D421" s="65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2"/>
      <c r="P421" s="52"/>
      <c r="Q421" s="52"/>
      <c r="R421" s="63"/>
    </row>
    <row r="422" spans="1:18" s="4" customFormat="1" ht="12.75">
      <c r="A422" s="65"/>
      <c r="B422" s="66"/>
      <c r="C422" s="66"/>
      <c r="D422" s="65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2"/>
      <c r="P422" s="52"/>
      <c r="Q422" s="52"/>
      <c r="R422" s="63"/>
    </row>
    <row r="423" spans="1:18" s="4" customFormat="1" ht="12.75">
      <c r="A423" s="65"/>
      <c r="B423" s="66"/>
      <c r="C423" s="66"/>
      <c r="D423" s="65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2"/>
      <c r="P423" s="52"/>
      <c r="Q423" s="52"/>
      <c r="R423" s="63"/>
    </row>
    <row r="424" spans="1:18" s="4" customFormat="1" ht="12.75">
      <c r="A424" s="65"/>
      <c r="B424" s="66"/>
      <c r="C424" s="66"/>
      <c r="D424" s="65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2"/>
      <c r="P424" s="52"/>
      <c r="Q424" s="52"/>
      <c r="R424" s="63"/>
    </row>
    <row r="425" spans="1:18" s="4" customFormat="1" ht="12.75">
      <c r="A425" s="65"/>
      <c r="B425" s="66"/>
      <c r="C425" s="66"/>
      <c r="D425" s="65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2"/>
      <c r="P425" s="52"/>
      <c r="Q425" s="52"/>
      <c r="R425" s="63"/>
    </row>
    <row r="426" spans="1:18" s="4" customFormat="1" ht="12.75">
      <c r="A426" s="65"/>
      <c r="B426" s="66"/>
      <c r="C426" s="66"/>
      <c r="D426" s="65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2"/>
      <c r="P426" s="52"/>
      <c r="Q426" s="52"/>
      <c r="R426" s="63"/>
    </row>
    <row r="427" spans="1:18" s="4" customFormat="1" ht="12.75">
      <c r="A427" s="65"/>
      <c r="B427" s="66"/>
      <c r="C427" s="66"/>
      <c r="D427" s="65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2"/>
      <c r="P427" s="52"/>
      <c r="Q427" s="52"/>
      <c r="R427" s="63"/>
    </row>
    <row r="428" spans="1:18" s="4" customFormat="1" ht="12.75">
      <c r="A428" s="65"/>
      <c r="B428" s="66"/>
      <c r="C428" s="66"/>
      <c r="D428" s="65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2"/>
      <c r="P428" s="52"/>
      <c r="Q428" s="52"/>
      <c r="R428" s="63"/>
    </row>
    <row r="429" spans="1:18" s="4" customFormat="1" ht="12.75">
      <c r="A429" s="65"/>
      <c r="B429" s="66"/>
      <c r="C429" s="66"/>
      <c r="D429" s="65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2"/>
      <c r="P429" s="52"/>
      <c r="Q429" s="52"/>
      <c r="R429" s="63"/>
    </row>
    <row r="430" spans="1:18" s="4" customFormat="1" ht="12.75">
      <c r="A430" s="65"/>
      <c r="B430" s="66"/>
      <c r="C430" s="66"/>
      <c r="D430" s="65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2"/>
      <c r="P430" s="52"/>
      <c r="Q430" s="52"/>
      <c r="R430" s="63"/>
    </row>
    <row r="431" spans="1:18" s="4" customFormat="1" ht="12.75">
      <c r="A431" s="65"/>
      <c r="B431" s="66"/>
      <c r="C431" s="66"/>
      <c r="D431" s="65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2"/>
      <c r="P431" s="52"/>
      <c r="Q431" s="52"/>
      <c r="R431" s="63"/>
    </row>
    <row r="432" spans="1:18" s="4" customFormat="1" ht="12.75">
      <c r="A432" s="65"/>
      <c r="B432" s="66"/>
      <c r="C432" s="66"/>
      <c r="D432" s="65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2"/>
      <c r="P432" s="52"/>
      <c r="Q432" s="52"/>
      <c r="R432" s="63"/>
    </row>
    <row r="433" spans="1:18" s="4" customFormat="1" ht="12.75">
      <c r="A433" s="65"/>
      <c r="B433" s="66"/>
      <c r="C433" s="66"/>
      <c r="D433" s="65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2"/>
      <c r="P433" s="52"/>
      <c r="Q433" s="52"/>
      <c r="R433" s="63"/>
    </row>
    <row r="434" spans="1:18" s="4" customFormat="1" ht="12.75">
      <c r="A434" s="65"/>
      <c r="B434" s="66"/>
      <c r="C434" s="66"/>
      <c r="D434" s="65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2"/>
      <c r="P434" s="52"/>
      <c r="Q434" s="52"/>
      <c r="R434" s="63"/>
    </row>
    <row r="435" spans="1:18" s="4" customFormat="1" ht="12.75">
      <c r="A435" s="65"/>
      <c r="B435" s="66"/>
      <c r="C435" s="66"/>
      <c r="D435" s="65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2"/>
      <c r="P435" s="52"/>
      <c r="Q435" s="52"/>
      <c r="R435" s="63"/>
    </row>
    <row r="436" spans="1:18" s="4" customFormat="1" ht="12.75">
      <c r="A436" s="65"/>
      <c r="B436" s="66"/>
      <c r="C436" s="66"/>
      <c r="D436" s="65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2"/>
      <c r="P436" s="52"/>
      <c r="Q436" s="52"/>
      <c r="R436" s="63"/>
    </row>
    <row r="437" spans="1:18" s="4" customFormat="1" ht="12.75">
      <c r="A437" s="65"/>
      <c r="B437" s="66"/>
      <c r="C437" s="66"/>
      <c r="D437" s="65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2"/>
      <c r="P437" s="52"/>
      <c r="Q437" s="52"/>
      <c r="R437" s="63"/>
    </row>
    <row r="438" spans="1:18" s="4" customFormat="1" ht="12.75">
      <c r="A438" s="65"/>
      <c r="B438" s="66"/>
      <c r="C438" s="66"/>
      <c r="D438" s="65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2"/>
      <c r="P438" s="52"/>
      <c r="Q438" s="52"/>
      <c r="R438" s="63"/>
    </row>
    <row r="439" spans="1:18" s="4" customFormat="1" ht="12.75">
      <c r="A439" s="65"/>
      <c r="B439" s="66"/>
      <c r="C439" s="66"/>
      <c r="D439" s="65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2"/>
      <c r="P439" s="52"/>
      <c r="Q439" s="52"/>
      <c r="R439" s="63"/>
    </row>
    <row r="440" spans="1:18" s="4" customFormat="1" ht="12.75">
      <c r="A440" s="65"/>
      <c r="B440" s="66"/>
      <c r="C440" s="66"/>
      <c r="D440" s="65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2"/>
      <c r="P440" s="52"/>
      <c r="Q440" s="52"/>
      <c r="R440" s="63"/>
    </row>
    <row r="441" spans="1:18" s="4" customFormat="1" ht="12.75">
      <c r="A441" s="65"/>
      <c r="B441" s="66"/>
      <c r="C441" s="66"/>
      <c r="D441" s="65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2"/>
      <c r="P441" s="52"/>
      <c r="Q441" s="52"/>
      <c r="R441" s="63"/>
    </row>
    <row r="442" spans="1:18" s="4" customFormat="1" ht="12.75">
      <c r="A442" s="65"/>
      <c r="B442" s="66"/>
      <c r="C442" s="66"/>
      <c r="D442" s="65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2"/>
      <c r="P442" s="52"/>
      <c r="Q442" s="52"/>
      <c r="R442" s="63"/>
    </row>
    <row r="443" spans="1:18" s="4" customFormat="1" ht="12.75">
      <c r="A443" s="65"/>
      <c r="B443" s="66"/>
      <c r="C443" s="66"/>
      <c r="D443" s="65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2"/>
      <c r="P443" s="52"/>
      <c r="Q443" s="52"/>
      <c r="R443" s="63"/>
    </row>
    <row r="444" spans="1:18" s="4" customFormat="1" ht="12.75">
      <c r="A444" s="65"/>
      <c r="B444" s="66"/>
      <c r="C444" s="66"/>
      <c r="D444" s="65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2"/>
      <c r="P444" s="52"/>
      <c r="Q444" s="52"/>
      <c r="R444" s="63"/>
    </row>
    <row r="445" spans="1:18" s="4" customFormat="1" ht="12.75">
      <c r="A445" s="65"/>
      <c r="B445" s="66"/>
      <c r="C445" s="66"/>
      <c r="D445" s="65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2"/>
      <c r="P445" s="52"/>
      <c r="Q445" s="52"/>
      <c r="R445" s="63"/>
    </row>
    <row r="446" spans="1:18" s="4" customFormat="1" ht="12.75">
      <c r="A446" s="65"/>
      <c r="B446" s="66"/>
      <c r="C446" s="66"/>
      <c r="D446" s="65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2"/>
      <c r="P446" s="52"/>
      <c r="Q446" s="52"/>
      <c r="R446" s="63"/>
    </row>
    <row r="447" spans="1:18" s="4" customFormat="1" ht="12.75">
      <c r="A447" s="65"/>
      <c r="B447" s="66"/>
      <c r="C447" s="66"/>
      <c r="D447" s="65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2"/>
      <c r="P447" s="52"/>
      <c r="Q447" s="52"/>
      <c r="R447" s="63"/>
    </row>
    <row r="448" spans="1:18" s="4" customFormat="1" ht="12.75">
      <c r="A448" s="65"/>
      <c r="B448" s="66"/>
      <c r="C448" s="66"/>
      <c r="D448" s="65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2"/>
      <c r="P448" s="52"/>
      <c r="Q448" s="52"/>
      <c r="R448" s="63"/>
    </row>
    <row r="449" spans="1:18" s="4" customFormat="1" ht="12.75">
      <c r="A449" s="65"/>
      <c r="B449" s="66"/>
      <c r="C449" s="66"/>
      <c r="D449" s="65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2"/>
      <c r="P449" s="52"/>
      <c r="Q449" s="52"/>
      <c r="R449" s="63"/>
    </row>
    <row r="450" spans="1:18" s="4" customFormat="1" ht="12.75">
      <c r="A450" s="65"/>
      <c r="B450" s="66"/>
      <c r="C450" s="66"/>
      <c r="D450" s="65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2"/>
      <c r="P450" s="52"/>
      <c r="Q450" s="52"/>
      <c r="R450" s="63"/>
    </row>
    <row r="451" spans="1:18" s="4" customFormat="1" ht="12.75">
      <c r="A451" s="65"/>
      <c r="B451" s="66"/>
      <c r="C451" s="66"/>
      <c r="D451" s="65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2"/>
      <c r="P451" s="52"/>
      <c r="Q451" s="52"/>
      <c r="R451" s="63"/>
    </row>
    <row r="452" spans="1:18" s="4" customFormat="1" ht="12.75">
      <c r="A452" s="33"/>
      <c r="B452" s="32"/>
      <c r="C452" s="32"/>
      <c r="D452" s="33"/>
      <c r="O452" s="36"/>
      <c r="P452" s="36"/>
      <c r="Q452" s="36"/>
      <c r="R452" s="30"/>
    </row>
    <row r="453" spans="1:18" s="4" customFormat="1" ht="12.75">
      <c r="A453" s="33"/>
      <c r="B453" s="32"/>
      <c r="C453" s="32"/>
      <c r="D453" s="33"/>
      <c r="O453" s="36"/>
      <c r="P453" s="36"/>
      <c r="Q453" s="36"/>
      <c r="R453" s="30"/>
    </row>
    <row r="454" spans="1:18" s="4" customFormat="1" ht="12.75">
      <c r="A454" s="33"/>
      <c r="B454" s="32"/>
      <c r="C454" s="32"/>
      <c r="D454" s="33"/>
      <c r="O454" s="36"/>
      <c r="P454" s="36"/>
      <c r="Q454" s="36"/>
      <c r="R454" s="30"/>
    </row>
    <row r="455" spans="1:18" s="4" customFormat="1" ht="12.75">
      <c r="A455" s="33"/>
      <c r="B455" s="32"/>
      <c r="C455" s="32"/>
      <c r="D455" s="33"/>
      <c r="O455" s="36"/>
      <c r="P455" s="36"/>
      <c r="Q455" s="36"/>
      <c r="R455" s="30"/>
    </row>
    <row r="456" spans="1:18" s="4" customFormat="1" ht="12.75">
      <c r="A456" s="33"/>
      <c r="B456" s="32"/>
      <c r="C456" s="32"/>
      <c r="D456" s="33"/>
      <c r="O456" s="36"/>
      <c r="P456" s="36"/>
      <c r="Q456" s="36"/>
      <c r="R456" s="30"/>
    </row>
    <row r="457" spans="1:18" s="4" customFormat="1" ht="12.75">
      <c r="A457" s="33"/>
      <c r="B457" s="32"/>
      <c r="C457" s="32"/>
      <c r="D457" s="33"/>
      <c r="O457" s="36"/>
      <c r="P457" s="36"/>
      <c r="Q457" s="36"/>
      <c r="R457" s="30"/>
    </row>
    <row r="458" spans="1:18" s="4" customFormat="1" ht="12.75">
      <c r="A458" s="33"/>
      <c r="B458" s="32"/>
      <c r="C458" s="32"/>
      <c r="D458" s="33"/>
      <c r="O458" s="36"/>
      <c r="P458" s="36"/>
      <c r="Q458" s="36"/>
      <c r="R458" s="30"/>
    </row>
    <row r="459" spans="1:18" s="4" customFormat="1" ht="12.75">
      <c r="A459" s="33"/>
      <c r="B459" s="32"/>
      <c r="C459" s="32"/>
      <c r="D459" s="33"/>
      <c r="O459" s="36"/>
      <c r="P459" s="36"/>
      <c r="Q459" s="36"/>
      <c r="R459" s="30"/>
    </row>
    <row r="460" spans="1:18" s="4" customFormat="1" ht="12.75">
      <c r="A460" s="33"/>
      <c r="B460" s="32"/>
      <c r="C460" s="32"/>
      <c r="D460" s="33"/>
      <c r="O460" s="36"/>
      <c r="P460" s="36"/>
      <c r="Q460" s="36"/>
      <c r="R460" s="30"/>
    </row>
    <row r="461" spans="1:18" s="4" customFormat="1" ht="12.75">
      <c r="A461" s="33"/>
      <c r="B461" s="32"/>
      <c r="C461" s="32"/>
      <c r="D461" s="33"/>
      <c r="O461" s="36"/>
      <c r="P461" s="36"/>
      <c r="Q461" s="36"/>
      <c r="R461" s="30"/>
    </row>
    <row r="462" spans="1:18" s="4" customFormat="1" ht="12.75">
      <c r="A462" s="33"/>
      <c r="B462" s="32"/>
      <c r="C462" s="32"/>
      <c r="D462" s="33"/>
      <c r="O462" s="36"/>
      <c r="P462" s="36"/>
      <c r="Q462" s="36"/>
      <c r="R462" s="30"/>
    </row>
    <row r="463" spans="1:18" s="4" customFormat="1" ht="12.75">
      <c r="A463" s="33"/>
      <c r="B463" s="32"/>
      <c r="C463" s="32"/>
      <c r="D463" s="33"/>
      <c r="O463" s="36"/>
      <c r="P463" s="36"/>
      <c r="Q463" s="36"/>
      <c r="R463" s="30"/>
    </row>
    <row r="464" spans="1:18" s="4" customFormat="1" ht="12.75">
      <c r="A464" s="33"/>
      <c r="B464" s="32"/>
      <c r="C464" s="32"/>
      <c r="D464" s="33"/>
      <c r="O464" s="36"/>
      <c r="P464" s="36"/>
      <c r="Q464" s="36"/>
      <c r="R464" s="30"/>
    </row>
    <row r="465" spans="1:18" s="4" customFormat="1" ht="12.75">
      <c r="A465" s="33"/>
      <c r="B465" s="32"/>
      <c r="C465" s="32"/>
      <c r="D465" s="33"/>
      <c r="O465" s="36"/>
      <c r="P465" s="36"/>
      <c r="Q465" s="36"/>
      <c r="R465" s="30"/>
    </row>
    <row r="466" spans="1:18" s="4" customFormat="1" ht="12.75">
      <c r="A466" s="33"/>
      <c r="B466" s="32"/>
      <c r="C466" s="32"/>
      <c r="D466" s="33"/>
      <c r="O466" s="36"/>
      <c r="P466" s="36"/>
      <c r="Q466" s="36"/>
      <c r="R466" s="30"/>
    </row>
    <row r="467" spans="1:18" s="4" customFormat="1" ht="12.75">
      <c r="A467" s="33"/>
      <c r="B467" s="32"/>
      <c r="C467" s="32"/>
      <c r="D467" s="33"/>
      <c r="O467" s="36"/>
      <c r="P467" s="36"/>
      <c r="Q467" s="36"/>
      <c r="R467" s="30"/>
    </row>
    <row r="468" spans="1:18" s="4" customFormat="1" ht="12.75">
      <c r="A468" s="33"/>
      <c r="B468" s="32"/>
      <c r="C468" s="32"/>
      <c r="D468" s="33"/>
      <c r="O468" s="36"/>
      <c r="P468" s="36"/>
      <c r="Q468" s="36"/>
      <c r="R468" s="30"/>
    </row>
    <row r="469" spans="1:18" s="4" customFormat="1" ht="12.75">
      <c r="A469" s="33"/>
      <c r="B469" s="32"/>
      <c r="C469" s="32"/>
      <c r="D469" s="33"/>
      <c r="O469" s="36"/>
      <c r="P469" s="36"/>
      <c r="Q469" s="36"/>
      <c r="R469" s="30"/>
    </row>
    <row r="470" spans="1:18" s="4" customFormat="1" ht="12.75">
      <c r="A470" s="33"/>
      <c r="B470" s="32"/>
      <c r="C470" s="32"/>
      <c r="D470" s="33"/>
      <c r="O470" s="36"/>
      <c r="P470" s="36"/>
      <c r="Q470" s="36"/>
      <c r="R470" s="30"/>
    </row>
    <row r="471" spans="1:18" s="4" customFormat="1" ht="12.75">
      <c r="A471" s="33"/>
      <c r="B471" s="32"/>
      <c r="C471" s="32"/>
      <c r="D471" s="33"/>
      <c r="O471" s="36"/>
      <c r="P471" s="36"/>
      <c r="Q471" s="36"/>
      <c r="R471" s="30"/>
    </row>
    <row r="472" spans="1:18" s="4" customFormat="1" ht="12.75">
      <c r="A472" s="33"/>
      <c r="B472" s="32"/>
      <c r="C472" s="32"/>
      <c r="D472" s="33"/>
      <c r="O472" s="36"/>
      <c r="P472" s="36"/>
      <c r="Q472" s="36"/>
      <c r="R472" s="30"/>
    </row>
    <row r="473" spans="1:18" s="4" customFormat="1" ht="12.75">
      <c r="A473" s="33"/>
      <c r="B473" s="32"/>
      <c r="C473" s="32"/>
      <c r="D473" s="33"/>
      <c r="O473" s="36"/>
      <c r="P473" s="36"/>
      <c r="Q473" s="36"/>
      <c r="R473" s="30"/>
    </row>
    <row r="474" spans="1:18" s="4" customFormat="1" ht="12.75">
      <c r="A474" s="33"/>
      <c r="B474" s="32"/>
      <c r="C474" s="32"/>
      <c r="D474" s="33"/>
      <c r="O474" s="36"/>
      <c r="P474" s="36"/>
      <c r="Q474" s="36"/>
      <c r="R474" s="30"/>
    </row>
    <row r="475" spans="1:18" s="4" customFormat="1" ht="12.75">
      <c r="A475" s="33"/>
      <c r="B475" s="32"/>
      <c r="C475" s="32"/>
      <c r="D475" s="33"/>
      <c r="O475" s="36"/>
      <c r="P475" s="36"/>
      <c r="Q475" s="36"/>
      <c r="R475" s="30"/>
    </row>
    <row r="476" spans="1:18" s="4" customFormat="1" ht="12.75">
      <c r="A476" s="33"/>
      <c r="B476" s="32"/>
      <c r="C476" s="32"/>
      <c r="D476" s="33"/>
      <c r="O476" s="36"/>
      <c r="P476" s="36"/>
      <c r="Q476" s="36"/>
      <c r="R476" s="30"/>
    </row>
    <row r="477" spans="1:18">
      <c r="A477" s="33"/>
      <c r="B477" s="32"/>
      <c r="C477" s="32"/>
      <c r="D477" s="3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6"/>
      <c r="P477" s="36"/>
      <c r="Q477" s="36"/>
      <c r="R477" s="30"/>
    </row>
    <row r="478" spans="1:18">
      <c r="A478" s="33"/>
      <c r="B478" s="32"/>
      <c r="C478" s="32"/>
      <c r="D478" s="3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6"/>
      <c r="P478" s="36"/>
      <c r="Q478" s="36"/>
      <c r="R478" s="30"/>
    </row>
    <row r="479" spans="1:18">
      <c r="A479" s="33"/>
      <c r="B479" s="32"/>
      <c r="C479" s="32"/>
      <c r="D479" s="3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6"/>
      <c r="P479" s="36"/>
      <c r="Q479" s="36"/>
      <c r="R479" s="30"/>
    </row>
    <row r="480" spans="1:18">
      <c r="A480" s="33"/>
      <c r="B480" s="32"/>
      <c r="C480" s="32"/>
      <c r="D480" s="3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6"/>
      <c r="P480" s="36"/>
      <c r="Q480" s="36"/>
      <c r="R480" s="30"/>
    </row>
    <row r="481" spans="1:18">
      <c r="A481" s="33"/>
      <c r="B481" s="32"/>
      <c r="C481" s="32"/>
      <c r="D481" s="3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6"/>
      <c r="P481" s="36"/>
      <c r="Q481" s="36"/>
      <c r="R481" s="30"/>
    </row>
    <row r="482" spans="1:18">
      <c r="A482" s="33"/>
      <c r="B482" s="32"/>
      <c r="C482" s="32"/>
      <c r="D482" s="3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6"/>
      <c r="P482" s="36"/>
      <c r="Q482" s="36"/>
      <c r="R482" s="30"/>
    </row>
    <row r="483" spans="1:18">
      <c r="A483" s="33"/>
      <c r="B483" s="32"/>
      <c r="C483" s="32"/>
      <c r="D483" s="3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6"/>
      <c r="P483" s="36"/>
      <c r="Q483" s="36"/>
      <c r="R483" s="30"/>
    </row>
    <row r="484" spans="1:18">
      <c r="A484" s="33"/>
      <c r="B484" s="32"/>
      <c r="C484" s="32"/>
      <c r="D484" s="3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6"/>
      <c r="P484" s="36"/>
      <c r="Q484" s="36"/>
      <c r="R484" s="30"/>
    </row>
    <row r="485" spans="1:18">
      <c r="A485" s="33"/>
      <c r="B485" s="32"/>
      <c r="C485" s="32"/>
      <c r="D485" s="3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6"/>
      <c r="P485" s="36"/>
      <c r="Q485" s="36"/>
      <c r="R485" s="30"/>
    </row>
    <row r="486" spans="1:18">
      <c r="A486" s="33"/>
      <c r="B486" s="32"/>
      <c r="C486" s="32"/>
      <c r="D486" s="3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6"/>
      <c r="P486" s="36"/>
      <c r="Q486" s="36"/>
      <c r="R486" s="30"/>
    </row>
    <row r="487" spans="1:18">
      <c r="A487" s="33"/>
      <c r="B487" s="32"/>
      <c r="C487" s="32"/>
      <c r="D487" s="3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6"/>
      <c r="P487" s="36"/>
      <c r="Q487" s="36"/>
      <c r="R487" s="30"/>
    </row>
    <row r="488" spans="1:18">
      <c r="A488" s="33"/>
      <c r="B488" s="32"/>
      <c r="C488" s="32"/>
      <c r="D488" s="3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6"/>
      <c r="P488" s="36"/>
      <c r="Q488" s="36"/>
      <c r="R488" s="30"/>
    </row>
    <row r="489" spans="1:18">
      <c r="A489" s="33"/>
      <c r="B489" s="32"/>
      <c r="C489" s="32"/>
      <c r="D489" s="3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6"/>
      <c r="P489" s="36"/>
      <c r="Q489" s="36"/>
      <c r="R489" s="30"/>
    </row>
    <row r="490" spans="1:18">
      <c r="A490" s="33"/>
      <c r="B490" s="32"/>
      <c r="C490" s="32"/>
      <c r="D490" s="3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6"/>
      <c r="P490" s="36"/>
      <c r="Q490" s="36"/>
      <c r="R490" s="30"/>
    </row>
    <row r="491" spans="1:18">
      <c r="A491" s="33"/>
      <c r="B491" s="32"/>
      <c r="C491" s="32"/>
      <c r="D491" s="3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6"/>
      <c r="P491" s="36"/>
      <c r="Q491" s="36"/>
      <c r="R491" s="30"/>
    </row>
    <row r="492" spans="1:18">
      <c r="A492" s="33"/>
      <c r="B492" s="32"/>
      <c r="C492" s="32"/>
      <c r="D492" s="3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6"/>
      <c r="P492" s="36"/>
      <c r="Q492" s="36"/>
      <c r="R492" s="30"/>
    </row>
    <row r="493" spans="1:18">
      <c r="A493" s="33"/>
      <c r="B493" s="32"/>
      <c r="C493" s="32"/>
      <c r="D493" s="3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6"/>
      <c r="P493" s="36"/>
      <c r="Q493" s="36"/>
      <c r="R493" s="30"/>
    </row>
    <row r="494" spans="1:18">
      <c r="A494" s="33"/>
      <c r="B494" s="32"/>
      <c r="C494" s="32"/>
      <c r="D494" s="3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6"/>
      <c r="P494" s="36"/>
      <c r="Q494" s="36"/>
      <c r="R494" s="30"/>
    </row>
    <row r="495" spans="1:18">
      <c r="A495" s="33"/>
      <c r="B495" s="32"/>
      <c r="C495" s="32"/>
      <c r="D495" s="3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6"/>
      <c r="P495" s="36"/>
      <c r="Q495" s="36"/>
      <c r="R495" s="30"/>
    </row>
    <row r="496" spans="1:18">
      <c r="A496" s="33"/>
      <c r="B496" s="32"/>
      <c r="C496" s="32"/>
      <c r="D496" s="3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6"/>
      <c r="P496" s="36"/>
      <c r="Q496" s="36"/>
      <c r="R496" s="30"/>
    </row>
    <row r="497" spans="1:18">
      <c r="A497" s="33"/>
      <c r="B497" s="32"/>
      <c r="C497" s="32"/>
      <c r="D497" s="3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6"/>
      <c r="P497" s="36"/>
      <c r="Q497" s="36"/>
      <c r="R497" s="30"/>
    </row>
    <row r="498" spans="1:18">
      <c r="A498" s="33"/>
      <c r="B498" s="32"/>
      <c r="C498" s="32"/>
      <c r="D498" s="3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6"/>
      <c r="P498" s="36"/>
      <c r="Q498" s="36"/>
      <c r="R498" s="30"/>
    </row>
    <row r="499" spans="1:18">
      <c r="A499" s="33"/>
      <c r="B499" s="32"/>
      <c r="C499" s="32"/>
      <c r="D499" s="3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6"/>
      <c r="P499" s="36"/>
      <c r="Q499" s="36"/>
      <c r="R499" s="30"/>
    </row>
    <row r="500" spans="1:18">
      <c r="A500" s="33"/>
      <c r="B500" s="32"/>
      <c r="C500" s="32"/>
      <c r="D500" s="3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6"/>
      <c r="P500" s="36"/>
      <c r="Q500" s="36"/>
      <c r="R500" s="30"/>
    </row>
    <row r="501" spans="1:18">
      <c r="A501" s="33"/>
      <c r="B501" s="32"/>
      <c r="C501" s="32"/>
      <c r="D501" s="3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6"/>
      <c r="P501" s="36"/>
      <c r="Q501" s="36"/>
      <c r="R501" s="30"/>
    </row>
    <row r="502" spans="1:18">
      <c r="A502" s="33"/>
      <c r="B502" s="32"/>
      <c r="C502" s="32"/>
      <c r="D502" s="3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6"/>
      <c r="P502" s="36"/>
      <c r="Q502" s="36"/>
      <c r="R502" s="30"/>
    </row>
    <row r="503" spans="1:18">
      <c r="A503" s="33"/>
      <c r="B503" s="32"/>
      <c r="C503" s="32"/>
      <c r="D503" s="3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6"/>
      <c r="P503" s="36"/>
      <c r="Q503" s="36"/>
      <c r="R503" s="30"/>
    </row>
    <row r="504" spans="1:18">
      <c r="A504" s="33"/>
      <c r="B504" s="32"/>
      <c r="C504" s="32"/>
      <c r="D504" s="3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6"/>
      <c r="P504" s="36"/>
      <c r="Q504" s="36"/>
      <c r="R504" s="30"/>
    </row>
    <row r="505" spans="1:18">
      <c r="A505" s="33"/>
      <c r="B505" s="32"/>
      <c r="C505" s="32"/>
      <c r="D505" s="3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6"/>
      <c r="P505" s="36"/>
      <c r="Q505" s="36"/>
      <c r="R505" s="30"/>
    </row>
    <row r="506" spans="1:18">
      <c r="A506" s="33"/>
      <c r="B506" s="32"/>
      <c r="C506" s="32"/>
      <c r="D506" s="3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6"/>
      <c r="P506" s="36"/>
      <c r="Q506" s="36"/>
      <c r="R506" s="30"/>
    </row>
    <row r="507" spans="1:18">
      <c r="A507" s="33"/>
      <c r="B507" s="32"/>
      <c r="C507" s="32"/>
      <c r="D507" s="3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6"/>
      <c r="P507" s="36"/>
      <c r="Q507" s="36"/>
      <c r="R507" s="30"/>
    </row>
    <row r="508" spans="1:18">
      <c r="A508" s="33"/>
      <c r="B508" s="32"/>
      <c r="C508" s="32"/>
      <c r="D508" s="3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6"/>
      <c r="P508" s="36"/>
      <c r="Q508" s="36"/>
      <c r="R508" s="30"/>
    </row>
    <row r="509" spans="1:18">
      <c r="A509" s="33"/>
      <c r="B509" s="32"/>
      <c r="C509" s="32"/>
      <c r="D509" s="3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6"/>
      <c r="P509" s="36"/>
      <c r="Q509" s="36"/>
      <c r="R509" s="30"/>
    </row>
    <row r="510" spans="1:18">
      <c r="A510" s="33"/>
      <c r="B510" s="32"/>
      <c r="C510" s="32"/>
      <c r="D510" s="3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6"/>
      <c r="P510" s="36"/>
      <c r="Q510" s="36"/>
      <c r="R510" s="30"/>
    </row>
    <row r="511" spans="1:18">
      <c r="A511" s="33"/>
      <c r="B511" s="32"/>
      <c r="C511" s="32"/>
      <c r="D511" s="3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6"/>
      <c r="P511" s="36"/>
      <c r="Q511" s="36"/>
      <c r="R511" s="30"/>
    </row>
    <row r="512" spans="1:18">
      <c r="A512" s="33"/>
      <c r="B512" s="32"/>
      <c r="C512" s="32"/>
      <c r="D512" s="3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6"/>
      <c r="P512" s="36"/>
      <c r="Q512" s="36"/>
      <c r="R512" s="30"/>
    </row>
    <row r="513" spans="1:18">
      <c r="A513" s="33"/>
      <c r="B513" s="32"/>
      <c r="C513" s="32"/>
      <c r="D513" s="3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6"/>
      <c r="P513" s="36"/>
      <c r="Q513" s="36"/>
      <c r="R513" s="30"/>
    </row>
    <row r="514" spans="1:18">
      <c r="A514" s="33"/>
      <c r="B514" s="32"/>
      <c r="C514" s="32"/>
      <c r="D514" s="3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6"/>
      <c r="P514" s="36"/>
      <c r="Q514" s="36"/>
      <c r="R514" s="30"/>
    </row>
    <row r="515" spans="1:18">
      <c r="A515" s="33"/>
      <c r="B515" s="32"/>
      <c r="C515" s="32"/>
      <c r="D515" s="3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6"/>
      <c r="P515" s="36"/>
      <c r="Q515" s="36"/>
      <c r="R515" s="30"/>
    </row>
    <row r="516" spans="1:18">
      <c r="A516" s="33"/>
      <c r="B516" s="32"/>
      <c r="C516" s="32"/>
      <c r="D516" s="3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6"/>
      <c r="P516" s="36"/>
      <c r="Q516" s="36"/>
      <c r="R516" s="30"/>
    </row>
    <row r="517" spans="1:18">
      <c r="A517" s="33"/>
      <c r="B517" s="32"/>
      <c r="C517" s="32"/>
      <c r="D517" s="3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6"/>
      <c r="P517" s="36"/>
      <c r="Q517" s="36"/>
      <c r="R517" s="30"/>
    </row>
    <row r="518" spans="1:18">
      <c r="A518" s="33"/>
      <c r="B518" s="32"/>
      <c r="C518" s="32"/>
      <c r="D518" s="3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6"/>
      <c r="P518" s="36"/>
      <c r="Q518" s="36"/>
      <c r="R518" s="30"/>
    </row>
    <row r="519" spans="1:18">
      <c r="A519" s="33"/>
      <c r="B519" s="32"/>
      <c r="C519" s="32"/>
      <c r="D519" s="3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6"/>
      <c r="P519" s="36"/>
      <c r="Q519" s="36"/>
      <c r="R519" s="30"/>
    </row>
    <row r="520" spans="1:18">
      <c r="A520" s="33"/>
      <c r="B520" s="32"/>
      <c r="C520" s="32"/>
      <c r="D520" s="3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6"/>
      <c r="P520" s="36"/>
      <c r="Q520" s="36"/>
      <c r="R520" s="30"/>
    </row>
    <row r="521" spans="1:18">
      <c r="A521" s="33"/>
      <c r="B521" s="32"/>
      <c r="C521" s="32"/>
      <c r="D521" s="3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6"/>
      <c r="P521" s="36"/>
      <c r="Q521" s="36"/>
      <c r="R521" s="30"/>
    </row>
    <row r="522" spans="1:18">
      <c r="A522" s="33"/>
      <c r="B522" s="32"/>
      <c r="C522" s="32"/>
      <c r="D522" s="3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6"/>
      <c r="P522" s="36"/>
      <c r="Q522" s="36"/>
      <c r="R522" s="30"/>
    </row>
    <row r="523" spans="1:18">
      <c r="A523" s="33"/>
      <c r="B523" s="32"/>
      <c r="C523" s="32"/>
      <c r="D523" s="3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6"/>
      <c r="P523" s="36"/>
      <c r="Q523" s="36"/>
      <c r="R523" s="30"/>
    </row>
    <row r="524" spans="1:18">
      <c r="A524" s="33"/>
      <c r="B524" s="32"/>
      <c r="C524" s="32"/>
      <c r="D524" s="3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6"/>
      <c r="P524" s="36"/>
      <c r="Q524" s="36"/>
      <c r="R524" s="30"/>
    </row>
    <row r="525" spans="1:18">
      <c r="A525" s="33"/>
      <c r="B525" s="32"/>
      <c r="C525" s="32"/>
      <c r="D525" s="3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6"/>
      <c r="P525" s="36"/>
      <c r="Q525" s="36"/>
      <c r="R525" s="30"/>
    </row>
    <row r="526" spans="1:18">
      <c r="A526" s="33"/>
      <c r="B526" s="32"/>
      <c r="C526" s="32"/>
      <c r="D526" s="3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6"/>
      <c r="P526" s="36"/>
      <c r="Q526" s="36"/>
      <c r="R526" s="30"/>
    </row>
    <row r="527" spans="1:18">
      <c r="A527" s="33"/>
      <c r="B527" s="32"/>
      <c r="C527" s="32"/>
      <c r="D527" s="3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6"/>
      <c r="P527" s="36"/>
      <c r="Q527" s="36"/>
      <c r="R527" s="30"/>
    </row>
    <row r="528" spans="1:18">
      <c r="A528" s="33"/>
      <c r="B528" s="32"/>
      <c r="C528" s="32"/>
      <c r="D528" s="3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6"/>
      <c r="P528" s="36"/>
      <c r="Q528" s="36"/>
      <c r="R528" s="30"/>
    </row>
    <row r="529" spans="1:18">
      <c r="A529" s="33"/>
      <c r="B529" s="32"/>
      <c r="C529" s="32"/>
      <c r="D529" s="3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6"/>
      <c r="P529" s="36"/>
      <c r="Q529" s="36"/>
      <c r="R529" s="30"/>
    </row>
    <row r="530" spans="1:18">
      <c r="A530" s="33"/>
      <c r="B530" s="32"/>
      <c r="C530" s="32"/>
      <c r="D530" s="3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6"/>
      <c r="P530" s="36"/>
      <c r="Q530" s="36"/>
      <c r="R530" s="30"/>
    </row>
    <row r="531" spans="1:18">
      <c r="A531" s="33"/>
      <c r="B531" s="32"/>
      <c r="C531" s="32"/>
      <c r="D531" s="3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6"/>
      <c r="P531" s="36"/>
      <c r="Q531" s="36"/>
      <c r="R531" s="30"/>
    </row>
    <row r="532" spans="1:18">
      <c r="A532" s="33"/>
      <c r="B532" s="32"/>
      <c r="C532" s="32"/>
      <c r="D532" s="3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6"/>
      <c r="P532" s="36"/>
      <c r="Q532" s="36"/>
      <c r="R532" s="30"/>
    </row>
    <row r="533" spans="1:18">
      <c r="A533" s="33"/>
      <c r="B533" s="32"/>
      <c r="C533" s="32"/>
      <c r="D533" s="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6"/>
      <c r="P533" s="36"/>
      <c r="Q533" s="36"/>
      <c r="R533" s="30"/>
    </row>
    <row r="534" spans="1:18">
      <c r="A534" s="33"/>
      <c r="B534" s="32"/>
      <c r="C534" s="32"/>
      <c r="D534" s="3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6"/>
      <c r="P534" s="36"/>
      <c r="Q534" s="36"/>
      <c r="R534" s="30"/>
    </row>
    <row r="535" spans="1:18">
      <c r="A535" s="33"/>
      <c r="B535" s="32"/>
      <c r="C535" s="32"/>
      <c r="D535" s="3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6"/>
      <c r="P535" s="36"/>
      <c r="Q535" s="36"/>
      <c r="R535" s="30"/>
    </row>
    <row r="536" spans="1:18">
      <c r="A536" s="33"/>
      <c r="B536" s="32"/>
      <c r="C536" s="32"/>
      <c r="D536" s="3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6"/>
      <c r="P536" s="36"/>
      <c r="Q536" s="36"/>
      <c r="R536" s="30"/>
    </row>
    <row r="537" spans="1:18">
      <c r="A537" s="33"/>
      <c r="B537" s="32"/>
      <c r="C537" s="32"/>
      <c r="D537" s="3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6"/>
      <c r="P537" s="36"/>
    </row>
    <row r="538" spans="1:18">
      <c r="A538" s="33"/>
      <c r="B538" s="32"/>
      <c r="C538" s="32"/>
      <c r="D538" s="3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6"/>
      <c r="P538" s="36"/>
    </row>
    <row r="539" spans="1:18">
      <c r="A539" s="33"/>
      <c r="B539" s="32"/>
      <c r="C539" s="32"/>
      <c r="D539" s="3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6"/>
      <c r="P539" s="36"/>
    </row>
    <row r="540" spans="1:18">
      <c r="A540" s="33"/>
      <c r="B540" s="32"/>
      <c r="C540" s="32"/>
      <c r="D540" s="3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6"/>
      <c r="P540" s="36"/>
    </row>
    <row r="541" spans="1:18">
      <c r="A541" s="33"/>
      <c r="B541" s="32"/>
      <c r="C541" s="32"/>
      <c r="D541" s="3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6"/>
      <c r="P541" s="36"/>
    </row>
    <row r="542" spans="1:18">
      <c r="A542" s="33"/>
      <c r="B542" s="32"/>
      <c r="C542" s="32"/>
      <c r="D542" s="3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6"/>
      <c r="P542" s="36"/>
    </row>
    <row r="543" spans="1:18">
      <c r="A543" s="33"/>
      <c r="B543" s="32"/>
      <c r="C543" s="32"/>
      <c r="D543" s="3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6"/>
      <c r="P543" s="36"/>
    </row>
    <row r="544" spans="1:18">
      <c r="A544" s="33"/>
      <c r="B544" s="32"/>
      <c r="C544" s="32"/>
      <c r="D544" s="3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6"/>
      <c r="P544" s="36"/>
    </row>
    <row r="545" spans="1:20" s="35" customFormat="1">
      <c r="A545" s="33"/>
      <c r="B545" s="32"/>
      <c r="C545" s="32"/>
      <c r="D545" s="3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6"/>
      <c r="P545" s="36"/>
      <c r="R545" s="29"/>
      <c r="S545"/>
      <c r="T545"/>
    </row>
    <row r="546" spans="1:20" s="35" customFormat="1">
      <c r="A546" s="33"/>
      <c r="B546" s="32"/>
      <c r="C546" s="32"/>
      <c r="D546" s="3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6"/>
      <c r="P546" s="36"/>
      <c r="R546" s="29"/>
      <c r="S546"/>
      <c r="T546"/>
    </row>
    <row r="547" spans="1:20" s="35" customFormat="1">
      <c r="A547" s="33"/>
      <c r="B547" s="32"/>
      <c r="C547" s="32"/>
      <c r="D547" s="3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6"/>
      <c r="P547" s="36"/>
      <c r="R547" s="29"/>
      <c r="S547"/>
      <c r="T547"/>
    </row>
    <row r="548" spans="1:20" s="35" customFormat="1">
      <c r="A548" s="33"/>
      <c r="B548" s="32"/>
      <c r="C548" s="32"/>
      <c r="D548" s="3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6"/>
      <c r="P548" s="36"/>
      <c r="R548" s="29"/>
      <c r="S548"/>
      <c r="T548"/>
    </row>
    <row r="549" spans="1:20" s="35" customFormat="1">
      <c r="A549" s="33"/>
      <c r="B549" s="32"/>
      <c r="C549" s="32"/>
      <c r="D549" s="3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6"/>
      <c r="P549" s="36"/>
      <c r="R549" s="29"/>
      <c r="S549"/>
      <c r="T549"/>
    </row>
    <row r="550" spans="1:20" s="35" customFormat="1">
      <c r="A550" s="33"/>
      <c r="B550" s="32"/>
      <c r="C550" s="32"/>
      <c r="D550" s="3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6"/>
      <c r="P550" s="36"/>
      <c r="R550" s="29"/>
      <c r="S550"/>
      <c r="T550"/>
    </row>
    <row r="551" spans="1:20" s="35" customFormat="1">
      <c r="A551" s="33"/>
      <c r="B551" s="32"/>
      <c r="C551" s="32"/>
      <c r="D551" s="3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6"/>
      <c r="P551" s="36"/>
      <c r="R551" s="29"/>
      <c r="S551"/>
      <c r="T551"/>
    </row>
    <row r="552" spans="1:20" s="35" customFormat="1">
      <c r="A552" s="33"/>
      <c r="B552" s="32"/>
      <c r="C552" s="32"/>
      <c r="D552" s="3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6"/>
      <c r="P552" s="36"/>
      <c r="R552" s="29"/>
      <c r="S552"/>
      <c r="T552"/>
    </row>
    <row r="553" spans="1:20" s="35" customFormat="1">
      <c r="A553" s="33"/>
      <c r="B553" s="32"/>
      <c r="C553" s="32"/>
      <c r="D553" s="3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6"/>
      <c r="P553" s="36"/>
      <c r="R553" s="29"/>
      <c r="S553"/>
      <c r="T553"/>
    </row>
    <row r="554" spans="1:20" s="35" customFormat="1">
      <c r="A554" s="33"/>
      <c r="B554" s="32"/>
      <c r="C554" s="32"/>
      <c r="D554" s="3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6"/>
      <c r="P554" s="36"/>
      <c r="R554" s="29"/>
      <c r="S554"/>
      <c r="T554"/>
    </row>
    <row r="555" spans="1:20" s="35" customFormat="1">
      <c r="A555" s="33"/>
      <c r="B555" s="32"/>
      <c r="C555" s="32"/>
      <c r="D555" s="3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6"/>
      <c r="P555" s="36"/>
      <c r="R555" s="29"/>
      <c r="S555"/>
      <c r="T555"/>
    </row>
    <row r="556" spans="1:20" s="35" customFormat="1">
      <c r="A556" s="33"/>
      <c r="B556" s="32"/>
      <c r="C556" s="32"/>
      <c r="D556" s="3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6"/>
      <c r="P556" s="36"/>
      <c r="R556" s="29"/>
      <c r="S556"/>
      <c r="T556"/>
    </row>
    <row r="557" spans="1:20" s="35" customFormat="1">
      <c r="A557" s="33"/>
      <c r="B557" s="32"/>
      <c r="C557" s="32"/>
      <c r="D557" s="3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6"/>
      <c r="P557" s="36"/>
      <c r="R557" s="29"/>
      <c r="S557"/>
      <c r="T557"/>
    </row>
    <row r="558" spans="1:20" s="35" customFormat="1">
      <c r="A558" s="33"/>
      <c r="B558" s="32"/>
      <c r="C558" s="32"/>
      <c r="D558" s="3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6"/>
      <c r="P558" s="36"/>
      <c r="R558" s="29"/>
      <c r="S558"/>
      <c r="T558"/>
    </row>
    <row r="559" spans="1:20" s="35" customFormat="1">
      <c r="A559" s="33"/>
      <c r="B559" s="32"/>
      <c r="C559" s="32"/>
      <c r="D559" s="3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6"/>
      <c r="P559" s="36"/>
      <c r="R559" s="29"/>
      <c r="S559"/>
      <c r="T559"/>
    </row>
    <row r="560" spans="1:20" s="35" customFormat="1">
      <c r="A560" s="33"/>
      <c r="B560" s="32"/>
      <c r="C560" s="32"/>
      <c r="D560" s="3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6"/>
      <c r="P560" s="36"/>
      <c r="R560" s="29"/>
      <c r="S560"/>
      <c r="T560"/>
    </row>
    <row r="561" spans="1:20" s="35" customFormat="1">
      <c r="A561" s="33"/>
      <c r="B561" s="32"/>
      <c r="C561" s="32"/>
      <c r="D561" s="3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6"/>
      <c r="P561" s="36"/>
      <c r="R561" s="29"/>
      <c r="S561"/>
      <c r="T561"/>
    </row>
    <row r="562" spans="1:20" s="35" customFormat="1">
      <c r="A562" s="33"/>
      <c r="B562" s="32"/>
      <c r="C562" s="32"/>
      <c r="D562" s="3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6"/>
      <c r="P562" s="36"/>
      <c r="R562" s="29"/>
      <c r="S562"/>
      <c r="T562"/>
    </row>
    <row r="563" spans="1:20" s="35" customFormat="1">
      <c r="A563" s="33"/>
      <c r="B563" s="32"/>
      <c r="C563" s="32"/>
      <c r="D563" s="3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6"/>
      <c r="P563" s="36"/>
      <c r="R563" s="29"/>
      <c r="S563"/>
      <c r="T563"/>
    </row>
    <row r="564" spans="1:20" s="35" customFormat="1">
      <c r="A564" s="33"/>
      <c r="B564" s="32"/>
      <c r="C564" s="32"/>
      <c r="D564" s="3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6"/>
      <c r="P564" s="36"/>
      <c r="R564" s="29"/>
      <c r="S564"/>
      <c r="T564"/>
    </row>
    <row r="565" spans="1:20" s="35" customFormat="1">
      <c r="A565" s="33"/>
      <c r="B565" s="32"/>
      <c r="C565" s="32"/>
      <c r="D565" s="3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6"/>
      <c r="P565" s="36"/>
      <c r="R565" s="29"/>
      <c r="S565"/>
      <c r="T565"/>
    </row>
    <row r="566" spans="1:20" s="35" customFormat="1">
      <c r="A566" s="33"/>
      <c r="B566" s="32"/>
      <c r="C566" s="32"/>
      <c r="D566" s="3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6"/>
      <c r="P566" s="36"/>
      <c r="R566" s="29"/>
      <c r="S566"/>
      <c r="T566"/>
    </row>
    <row r="567" spans="1:20" s="35" customFormat="1">
      <c r="A567" s="33"/>
      <c r="B567" s="32"/>
      <c r="C567" s="32"/>
      <c r="D567" s="3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6"/>
      <c r="P567" s="36"/>
      <c r="R567" s="29"/>
      <c r="S567"/>
      <c r="T567"/>
    </row>
    <row r="568" spans="1:20" s="35" customFormat="1">
      <c r="A568" s="33"/>
      <c r="B568" s="32"/>
      <c r="C568" s="32"/>
      <c r="D568" s="3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6"/>
      <c r="P568" s="36"/>
      <c r="R568" s="29"/>
      <c r="S568"/>
      <c r="T568"/>
    </row>
    <row r="569" spans="1:20" s="35" customFormat="1">
      <c r="A569" s="33"/>
      <c r="B569" s="32"/>
      <c r="C569" s="32"/>
      <c r="D569" s="3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6"/>
      <c r="P569" s="36"/>
      <c r="R569" s="29"/>
      <c r="S569"/>
      <c r="T569"/>
    </row>
    <row r="570" spans="1:20" s="35" customFormat="1">
      <c r="A570" s="33"/>
      <c r="B570" s="32"/>
      <c r="C570" s="32"/>
      <c r="D570" s="3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6"/>
      <c r="P570" s="36"/>
      <c r="R570" s="29"/>
      <c r="S570"/>
      <c r="T570"/>
    </row>
    <row r="571" spans="1:20" s="35" customFormat="1">
      <c r="A571" s="33"/>
      <c r="B571" s="32"/>
      <c r="C571" s="32"/>
      <c r="D571" s="3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6"/>
      <c r="P571" s="36"/>
      <c r="R571" s="29"/>
      <c r="S571"/>
      <c r="T571"/>
    </row>
    <row r="572" spans="1:20" s="35" customFormat="1">
      <c r="A572" s="33"/>
      <c r="B572" s="32"/>
      <c r="C572" s="32"/>
      <c r="D572" s="3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6"/>
      <c r="P572" s="36"/>
      <c r="R572" s="29"/>
      <c r="S572"/>
      <c r="T572"/>
    </row>
    <row r="573" spans="1:20" s="35" customFormat="1">
      <c r="A573" s="33"/>
      <c r="B573" s="32"/>
      <c r="C573" s="32"/>
      <c r="D573" s="3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6"/>
      <c r="P573" s="36"/>
      <c r="R573" s="29"/>
      <c r="S573"/>
      <c r="T573"/>
    </row>
    <row r="574" spans="1:20" s="35" customFormat="1">
      <c r="A574" s="33"/>
      <c r="B574" s="32"/>
      <c r="C574" s="32"/>
      <c r="D574" s="3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6"/>
      <c r="P574" s="36"/>
      <c r="R574" s="29"/>
      <c r="S574"/>
      <c r="T574"/>
    </row>
    <row r="575" spans="1:20" s="35" customFormat="1">
      <c r="A575" s="33"/>
      <c r="B575" s="32"/>
      <c r="C575" s="32"/>
      <c r="D575" s="3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6"/>
      <c r="P575" s="36"/>
      <c r="R575" s="29"/>
      <c r="S575"/>
      <c r="T575"/>
    </row>
    <row r="576" spans="1:20" s="35" customFormat="1">
      <c r="A576" s="33"/>
      <c r="B576" s="32"/>
      <c r="C576" s="32"/>
      <c r="D576" s="3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6"/>
      <c r="P576" s="36"/>
      <c r="R576" s="29"/>
      <c r="S576"/>
      <c r="T576"/>
    </row>
    <row r="577" spans="1:20" s="35" customFormat="1">
      <c r="A577" s="33"/>
      <c r="B577" s="32"/>
      <c r="C577" s="32"/>
      <c r="D577" s="3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6"/>
      <c r="P577" s="36"/>
      <c r="R577" s="29"/>
      <c r="S577"/>
      <c r="T577"/>
    </row>
    <row r="578" spans="1:20" s="35" customFormat="1">
      <c r="A578" s="33"/>
      <c r="B578" s="32"/>
      <c r="C578" s="32"/>
      <c r="D578" s="3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6"/>
      <c r="P578" s="36"/>
      <c r="R578" s="29"/>
      <c r="S578"/>
      <c r="T578"/>
    </row>
    <row r="579" spans="1:20" s="35" customFormat="1">
      <c r="A579" s="33"/>
      <c r="B579" s="32"/>
      <c r="C579" s="32"/>
      <c r="D579" s="3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6"/>
      <c r="P579" s="36"/>
      <c r="R579" s="29"/>
      <c r="S579"/>
      <c r="T579"/>
    </row>
    <row r="580" spans="1:20" s="35" customFormat="1">
      <c r="A580" s="33"/>
      <c r="B580" s="32"/>
      <c r="C580" s="32"/>
      <c r="D580" s="3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6"/>
      <c r="P580" s="36"/>
      <c r="R580" s="29"/>
      <c r="S580"/>
      <c r="T580"/>
    </row>
    <row r="581" spans="1:20" s="35" customFormat="1">
      <c r="A581" s="33"/>
      <c r="B581" s="32"/>
      <c r="C581" s="32"/>
      <c r="D581" s="3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6"/>
      <c r="P581" s="36"/>
      <c r="R581" s="29"/>
      <c r="S581"/>
      <c r="T581"/>
    </row>
    <row r="582" spans="1:20" s="35" customFormat="1">
      <c r="A582" s="33"/>
      <c r="B582" s="32"/>
      <c r="C582" s="32"/>
      <c r="D582" s="3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6"/>
      <c r="P582" s="36"/>
      <c r="R582" s="29"/>
      <c r="S582"/>
      <c r="T582"/>
    </row>
    <row r="583" spans="1:20" s="35" customFormat="1">
      <c r="A583" s="33"/>
      <c r="B583" s="32"/>
      <c r="C583" s="32"/>
      <c r="D583" s="3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6"/>
      <c r="P583" s="36"/>
      <c r="R583" s="29"/>
      <c r="S583"/>
      <c r="T583"/>
    </row>
    <row r="584" spans="1:20" s="35" customFormat="1">
      <c r="A584" s="33"/>
      <c r="B584" s="32"/>
      <c r="C584" s="32"/>
      <c r="D584" s="3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6"/>
      <c r="P584" s="36"/>
      <c r="R584" s="29"/>
      <c r="S584"/>
      <c r="T584"/>
    </row>
    <row r="585" spans="1:20" s="35" customFormat="1">
      <c r="A585" s="33"/>
      <c r="B585" s="32"/>
      <c r="C585" s="32"/>
      <c r="D585" s="3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6"/>
      <c r="P585" s="36"/>
      <c r="R585" s="29"/>
      <c r="S585"/>
      <c r="T585"/>
    </row>
    <row r="586" spans="1:20" s="35" customFormat="1">
      <c r="A586" s="33"/>
      <c r="B586" s="32"/>
      <c r="C586" s="32"/>
      <c r="D586" s="3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6"/>
      <c r="P586" s="36"/>
      <c r="R586" s="29"/>
      <c r="S586"/>
      <c r="T586"/>
    </row>
    <row r="587" spans="1:20" s="35" customFormat="1">
      <c r="A587" s="33"/>
      <c r="B587" s="32"/>
      <c r="C587" s="32"/>
      <c r="D587" s="3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6"/>
      <c r="P587" s="36"/>
      <c r="R587" s="29"/>
      <c r="S587"/>
      <c r="T587"/>
    </row>
    <row r="588" spans="1:20" s="35" customFormat="1">
      <c r="A588" s="33"/>
      <c r="B588" s="32"/>
      <c r="C588" s="32"/>
      <c r="D588" s="3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6"/>
      <c r="P588" s="36"/>
      <c r="R588" s="29"/>
      <c r="S588"/>
      <c r="T588"/>
    </row>
    <row r="589" spans="1:20" s="35" customFormat="1">
      <c r="A589" s="33"/>
      <c r="B589" s="32"/>
      <c r="C589" s="32"/>
      <c r="D589" s="3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6"/>
      <c r="P589" s="36"/>
      <c r="R589" s="29"/>
      <c r="S589"/>
      <c r="T589"/>
    </row>
    <row r="590" spans="1:20" s="35" customFormat="1">
      <c r="A590" s="33"/>
      <c r="B590" s="32"/>
      <c r="C590" s="32"/>
      <c r="D590" s="3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6"/>
      <c r="P590" s="36"/>
      <c r="R590" s="29"/>
      <c r="S590"/>
      <c r="T590"/>
    </row>
    <row r="591" spans="1:20" s="35" customFormat="1">
      <c r="A591" s="33"/>
      <c r="B591" s="32"/>
      <c r="C591" s="32"/>
      <c r="D591" s="3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6"/>
      <c r="P591" s="36"/>
      <c r="R591" s="29"/>
      <c r="S591"/>
      <c r="T591"/>
    </row>
    <row r="592" spans="1:20" s="35" customFormat="1">
      <c r="A592" s="33"/>
      <c r="B592" s="32"/>
      <c r="C592" s="32"/>
      <c r="D592" s="3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6"/>
      <c r="P592" s="36"/>
      <c r="R592" s="29"/>
      <c r="S592"/>
      <c r="T592"/>
    </row>
    <row r="593" spans="1:20" s="35" customFormat="1">
      <c r="A593" s="33"/>
      <c r="B593" s="32"/>
      <c r="C593" s="32"/>
      <c r="D593" s="3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6"/>
      <c r="P593" s="36"/>
      <c r="R593" s="29"/>
      <c r="S593"/>
      <c r="T593"/>
    </row>
    <row r="594" spans="1:20" s="35" customFormat="1">
      <c r="A594" s="33"/>
      <c r="B594" s="32"/>
      <c r="C594" s="32"/>
      <c r="D594" s="3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6"/>
      <c r="P594" s="36"/>
      <c r="R594" s="29"/>
      <c r="S594"/>
      <c r="T594"/>
    </row>
    <row r="595" spans="1:20" s="35" customFormat="1">
      <c r="A595" s="33"/>
      <c r="B595" s="32"/>
      <c r="C595" s="32"/>
      <c r="D595" s="3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6"/>
      <c r="P595" s="36"/>
      <c r="R595" s="29"/>
      <c r="S595"/>
      <c r="T595"/>
    </row>
    <row r="596" spans="1:20" s="35" customFormat="1">
      <c r="A596" s="33"/>
      <c r="B596" s="32"/>
      <c r="C596" s="32"/>
      <c r="D596" s="3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6"/>
      <c r="P596" s="36"/>
      <c r="R596" s="29"/>
      <c r="S596"/>
      <c r="T596"/>
    </row>
    <row r="597" spans="1:20" s="35" customFormat="1">
      <c r="A597" s="33"/>
      <c r="B597" s="32"/>
      <c r="C597" s="32"/>
      <c r="D597" s="3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6"/>
      <c r="R597" s="29"/>
      <c r="S597"/>
      <c r="T597"/>
    </row>
    <row r="598" spans="1:20" s="35" customFormat="1">
      <c r="A598" s="33"/>
      <c r="B598" s="32"/>
      <c r="C598" s="32"/>
      <c r="D598" s="3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6"/>
      <c r="R598" s="29"/>
      <c r="S598"/>
      <c r="T598"/>
    </row>
    <row r="599" spans="1:20" s="35" customFormat="1">
      <c r="A599" s="33"/>
      <c r="B599" s="32"/>
      <c r="C599" s="32"/>
      <c r="D599" s="3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6"/>
      <c r="R599" s="29"/>
      <c r="S599"/>
      <c r="T599"/>
    </row>
    <row r="600" spans="1:20" s="35" customFormat="1">
      <c r="A600" s="33"/>
      <c r="B600" s="32"/>
      <c r="C600" s="32"/>
      <c r="D600" s="3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6"/>
      <c r="R600" s="29"/>
      <c r="S600"/>
      <c r="T600"/>
    </row>
    <row r="601" spans="1:20" s="35" customFormat="1">
      <c r="A601" s="33"/>
      <c r="B601" s="32"/>
      <c r="C601" s="32"/>
      <c r="D601" s="3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6"/>
      <c r="R601" s="29"/>
      <c r="S601"/>
      <c r="T601"/>
    </row>
    <row r="602" spans="1:20" s="35" customFormat="1">
      <c r="A602" s="33"/>
      <c r="B602" s="32"/>
      <c r="C602" s="32"/>
      <c r="D602" s="3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6"/>
      <c r="R602" s="29"/>
      <c r="S602"/>
      <c r="T602"/>
    </row>
    <row r="603" spans="1:20" s="35" customFormat="1">
      <c r="A603" s="33"/>
      <c r="B603" s="32"/>
      <c r="C603" s="32"/>
      <c r="D603" s="3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6"/>
      <c r="R603" s="29"/>
      <c r="S603"/>
      <c r="T603"/>
    </row>
    <row r="604" spans="1:20" s="35" customFormat="1">
      <c r="A604" s="33"/>
      <c r="B604" s="32"/>
      <c r="C604" s="32"/>
      <c r="D604" s="3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6"/>
      <c r="R604" s="29"/>
      <c r="S604"/>
      <c r="T604"/>
    </row>
    <row r="605" spans="1:20" s="35" customFormat="1">
      <c r="A605" s="33"/>
      <c r="B605" s="32"/>
      <c r="C605" s="32"/>
      <c r="D605" s="3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6"/>
      <c r="R605" s="29"/>
      <c r="S605"/>
      <c r="T605"/>
    </row>
    <row r="606" spans="1:20" s="35" customFormat="1">
      <c r="A606" s="33"/>
      <c r="B606" s="32"/>
      <c r="C606" s="32"/>
      <c r="D606" s="3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6"/>
      <c r="R606" s="29"/>
      <c r="S606"/>
      <c r="T606"/>
    </row>
    <row r="607" spans="1:20" s="35" customFormat="1">
      <c r="A607" s="33"/>
      <c r="B607" s="32"/>
      <c r="C607" s="32"/>
      <c r="D607" s="3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6"/>
      <c r="R607" s="29"/>
      <c r="S607"/>
      <c r="T607"/>
    </row>
    <row r="608" spans="1:20" s="35" customFormat="1">
      <c r="A608" s="33"/>
      <c r="B608" s="32"/>
      <c r="C608" s="32"/>
      <c r="D608" s="3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6"/>
      <c r="R608" s="29"/>
      <c r="S608"/>
      <c r="T608"/>
    </row>
    <row r="609" spans="1:20" s="35" customFormat="1">
      <c r="A609" s="33"/>
      <c r="B609" s="32"/>
      <c r="C609" s="32"/>
      <c r="D609" s="3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6"/>
      <c r="R609" s="29"/>
      <c r="S609"/>
      <c r="T609"/>
    </row>
    <row r="610" spans="1:20" s="35" customFormat="1">
      <c r="A610" s="33"/>
      <c r="B610" s="32"/>
      <c r="C610" s="32"/>
      <c r="D610" s="3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6"/>
      <c r="R610" s="29"/>
      <c r="S610"/>
      <c r="T610"/>
    </row>
    <row r="611" spans="1:20" s="35" customFormat="1">
      <c r="A611" s="33"/>
      <c r="B611" s="32"/>
      <c r="C611" s="32"/>
      <c r="D611" s="3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6"/>
      <c r="R611" s="29"/>
      <c r="S611"/>
      <c r="T611"/>
    </row>
    <row r="612" spans="1:20" s="35" customFormat="1">
      <c r="A612" s="33"/>
      <c r="B612" s="32"/>
      <c r="C612" s="32"/>
      <c r="D612" s="3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6"/>
      <c r="R612" s="29"/>
      <c r="S612"/>
      <c r="T612"/>
    </row>
    <row r="613" spans="1:20" s="35" customFormat="1">
      <c r="A613" s="33"/>
      <c r="B613" s="32"/>
      <c r="C613" s="32"/>
      <c r="D613" s="3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6"/>
      <c r="R613" s="29"/>
      <c r="S613"/>
      <c r="T613"/>
    </row>
    <row r="614" spans="1:20" s="35" customFormat="1">
      <c r="A614" s="33"/>
      <c r="B614" s="32"/>
      <c r="C614" s="32"/>
      <c r="D614" s="3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6"/>
      <c r="R614" s="29"/>
      <c r="S614"/>
      <c r="T614"/>
    </row>
    <row r="615" spans="1:20" s="35" customFormat="1">
      <c r="A615" s="33"/>
      <c r="B615" s="32"/>
      <c r="C615" s="32"/>
      <c r="D615" s="3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6"/>
      <c r="R615" s="29"/>
      <c r="S615"/>
      <c r="T615"/>
    </row>
    <row r="616" spans="1:20" s="35" customFormat="1">
      <c r="A616" s="33"/>
      <c r="B616" s="32"/>
      <c r="C616" s="32"/>
      <c r="D616" s="3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6"/>
      <c r="R616" s="29"/>
      <c r="S616"/>
      <c r="T616"/>
    </row>
    <row r="617" spans="1:20" s="35" customFormat="1">
      <c r="A617" s="33"/>
      <c r="B617" s="32"/>
      <c r="C617" s="32"/>
      <c r="D617" s="3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6"/>
      <c r="R617" s="29"/>
      <c r="S617"/>
      <c r="T617"/>
    </row>
    <row r="618" spans="1:20" s="35" customFormat="1">
      <c r="A618" s="33"/>
      <c r="B618" s="32"/>
      <c r="C618" s="32"/>
      <c r="D618" s="3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6"/>
      <c r="R618" s="29"/>
      <c r="S618"/>
      <c r="T618"/>
    </row>
    <row r="619" spans="1:20" s="35" customFormat="1">
      <c r="A619" s="33"/>
      <c r="B619" s="32"/>
      <c r="C619" s="32"/>
      <c r="D619" s="3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6"/>
      <c r="R619" s="29"/>
      <c r="S619"/>
      <c r="T619"/>
    </row>
    <row r="620" spans="1:20" s="35" customFormat="1">
      <c r="A620" s="33"/>
      <c r="B620" s="32"/>
      <c r="C620" s="32"/>
      <c r="D620" s="3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6"/>
      <c r="R620" s="29"/>
      <c r="S620"/>
      <c r="T620"/>
    </row>
    <row r="621" spans="1:20" s="35" customFormat="1">
      <c r="A621" s="33"/>
      <c r="B621" s="32"/>
      <c r="C621" s="32"/>
      <c r="D621" s="3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6"/>
      <c r="R621" s="29"/>
      <c r="S621"/>
      <c r="T621"/>
    </row>
    <row r="622" spans="1:20" s="35" customFormat="1">
      <c r="A622" s="33"/>
      <c r="B622" s="32"/>
      <c r="C622" s="32"/>
      <c r="D622" s="3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6"/>
      <c r="R622" s="29"/>
      <c r="S622"/>
      <c r="T622"/>
    </row>
    <row r="623" spans="1:20" s="35" customFormat="1">
      <c r="A623" s="33"/>
      <c r="B623" s="32"/>
      <c r="C623" s="32"/>
      <c r="D623" s="3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6"/>
      <c r="R623" s="29"/>
      <c r="S623"/>
      <c r="T623"/>
    </row>
    <row r="624" spans="1:20" s="35" customFormat="1">
      <c r="A624" s="33"/>
      <c r="B624" s="32"/>
      <c r="C624" s="32"/>
      <c r="D624" s="3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6"/>
      <c r="R624" s="29"/>
      <c r="S624"/>
      <c r="T624"/>
    </row>
    <row r="625" spans="1:20" s="35" customFormat="1">
      <c r="A625" s="33"/>
      <c r="B625" s="32"/>
      <c r="C625" s="32"/>
      <c r="D625" s="3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6"/>
      <c r="R625" s="29"/>
      <c r="S625"/>
      <c r="T625"/>
    </row>
    <row r="626" spans="1:20" s="35" customFormat="1">
      <c r="A626" s="33"/>
      <c r="B626" s="32"/>
      <c r="C626" s="32"/>
      <c r="D626" s="3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6"/>
      <c r="R626" s="29"/>
      <c r="S626"/>
      <c r="T626"/>
    </row>
    <row r="627" spans="1:20" s="35" customFormat="1">
      <c r="A627" s="33"/>
      <c r="B627" s="32"/>
      <c r="C627" s="32"/>
      <c r="D627" s="3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6"/>
      <c r="R627" s="29"/>
      <c r="S627"/>
      <c r="T627"/>
    </row>
    <row r="628" spans="1:20" s="35" customFormat="1">
      <c r="A628" s="33"/>
      <c r="B628" s="32"/>
      <c r="C628" s="32"/>
      <c r="D628" s="3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6"/>
      <c r="R628" s="29"/>
      <c r="S628"/>
      <c r="T628"/>
    </row>
    <row r="629" spans="1:20" s="35" customFormat="1">
      <c r="A629" s="33"/>
      <c r="B629" s="32"/>
      <c r="C629" s="32"/>
      <c r="D629" s="3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6"/>
      <c r="R629" s="29"/>
      <c r="S629"/>
      <c r="T629"/>
    </row>
    <row r="630" spans="1:20" s="35" customFormat="1">
      <c r="A630" s="33"/>
      <c r="B630" s="32"/>
      <c r="C630" s="32"/>
      <c r="D630" s="3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6"/>
      <c r="R630" s="29"/>
      <c r="S630"/>
      <c r="T630"/>
    </row>
    <row r="631" spans="1:20" s="35" customFormat="1">
      <c r="A631" s="33"/>
      <c r="B631" s="32"/>
      <c r="C631" s="32"/>
      <c r="D631" s="3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6"/>
      <c r="R631" s="29"/>
      <c r="S631"/>
      <c r="T631"/>
    </row>
    <row r="632" spans="1:20" s="35" customFormat="1">
      <c r="A632" s="33"/>
      <c r="B632" s="32"/>
      <c r="C632" s="32"/>
      <c r="D632" s="3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6"/>
      <c r="R632" s="29"/>
      <c r="S632"/>
      <c r="T632"/>
    </row>
    <row r="633" spans="1:20" s="35" customFormat="1">
      <c r="A633" s="33"/>
      <c r="B633" s="32"/>
      <c r="C633" s="32"/>
      <c r="D633" s="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6"/>
      <c r="R633" s="29"/>
      <c r="S633"/>
      <c r="T633"/>
    </row>
    <row r="634" spans="1:20" s="35" customFormat="1">
      <c r="A634" s="33"/>
      <c r="B634" s="32"/>
      <c r="C634" s="32"/>
      <c r="D634" s="3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6"/>
      <c r="R634" s="29"/>
      <c r="S634"/>
      <c r="T634"/>
    </row>
    <row r="635" spans="1:20" s="35" customFormat="1">
      <c r="A635" s="33"/>
      <c r="B635" s="32"/>
      <c r="C635" s="32"/>
      <c r="D635" s="3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6"/>
      <c r="R635" s="29"/>
      <c r="S635"/>
      <c r="T635"/>
    </row>
    <row r="636" spans="1:20" s="35" customFormat="1">
      <c r="A636" s="33"/>
      <c r="B636" s="32"/>
      <c r="C636" s="32"/>
      <c r="D636" s="3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6"/>
      <c r="R636" s="29"/>
      <c r="S636"/>
      <c r="T636"/>
    </row>
    <row r="637" spans="1:20" s="35" customFormat="1">
      <c r="A637" s="33"/>
      <c r="B637" s="32"/>
      <c r="C637" s="32"/>
      <c r="D637" s="3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6"/>
      <c r="R637" s="29"/>
      <c r="S637"/>
      <c r="T637"/>
    </row>
    <row r="638" spans="1:20" s="35" customFormat="1">
      <c r="A638" s="33"/>
      <c r="B638" s="32"/>
      <c r="C638" s="32"/>
      <c r="D638" s="3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6"/>
      <c r="R638" s="29"/>
      <c r="S638"/>
      <c r="T638"/>
    </row>
    <row r="639" spans="1:20" s="35" customFormat="1">
      <c r="A639" s="33"/>
      <c r="B639" s="32"/>
      <c r="C639" s="32"/>
      <c r="D639" s="3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6"/>
      <c r="R639" s="29"/>
      <c r="S639"/>
      <c r="T639"/>
    </row>
    <row r="640" spans="1:20" s="35" customFormat="1">
      <c r="A640" s="33"/>
      <c r="B640" s="32"/>
      <c r="C640" s="32"/>
      <c r="D640" s="3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6"/>
      <c r="R640" s="29"/>
      <c r="S640"/>
      <c r="T640"/>
    </row>
    <row r="641" spans="1:20" s="35" customFormat="1">
      <c r="A641" s="33"/>
      <c r="B641" s="32"/>
      <c r="C641" s="32"/>
      <c r="D641" s="3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6"/>
      <c r="R641" s="29"/>
      <c r="S641"/>
      <c r="T641"/>
    </row>
    <row r="642" spans="1:20" s="35" customFormat="1">
      <c r="A642" s="33"/>
      <c r="B642" s="32"/>
      <c r="C642" s="32"/>
      <c r="D642" s="3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6"/>
      <c r="R642" s="29"/>
      <c r="S642"/>
      <c r="T642"/>
    </row>
    <row r="643" spans="1:20" s="35" customFormat="1">
      <c r="A643" s="33"/>
      <c r="B643" s="32"/>
      <c r="C643" s="32"/>
      <c r="D643" s="3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6"/>
      <c r="R643" s="29"/>
      <c r="S643"/>
      <c r="T643"/>
    </row>
    <row r="644" spans="1:20" s="35" customFormat="1">
      <c r="A644" s="33"/>
      <c r="B644" s="32"/>
      <c r="C644" s="32"/>
      <c r="D644" s="3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6"/>
      <c r="R644" s="29"/>
      <c r="S644"/>
      <c r="T644"/>
    </row>
    <row r="645" spans="1:20" s="35" customFormat="1">
      <c r="A645" s="33"/>
      <c r="B645" s="32"/>
      <c r="C645" s="32"/>
      <c r="D645" s="3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6"/>
      <c r="R645" s="29"/>
      <c r="S645"/>
      <c r="T645"/>
    </row>
    <row r="646" spans="1:20" s="35" customFormat="1">
      <c r="A646" s="33"/>
      <c r="B646" s="32"/>
      <c r="C646" s="32"/>
      <c r="D646" s="3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6"/>
      <c r="R646" s="29"/>
      <c r="S646"/>
      <c r="T646"/>
    </row>
    <row r="647" spans="1:20" s="35" customFormat="1">
      <c r="A647" s="33"/>
      <c r="B647" s="32"/>
      <c r="C647" s="32"/>
      <c r="D647" s="3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6"/>
      <c r="R647" s="29"/>
      <c r="S647"/>
      <c r="T647"/>
    </row>
    <row r="648" spans="1:20" s="35" customFormat="1">
      <c r="A648" s="33"/>
      <c r="B648" s="32"/>
      <c r="C648" s="32"/>
      <c r="D648" s="3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6"/>
      <c r="R648" s="29"/>
      <c r="S648"/>
      <c r="T648"/>
    </row>
    <row r="649" spans="1:20" s="35" customFormat="1">
      <c r="A649" s="33"/>
      <c r="B649" s="32"/>
      <c r="C649" s="32"/>
      <c r="D649" s="3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6"/>
      <c r="R649" s="29"/>
      <c r="S649"/>
      <c r="T649"/>
    </row>
    <row r="650" spans="1:20" s="35" customFormat="1">
      <c r="A650" s="33"/>
      <c r="B650" s="32"/>
      <c r="C650" s="32"/>
      <c r="D650" s="3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6"/>
      <c r="R650" s="29"/>
      <c r="S650"/>
      <c r="T650"/>
    </row>
    <row r="651" spans="1:20" s="35" customFormat="1">
      <c r="A651" s="33"/>
      <c r="B651" s="32"/>
      <c r="C651" s="32"/>
      <c r="D651" s="3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6"/>
      <c r="R651" s="29"/>
      <c r="S651"/>
      <c r="T651"/>
    </row>
    <row r="652" spans="1:20" s="35" customFormat="1">
      <c r="A652" s="33"/>
      <c r="B652" s="32"/>
      <c r="C652" s="32"/>
      <c r="D652" s="3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6"/>
      <c r="R652" s="29"/>
      <c r="S652"/>
      <c r="T652"/>
    </row>
    <row r="653" spans="1:20" s="35" customFormat="1">
      <c r="A653" s="33"/>
      <c r="B653" s="32"/>
      <c r="C653" s="32"/>
      <c r="D653" s="3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6"/>
      <c r="R653" s="29"/>
      <c r="S653"/>
      <c r="T653"/>
    </row>
    <row r="654" spans="1:20" s="35" customFormat="1">
      <c r="A654" s="33"/>
      <c r="B654" s="32"/>
      <c r="C654" s="32"/>
      <c r="D654" s="3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6"/>
      <c r="R654" s="29"/>
      <c r="S654"/>
      <c r="T654"/>
    </row>
    <row r="655" spans="1:20" s="35" customFormat="1">
      <c r="A655" s="33"/>
      <c r="B655" s="32"/>
      <c r="C655" s="32"/>
      <c r="D655" s="3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6"/>
      <c r="R655" s="29"/>
      <c r="S655"/>
      <c r="T655"/>
    </row>
    <row r="656" spans="1:20" s="35" customFormat="1">
      <c r="A656" s="33"/>
      <c r="B656" s="32"/>
      <c r="C656" s="32"/>
      <c r="D656" s="3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6"/>
      <c r="R656" s="29"/>
      <c r="S656"/>
      <c r="T656"/>
    </row>
    <row r="657" spans="1:20" s="35" customFormat="1">
      <c r="A657" s="33"/>
      <c r="B657" s="32"/>
      <c r="C657" s="32"/>
      <c r="D657" s="3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6"/>
      <c r="R657" s="29"/>
      <c r="S657"/>
      <c r="T657"/>
    </row>
    <row r="658" spans="1:20" s="35" customFormat="1">
      <c r="A658" s="33"/>
      <c r="B658" s="32"/>
      <c r="C658" s="32"/>
      <c r="D658" s="3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6"/>
      <c r="R658" s="29"/>
      <c r="S658"/>
      <c r="T658"/>
    </row>
    <row r="659" spans="1:20" s="35" customFormat="1">
      <c r="A659" s="33"/>
      <c r="B659" s="32"/>
      <c r="C659" s="32"/>
      <c r="D659" s="3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6"/>
      <c r="R659" s="29"/>
      <c r="S659"/>
      <c r="T659"/>
    </row>
    <row r="660" spans="1:20" s="35" customFormat="1">
      <c r="A660" s="33"/>
      <c r="B660" s="32"/>
      <c r="C660" s="32"/>
      <c r="D660" s="3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6"/>
      <c r="R660" s="29"/>
      <c r="S660"/>
      <c r="T660"/>
    </row>
    <row r="661" spans="1:20" s="35" customFormat="1">
      <c r="A661" s="33"/>
      <c r="B661" s="32"/>
      <c r="C661" s="32"/>
      <c r="D661" s="3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6"/>
      <c r="R661" s="29"/>
      <c r="S661"/>
      <c r="T661"/>
    </row>
    <row r="662" spans="1:20" s="35" customFormat="1">
      <c r="A662" s="33"/>
      <c r="B662" s="32"/>
      <c r="C662" s="32"/>
      <c r="D662" s="3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6"/>
      <c r="R662" s="29"/>
      <c r="S662"/>
      <c r="T662"/>
    </row>
    <row r="663" spans="1:20" s="35" customFormat="1">
      <c r="A663" s="33"/>
      <c r="B663" s="32"/>
      <c r="C663" s="32"/>
      <c r="D663" s="3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6"/>
      <c r="R663" s="29"/>
      <c r="S663"/>
      <c r="T663"/>
    </row>
    <row r="664" spans="1:20" s="35" customFormat="1">
      <c r="A664" s="33"/>
      <c r="B664" s="32"/>
      <c r="C664" s="32"/>
      <c r="D664" s="3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6"/>
      <c r="R664" s="29"/>
      <c r="S664"/>
      <c r="T664"/>
    </row>
    <row r="665" spans="1:20" s="35" customFormat="1">
      <c r="A665" s="33"/>
      <c r="B665" s="32"/>
      <c r="C665" s="32"/>
      <c r="D665" s="3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6"/>
      <c r="R665" s="29"/>
      <c r="S665"/>
      <c r="T665"/>
    </row>
    <row r="666" spans="1:20" s="35" customFormat="1">
      <c r="A666" s="33"/>
      <c r="B666" s="32"/>
      <c r="C666" s="32"/>
      <c r="D666" s="3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6"/>
      <c r="R666" s="29"/>
      <c r="S666"/>
      <c r="T666"/>
    </row>
    <row r="667" spans="1:20" s="35" customFormat="1">
      <c r="A667" s="33"/>
      <c r="B667" s="32"/>
      <c r="C667" s="32"/>
      <c r="D667" s="3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36"/>
      <c r="R667" s="29"/>
      <c r="S667"/>
      <c r="T667"/>
    </row>
    <row r="668" spans="1:20" s="35" customFormat="1">
      <c r="A668" s="33"/>
      <c r="B668" s="32"/>
      <c r="C668" s="32"/>
      <c r="D668" s="3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36"/>
      <c r="R668" s="29"/>
      <c r="S668"/>
      <c r="T668"/>
    </row>
    <row r="669" spans="1:20" s="35" customFormat="1">
      <c r="A669" s="33"/>
      <c r="B669" s="32"/>
      <c r="C669" s="32"/>
      <c r="D669" s="3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36"/>
      <c r="R669" s="29"/>
      <c r="S669"/>
      <c r="T669"/>
    </row>
    <row r="670" spans="1:20" s="35" customFormat="1">
      <c r="A670" s="33"/>
      <c r="B670" s="32"/>
      <c r="C670" s="32"/>
      <c r="D670" s="3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36"/>
      <c r="R670" s="29"/>
      <c r="S670"/>
      <c r="T670"/>
    </row>
    <row r="671" spans="1:20" s="35" customFormat="1">
      <c r="A671" s="33"/>
      <c r="B671" s="32"/>
      <c r="C671" s="32"/>
      <c r="D671" s="3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36"/>
      <c r="R671" s="29"/>
      <c r="S671"/>
      <c r="T671"/>
    </row>
    <row r="672" spans="1:20" s="35" customFormat="1">
      <c r="A672" s="33"/>
      <c r="B672" s="32"/>
      <c r="C672" s="32"/>
      <c r="D672" s="3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36"/>
      <c r="R672" s="29"/>
      <c r="S672"/>
      <c r="T672"/>
    </row>
    <row r="673" spans="1:20" s="35" customFormat="1">
      <c r="A673" s="33"/>
      <c r="B673" s="32"/>
      <c r="C673" s="32"/>
      <c r="D673" s="3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36"/>
      <c r="R673" s="29"/>
      <c r="S673"/>
      <c r="T673"/>
    </row>
    <row r="674" spans="1:20" s="35" customFormat="1">
      <c r="A674" s="33"/>
      <c r="B674" s="32"/>
      <c r="C674" s="32"/>
      <c r="D674" s="3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36"/>
      <c r="R674" s="29"/>
      <c r="S674"/>
      <c r="T674"/>
    </row>
    <row r="675" spans="1:20" s="35" customFormat="1">
      <c r="A675" s="33"/>
      <c r="B675" s="15"/>
      <c r="C675" s="15"/>
      <c r="D675" s="34"/>
      <c r="E675"/>
      <c r="F675"/>
      <c r="G675"/>
      <c r="H675"/>
      <c r="I675"/>
      <c r="J675"/>
      <c r="K675"/>
      <c r="L675"/>
      <c r="M675"/>
      <c r="N675"/>
      <c r="R675" s="29"/>
      <c r="S675"/>
      <c r="T675"/>
    </row>
    <row r="676" spans="1:20" s="35" customFormat="1">
      <c r="A676" s="33"/>
      <c r="B676" s="15"/>
      <c r="C676" s="15"/>
      <c r="D676" s="34"/>
      <c r="E676"/>
      <c r="F676"/>
      <c r="G676"/>
      <c r="H676"/>
      <c r="I676"/>
      <c r="J676"/>
      <c r="K676"/>
      <c r="L676"/>
      <c r="M676"/>
      <c r="N676"/>
      <c r="R676" s="29"/>
      <c r="S676"/>
      <c r="T676"/>
    </row>
    <row r="677" spans="1:20" s="35" customFormat="1">
      <c r="A677" s="33"/>
      <c r="B677" s="15"/>
      <c r="C677" s="15"/>
      <c r="D677" s="34"/>
      <c r="E677"/>
      <c r="F677"/>
      <c r="G677"/>
      <c r="H677"/>
      <c r="I677"/>
      <c r="J677"/>
      <c r="K677"/>
      <c r="L677"/>
      <c r="M677"/>
      <c r="N677"/>
      <c r="R677" s="29"/>
      <c r="S677"/>
      <c r="T677"/>
    </row>
    <row r="678" spans="1:20" s="35" customFormat="1">
      <c r="A678" s="33"/>
      <c r="B678" s="15"/>
      <c r="C678" s="15"/>
      <c r="D678" s="34"/>
      <c r="E678"/>
      <c r="F678"/>
      <c r="G678"/>
      <c r="H678"/>
      <c r="I678"/>
      <c r="J678"/>
      <c r="K678"/>
      <c r="L678"/>
      <c r="M678"/>
      <c r="N678"/>
      <c r="R678" s="29"/>
      <c r="S678"/>
      <c r="T678"/>
    </row>
  </sheetData>
  <mergeCells count="132">
    <mergeCell ref="M3:M4"/>
    <mergeCell ref="N3:N4"/>
    <mergeCell ref="N33:N34"/>
    <mergeCell ref="B33:B34"/>
    <mergeCell ref="D33:D34"/>
    <mergeCell ref="A1:O1"/>
    <mergeCell ref="N2:O2"/>
    <mergeCell ref="A3:A4"/>
    <mergeCell ref="B3:B4"/>
    <mergeCell ref="C3:C4"/>
    <mergeCell ref="D3:D4"/>
    <mergeCell ref="E3:L3"/>
    <mergeCell ref="D66:D67"/>
    <mergeCell ref="A66:A67"/>
    <mergeCell ref="B66:B67"/>
    <mergeCell ref="C66:C67"/>
    <mergeCell ref="A46:A49"/>
    <mergeCell ref="B46:B49"/>
    <mergeCell ref="E66:L66"/>
    <mergeCell ref="N65:O65"/>
    <mergeCell ref="E33:L33"/>
    <mergeCell ref="C51:C54"/>
    <mergeCell ref="M33:M34"/>
    <mergeCell ref="C46:C49"/>
    <mergeCell ref="C33:C34"/>
    <mergeCell ref="A64:O64"/>
    <mergeCell ref="A51:A54"/>
    <mergeCell ref="B51:B54"/>
    <mergeCell ref="A33:A34"/>
    <mergeCell ref="A97:A98"/>
    <mergeCell ref="B97:B98"/>
    <mergeCell ref="C97:C98"/>
    <mergeCell ref="A113:A117"/>
    <mergeCell ref="B113:B117"/>
    <mergeCell ref="C113:C117"/>
    <mergeCell ref="M66:M67"/>
    <mergeCell ref="N66:N67"/>
    <mergeCell ref="A127:O127"/>
    <mergeCell ref="N97:N98"/>
    <mergeCell ref="M97:M98"/>
    <mergeCell ref="D97:D98"/>
    <mergeCell ref="E97:L97"/>
    <mergeCell ref="A119:A123"/>
    <mergeCell ref="B119:B123"/>
    <mergeCell ref="C119:C123"/>
    <mergeCell ref="N128:O128"/>
    <mergeCell ref="A129:A130"/>
    <mergeCell ref="B129:B130"/>
    <mergeCell ref="C129:C130"/>
    <mergeCell ref="D129:D130"/>
    <mergeCell ref="E129:L129"/>
    <mergeCell ref="M129:M130"/>
    <mergeCell ref="N129:N130"/>
    <mergeCell ref="A160:A161"/>
    <mergeCell ref="B160:B161"/>
    <mergeCell ref="C160:C161"/>
    <mergeCell ref="N160:N161"/>
    <mergeCell ref="A176:A180"/>
    <mergeCell ref="B176:B180"/>
    <mergeCell ref="C176:C180"/>
    <mergeCell ref="D160:D161"/>
    <mergeCell ref="E160:L160"/>
    <mergeCell ref="M160:M161"/>
    <mergeCell ref="E191:L191"/>
    <mergeCell ref="M191:M192"/>
    <mergeCell ref="N191:N192"/>
    <mergeCell ref="A182:A186"/>
    <mergeCell ref="B182:B186"/>
    <mergeCell ref="C182:C186"/>
    <mergeCell ref="A222:A223"/>
    <mergeCell ref="B222:B223"/>
    <mergeCell ref="C222:C223"/>
    <mergeCell ref="N222:N223"/>
    <mergeCell ref="A189:O189"/>
    <mergeCell ref="N190:O190"/>
    <mergeCell ref="A191:A192"/>
    <mergeCell ref="B191:B192"/>
    <mergeCell ref="C191:C192"/>
    <mergeCell ref="D191:D192"/>
    <mergeCell ref="A238:A242"/>
    <mergeCell ref="B238:B242"/>
    <mergeCell ref="C238:C242"/>
    <mergeCell ref="M222:M223"/>
    <mergeCell ref="A251:O251"/>
    <mergeCell ref="A244:A248"/>
    <mergeCell ref="B244:B248"/>
    <mergeCell ref="D222:D223"/>
    <mergeCell ref="E222:L222"/>
    <mergeCell ref="C244:C248"/>
    <mergeCell ref="N252:O252"/>
    <mergeCell ref="A253:A254"/>
    <mergeCell ref="B253:B254"/>
    <mergeCell ref="C253:C254"/>
    <mergeCell ref="M253:M254"/>
    <mergeCell ref="N253:N254"/>
    <mergeCell ref="D253:D254"/>
    <mergeCell ref="E253:L253"/>
    <mergeCell ref="A301:A304"/>
    <mergeCell ref="B301:B304"/>
    <mergeCell ref="C301:C304"/>
    <mergeCell ref="A280:A281"/>
    <mergeCell ref="B280:B281"/>
    <mergeCell ref="C280:C281"/>
    <mergeCell ref="N280:N281"/>
    <mergeCell ref="A296:A300"/>
    <mergeCell ref="B296:B300"/>
    <mergeCell ref="C296:C300"/>
    <mergeCell ref="M280:M281"/>
    <mergeCell ref="D280:D281"/>
    <mergeCell ref="E280:L280"/>
    <mergeCell ref="A309:O309"/>
    <mergeCell ref="N310:O310"/>
    <mergeCell ref="A311:A312"/>
    <mergeCell ref="B311:B312"/>
    <mergeCell ref="C311:C312"/>
    <mergeCell ref="D311:D312"/>
    <mergeCell ref="E311:L311"/>
    <mergeCell ref="M311:M312"/>
    <mergeCell ref="N311:N312"/>
    <mergeCell ref="N338:N339"/>
    <mergeCell ref="A354:A358"/>
    <mergeCell ref="B354:B358"/>
    <mergeCell ref="C354:C358"/>
    <mergeCell ref="D338:D339"/>
    <mergeCell ref="E338:L338"/>
    <mergeCell ref="M338:M339"/>
    <mergeCell ref="A359:A362"/>
    <mergeCell ref="B359:B362"/>
    <mergeCell ref="C359:C362"/>
    <mergeCell ref="A338:A339"/>
    <mergeCell ref="B338:B339"/>
    <mergeCell ref="C338:C339"/>
  </mergeCells>
  <phoneticPr fontId="43" type="noConversion"/>
  <printOptions horizontalCentered="1"/>
  <pageMargins left="0.28999999999999998" right="0.24" top="0.67" bottom="0.59" header="0.31496062992126" footer="0.32"/>
  <pageSetup paperSize="9" scale="80" firstPageNumber="49" orientation="landscape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W649"/>
  <sheetViews>
    <sheetView tabSelected="1" zoomScaleNormal="80" workbookViewId="0">
      <selection activeCell="L298" sqref="L298"/>
    </sheetView>
  </sheetViews>
  <sheetFormatPr defaultRowHeight="16.5"/>
  <cols>
    <col min="1" max="1" width="4.88671875" style="731" customWidth="1"/>
    <col min="2" max="2" width="16.88671875" style="730" customWidth="1"/>
    <col min="3" max="3" width="4.44140625" style="730" customWidth="1"/>
    <col min="4" max="4" width="4.33203125" style="731" customWidth="1"/>
    <col min="5" max="5" width="8.33203125" style="840" customWidth="1"/>
    <col min="6" max="6" width="6" style="727" customWidth="1"/>
    <col min="7" max="7" width="9.77734375" style="727" hidden="1" customWidth="1"/>
    <col min="8" max="8" width="6.33203125" style="727" customWidth="1"/>
    <col min="9" max="9" width="7.5546875" style="727" customWidth="1"/>
    <col min="10" max="10" width="5.88671875" style="727" customWidth="1"/>
    <col min="11" max="11" width="6.33203125" style="727" customWidth="1"/>
    <col min="12" max="12" width="11.21875" style="727" customWidth="1"/>
    <col min="13" max="13" width="10.109375" style="727" customWidth="1"/>
    <col min="14" max="14" width="8.21875" style="727" customWidth="1"/>
    <col min="15" max="15" width="9.109375" style="727" customWidth="1"/>
    <col min="16" max="16" width="6.21875" style="728" customWidth="1"/>
    <col min="17" max="18" width="9.33203125" style="728" hidden="1" customWidth="1"/>
    <col min="19" max="19" width="9.21875" style="729" hidden="1" customWidth="1"/>
    <col min="20" max="20" width="13.88671875" style="727" hidden="1" customWidth="1"/>
    <col min="21" max="21" width="8.77734375" style="727" hidden="1" customWidth="1"/>
    <col min="22" max="16384" width="8.88671875" style="727"/>
  </cols>
  <sheetData>
    <row r="1" spans="1:21" s="10" customFormat="1" ht="24" customHeight="1">
      <c r="A1" s="999" t="s">
        <v>517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999"/>
      <c r="M1" s="999"/>
      <c r="N1" s="999"/>
      <c r="O1" s="999"/>
      <c r="P1" s="999"/>
      <c r="Q1" s="716" t="s">
        <v>417</v>
      </c>
      <c r="R1" s="717">
        <v>0</v>
      </c>
      <c r="S1" s="571"/>
    </row>
    <row r="2" spans="1:21" s="10" customFormat="1" ht="13.5" customHeight="1">
      <c r="A2" s="1001" t="s">
        <v>574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951"/>
      <c r="Q2" s="716"/>
      <c r="R2" s="717"/>
      <c r="S2" s="571"/>
    </row>
    <row r="3" spans="1:21" s="10" customFormat="1" ht="15.75" customHeight="1">
      <c r="A3" s="718"/>
      <c r="B3" s="719"/>
      <c r="C3" s="720"/>
      <c r="D3" s="721"/>
      <c r="E3" s="836"/>
      <c r="F3" s="722"/>
      <c r="G3" s="722"/>
      <c r="H3" s="722"/>
      <c r="I3" s="722"/>
      <c r="J3" s="722"/>
      <c r="K3" s="722"/>
      <c r="L3" s="722"/>
      <c r="M3" s="723"/>
      <c r="N3" s="1000" t="s">
        <v>428</v>
      </c>
      <c r="O3" s="1000"/>
      <c r="P3" s="1000"/>
      <c r="Q3" s="570"/>
      <c r="R3" s="570"/>
      <c r="S3" s="571"/>
    </row>
    <row r="4" spans="1:21" s="830" customFormat="1" ht="21" customHeight="1">
      <c r="A4" s="1004" t="s">
        <v>376</v>
      </c>
      <c r="B4" s="1013" t="s">
        <v>377</v>
      </c>
      <c r="C4" s="1002" t="s">
        <v>378</v>
      </c>
      <c r="D4" s="1004" t="s">
        <v>91</v>
      </c>
      <c r="E4" s="1010" t="s">
        <v>368</v>
      </c>
      <c r="F4" s="1011"/>
      <c r="G4" s="1011"/>
      <c r="H4" s="1011"/>
      <c r="I4" s="1011"/>
      <c r="J4" s="1011"/>
      <c r="K4" s="1011"/>
      <c r="L4" s="1012"/>
      <c r="M4" s="1002" t="s">
        <v>427</v>
      </c>
      <c r="N4" s="1002" t="s">
        <v>379</v>
      </c>
      <c r="O4" s="1002" t="s">
        <v>560</v>
      </c>
      <c r="P4" s="1002" t="s">
        <v>19</v>
      </c>
      <c r="Q4" s="828" t="s">
        <v>19</v>
      </c>
      <c r="R4" s="828" t="s">
        <v>19</v>
      </c>
      <c r="S4" s="829" t="s">
        <v>16</v>
      </c>
      <c r="T4" s="1002" t="s">
        <v>572</v>
      </c>
      <c r="U4" s="1002" t="s">
        <v>560</v>
      </c>
    </row>
    <row r="5" spans="1:21" s="830" customFormat="1" ht="30.75" customHeight="1">
      <c r="A5" s="1005"/>
      <c r="B5" s="1014"/>
      <c r="C5" s="1003"/>
      <c r="D5" s="1005"/>
      <c r="E5" s="832" t="s">
        <v>369</v>
      </c>
      <c r="F5" s="831" t="s">
        <v>370</v>
      </c>
      <c r="G5" s="833">
        <v>0</v>
      </c>
      <c r="H5" s="831" t="s">
        <v>257</v>
      </c>
      <c r="I5" s="831" t="s">
        <v>280</v>
      </c>
      <c r="J5" s="831" t="s">
        <v>261</v>
      </c>
      <c r="K5" s="831" t="s">
        <v>371</v>
      </c>
      <c r="L5" s="831" t="s">
        <v>372</v>
      </c>
      <c r="M5" s="1003"/>
      <c r="N5" s="1003"/>
      <c r="O5" s="1003"/>
      <c r="P5" s="1015"/>
      <c r="Q5" s="834" t="s">
        <v>21</v>
      </c>
      <c r="R5" s="834" t="s">
        <v>22</v>
      </c>
      <c r="S5" s="835" t="s">
        <v>17</v>
      </c>
      <c r="T5" s="1003"/>
      <c r="U5" s="1003"/>
    </row>
    <row r="6" spans="1:21" s="10" customFormat="1" ht="17.25" customHeight="1">
      <c r="A6" s="331" t="s">
        <v>52</v>
      </c>
      <c r="B6" s="586" t="s">
        <v>53</v>
      </c>
      <c r="C6" s="586" t="s">
        <v>54</v>
      </c>
      <c r="D6" s="331" t="s">
        <v>55</v>
      </c>
      <c r="E6" s="332" t="s">
        <v>56</v>
      </c>
      <c r="F6" s="332" t="s">
        <v>57</v>
      </c>
      <c r="G6" s="332"/>
      <c r="H6" s="332" t="s">
        <v>58</v>
      </c>
      <c r="I6" s="332" t="s">
        <v>59</v>
      </c>
      <c r="J6" s="332" t="s">
        <v>60</v>
      </c>
      <c r="K6" s="332" t="s">
        <v>61</v>
      </c>
      <c r="L6" s="334" t="s">
        <v>373</v>
      </c>
      <c r="M6" s="334" t="s">
        <v>374</v>
      </c>
      <c r="N6" s="334" t="s">
        <v>375</v>
      </c>
      <c r="O6" s="332" t="s">
        <v>62</v>
      </c>
      <c r="P6" s="332" t="s">
        <v>561</v>
      </c>
      <c r="Q6" s="48"/>
      <c r="R6" s="48"/>
      <c r="S6" s="49"/>
    </row>
    <row r="7" spans="1:21" s="830" customFormat="1" ht="23.25" customHeight="1">
      <c r="A7" s="841" t="s">
        <v>3</v>
      </c>
      <c r="B7" s="842" t="s">
        <v>380</v>
      </c>
      <c r="C7" s="586"/>
      <c r="D7" s="331"/>
      <c r="E7" s="843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844"/>
      <c r="Q7" s="845"/>
      <c r="R7" s="846"/>
      <c r="S7" s="847"/>
    </row>
    <row r="8" spans="1:21" s="830" customFormat="1" ht="21" customHeight="1">
      <c r="A8" s="331" t="s">
        <v>9</v>
      </c>
      <c r="B8" s="848" t="s">
        <v>73</v>
      </c>
      <c r="C8" s="586" t="s">
        <v>1</v>
      </c>
      <c r="D8" s="331">
        <v>1</v>
      </c>
      <c r="E8" s="843" t="e">
        <f>'NC-CLBD'!G5</f>
        <v>#VALUE!</v>
      </c>
      <c r="F8" s="826"/>
      <c r="G8" s="826">
        <f>$R$1*10*Q8</f>
        <v>0</v>
      </c>
      <c r="H8" s="826">
        <f>'DCu-CLBD'!H23</f>
        <v>17246.653846153848</v>
      </c>
      <c r="I8" s="826">
        <f>'VL-CLBD'!F16</f>
        <v>75060</v>
      </c>
      <c r="J8" s="826"/>
      <c r="K8" s="826"/>
      <c r="L8" s="826" t="e">
        <f>SUM(E8:K8)</f>
        <v>#VALUE!</v>
      </c>
      <c r="M8" s="826" t="e">
        <f>L8*'He so chung'!$D$16/100</f>
        <v>#VALUE!</v>
      </c>
      <c r="N8" s="849" t="e">
        <f>M8+L8</f>
        <v>#VALUE!</v>
      </c>
      <c r="O8" s="849"/>
      <c r="P8" s="850">
        <f>'He so chung'!$D$18*S8</f>
        <v>39427.884615384617</v>
      </c>
      <c r="Q8" s="851">
        <f>'He so chung'!$D$19*S8</f>
        <v>31542.307692307691</v>
      </c>
      <c r="R8" s="852">
        <f>'He so chung'!$D$20*S8</f>
        <v>7885.5769230769247</v>
      </c>
      <c r="S8" s="853">
        <f>'NC-CLBD'!F5</f>
        <v>5.9</v>
      </c>
      <c r="T8" s="849" t="e">
        <f>'[1]IV. DONGIA CHỈNH LÝ'!N7</f>
        <v>#VALUE!</v>
      </c>
      <c r="U8" s="854" t="e">
        <f>T8-N8</f>
        <v>#VALUE!</v>
      </c>
    </row>
    <row r="9" spans="1:21" s="830" customFormat="1" ht="21" customHeight="1">
      <c r="A9" s="848"/>
      <c r="B9" s="848"/>
      <c r="C9" s="586"/>
      <c r="D9" s="331">
        <v>2</v>
      </c>
      <c r="E9" s="843" t="e">
        <f>'NC-CLBD'!G7</f>
        <v>#VALUE!</v>
      </c>
      <c r="F9" s="826"/>
      <c r="G9" s="826">
        <f>$R$1*10*Q9</f>
        <v>0</v>
      </c>
      <c r="H9" s="826">
        <f>'DCu-CLBD'!H24</f>
        <v>21558.317307692309</v>
      </c>
      <c r="I9" s="826">
        <f>'VL-CLBD'!F16</f>
        <v>75060</v>
      </c>
      <c r="J9" s="826"/>
      <c r="K9" s="826"/>
      <c r="L9" s="826" t="e">
        <f>SUM(E9:K9)</f>
        <v>#VALUE!</v>
      </c>
      <c r="M9" s="826" t="e">
        <f>L9*'He so chung'!$D$16/100</f>
        <v>#VALUE!</v>
      </c>
      <c r="N9" s="849" t="e">
        <f>M9+L9</f>
        <v>#VALUE!</v>
      </c>
      <c r="O9" s="849"/>
      <c r="P9" s="850">
        <f>'He so chung'!$D$18*S9</f>
        <v>51189.423076923078</v>
      </c>
      <c r="Q9" s="851">
        <f>'He so chung'!$D$19*S9</f>
        <v>40951.538461538461</v>
      </c>
      <c r="R9" s="852">
        <f>'He so chung'!$D$20*S9</f>
        <v>10237.884615384617</v>
      </c>
      <c r="S9" s="853">
        <f>'NC-CLBD'!F7</f>
        <v>7.66</v>
      </c>
      <c r="T9" s="849" t="e">
        <f>'[1]IV. DONGIA CHỈNH LÝ'!N8</f>
        <v>#VALUE!</v>
      </c>
      <c r="U9" s="854" t="e">
        <f t="shared" ref="U9:U72" si="0">T9-N9</f>
        <v>#VALUE!</v>
      </c>
    </row>
    <row r="10" spans="1:21" s="830" customFormat="1" ht="21" customHeight="1">
      <c r="A10" s="331"/>
      <c r="B10" s="848"/>
      <c r="C10" s="586"/>
      <c r="D10" s="331">
        <v>3</v>
      </c>
      <c r="E10" s="843" t="e">
        <f>'NC-CLBD'!G9</f>
        <v>#VALUE!</v>
      </c>
      <c r="F10" s="826"/>
      <c r="G10" s="826">
        <f>$R$1*10*Q10</f>
        <v>0</v>
      </c>
      <c r="H10" s="826">
        <f>'DCu-CLBD'!H25</f>
        <v>28744.423076923078</v>
      </c>
      <c r="I10" s="826">
        <f>'VL-CLBD'!F16</f>
        <v>75060</v>
      </c>
      <c r="J10" s="826"/>
      <c r="K10" s="826"/>
      <c r="L10" s="826" t="e">
        <f>SUM(E10:K10)</f>
        <v>#VALUE!</v>
      </c>
      <c r="M10" s="826" t="e">
        <f>L10*'He so chung'!$D$16/100</f>
        <v>#VALUE!</v>
      </c>
      <c r="N10" s="849" t="e">
        <f>M10+L10</f>
        <v>#VALUE!</v>
      </c>
      <c r="O10" s="849"/>
      <c r="P10" s="850">
        <f>'He so chung'!$D$18*S10</f>
        <v>66559.61538461539</v>
      </c>
      <c r="Q10" s="851">
        <f>'He so chung'!$D$19*S10</f>
        <v>53247.692307692305</v>
      </c>
      <c r="R10" s="852">
        <f>'He so chung'!$D$20*S10</f>
        <v>13311.92307692308</v>
      </c>
      <c r="S10" s="853">
        <f>'NC-CLBD'!F9</f>
        <v>9.9600000000000009</v>
      </c>
      <c r="T10" s="849" t="e">
        <f>'[1]IV. DONGIA CHỈNH LÝ'!N9</f>
        <v>#VALUE!</v>
      </c>
      <c r="U10" s="854" t="e">
        <f t="shared" si="0"/>
        <v>#VALUE!</v>
      </c>
    </row>
    <row r="11" spans="1:21" s="830" customFormat="1" ht="21" customHeight="1">
      <c r="A11" s="331"/>
      <c r="B11" s="848"/>
      <c r="C11" s="586"/>
      <c r="D11" s="331">
        <v>4</v>
      </c>
      <c r="E11" s="843" t="e">
        <f>'NC-CLBD'!G11</f>
        <v>#VALUE!</v>
      </c>
      <c r="F11" s="826"/>
      <c r="G11" s="826">
        <f>$R$1*10*Q11</f>
        <v>0</v>
      </c>
      <c r="H11" s="826">
        <f>'DCu-CLBD'!H26</f>
        <v>34493.307692307695</v>
      </c>
      <c r="I11" s="826">
        <f>'VL-CLBD'!F16</f>
        <v>75060</v>
      </c>
      <c r="J11" s="826"/>
      <c r="K11" s="826"/>
      <c r="L11" s="826" t="e">
        <f>SUM(E11:K11)</f>
        <v>#VALUE!</v>
      </c>
      <c r="M11" s="826" t="e">
        <f>L11*'He so chung'!$D$16/100</f>
        <v>#VALUE!</v>
      </c>
      <c r="N11" s="849" t="e">
        <f>M11+L11</f>
        <v>#VALUE!</v>
      </c>
      <c r="O11" s="849"/>
      <c r="P11" s="850">
        <f>'He so chung'!$D$18*S11</f>
        <v>86474.038461538454</v>
      </c>
      <c r="Q11" s="851">
        <f>'He so chung'!$D$19*S11</f>
        <v>69179.230769230766</v>
      </c>
      <c r="R11" s="852">
        <f>'He so chung'!$D$20*S11</f>
        <v>17294.807692307691</v>
      </c>
      <c r="S11" s="853">
        <f>'NC-CLBD'!F11</f>
        <v>12.94</v>
      </c>
      <c r="T11" s="849" t="e">
        <f>'[1]IV. DONGIA CHỈNH LÝ'!N10</f>
        <v>#VALUE!</v>
      </c>
      <c r="U11" s="854" t="e">
        <f t="shared" si="0"/>
        <v>#VALUE!</v>
      </c>
    </row>
    <row r="12" spans="1:21" s="830" customFormat="1" ht="18" customHeight="1">
      <c r="A12" s="331"/>
      <c r="B12" s="848"/>
      <c r="C12" s="848"/>
      <c r="D12" s="331"/>
      <c r="E12" s="843"/>
      <c r="F12" s="826"/>
      <c r="G12" s="826"/>
      <c r="H12" s="826"/>
      <c r="I12" s="826"/>
      <c r="J12" s="826"/>
      <c r="K12" s="826"/>
      <c r="L12" s="826"/>
      <c r="M12" s="826"/>
      <c r="N12" s="849"/>
      <c r="O12" s="849"/>
      <c r="P12" s="850"/>
      <c r="Q12" s="851"/>
      <c r="R12" s="852"/>
      <c r="S12" s="853"/>
      <c r="T12" s="849">
        <f>'[1]IV. DONGIA CHỈNH LÝ'!N11</f>
        <v>0</v>
      </c>
      <c r="U12" s="854">
        <f t="shared" si="0"/>
        <v>0</v>
      </c>
    </row>
    <row r="13" spans="1:21" s="830" customFormat="1" ht="21" customHeight="1">
      <c r="A13" s="331" t="s">
        <v>10</v>
      </c>
      <c r="B13" s="848" t="s">
        <v>381</v>
      </c>
      <c r="C13" s="586" t="s">
        <v>278</v>
      </c>
      <c r="D13" s="331">
        <v>1</v>
      </c>
      <c r="E13" s="843" t="e">
        <f>'NC-CLBD'!G17/100</f>
        <v>#VALUE!</v>
      </c>
      <c r="F13" s="826"/>
      <c r="G13" s="826">
        <f>$R$1*10*Q13</f>
        <v>0</v>
      </c>
      <c r="H13" s="826">
        <f>'DCu-CLBD'!H67</f>
        <v>167.19897115384614</v>
      </c>
      <c r="I13" s="826">
        <f>'VL-CLBD'!F45</f>
        <v>84.871800000000007</v>
      </c>
      <c r="J13" s="826">
        <f>'TBI-CLBD'!I9</f>
        <v>710</v>
      </c>
      <c r="K13" s="826">
        <f>'NL-CLBD'!F9</f>
        <v>5.4390000000000001</v>
      </c>
      <c r="L13" s="826" t="e">
        <f>SUM(E13:K13)</f>
        <v>#VALUE!</v>
      </c>
      <c r="M13" s="826" t="e">
        <f>L13*'He so chung'!$D$16/100</f>
        <v>#VALUE!</v>
      </c>
      <c r="N13" s="849" t="e">
        <f>M13+L13</f>
        <v>#VALUE!</v>
      </c>
      <c r="O13" s="849"/>
      <c r="P13" s="850">
        <f>'He so chung'!$D$18*S13</f>
        <v>644.87980769230774</v>
      </c>
      <c r="Q13" s="851">
        <f>'He so chung'!$D$19*S13</f>
        <v>515.90384615384608</v>
      </c>
      <c r="R13" s="852">
        <f>'He so chung'!$D$20*S13</f>
        <v>128.97596153846155</v>
      </c>
      <c r="S13" s="853">
        <f>'NC-CLBD'!F17/100</f>
        <v>9.6500000000000002E-2</v>
      </c>
      <c r="T13" s="849" t="e">
        <f>'[1]IV. DONGIA CHỈNH LÝ'!N12</f>
        <v>#VALUE!</v>
      </c>
      <c r="U13" s="854" t="e">
        <f t="shared" si="0"/>
        <v>#VALUE!</v>
      </c>
    </row>
    <row r="14" spans="1:21" s="830" customFormat="1" ht="21" customHeight="1">
      <c r="A14" s="848"/>
      <c r="B14" s="848"/>
      <c r="C14" s="586"/>
      <c r="D14" s="331">
        <v>2</v>
      </c>
      <c r="E14" s="843" t="e">
        <f>'NC-CLBD'!G19/100</f>
        <v>#VALUE!</v>
      </c>
      <c r="F14" s="826"/>
      <c r="G14" s="826">
        <f>$R$1*10*Q14</f>
        <v>0</v>
      </c>
      <c r="H14" s="826">
        <f>'DCu-CLBD'!H68</f>
        <v>208.99871394230769</v>
      </c>
      <c r="I14" s="826">
        <f>'VL-CLBD'!F45</f>
        <v>84.871800000000007</v>
      </c>
      <c r="J14" s="826">
        <f>'TBI-CLBD'!K9</f>
        <v>887.16</v>
      </c>
      <c r="K14" s="826">
        <f>'NL-CLBD'!H9</f>
        <v>6.8376000000000001</v>
      </c>
      <c r="L14" s="826" t="e">
        <f>SUM(E14:K14)</f>
        <v>#VALUE!</v>
      </c>
      <c r="M14" s="826" t="e">
        <f>L14*'He so chung'!$D$16/100</f>
        <v>#VALUE!</v>
      </c>
      <c r="N14" s="849" t="e">
        <f>M14+L14</f>
        <v>#VALUE!</v>
      </c>
      <c r="O14" s="849"/>
      <c r="P14" s="850">
        <f>'He so chung'!$D$18*S14</f>
        <v>808.60576923076917</v>
      </c>
      <c r="Q14" s="851">
        <f>'He so chung'!$D$19*S14</f>
        <v>646.88461538461536</v>
      </c>
      <c r="R14" s="852">
        <f>'He so chung'!$D$20*S14</f>
        <v>161.72115384615387</v>
      </c>
      <c r="S14" s="853">
        <f>'NC-CLBD'!F19/100</f>
        <v>0.121</v>
      </c>
      <c r="T14" s="849" t="e">
        <f>'[1]IV. DONGIA CHỈNH LÝ'!N13</f>
        <v>#VALUE!</v>
      </c>
      <c r="U14" s="854" t="e">
        <f t="shared" si="0"/>
        <v>#VALUE!</v>
      </c>
    </row>
    <row r="15" spans="1:21" s="830" customFormat="1" ht="21" customHeight="1">
      <c r="A15" s="331"/>
      <c r="B15" s="848"/>
      <c r="C15" s="586"/>
      <c r="D15" s="331">
        <v>3</v>
      </c>
      <c r="E15" s="843" t="e">
        <f>'NC-CLBD'!G21/100</f>
        <v>#VALUE!</v>
      </c>
      <c r="F15" s="826"/>
      <c r="G15" s="826">
        <f>$R$1*10*Q15</f>
        <v>0</v>
      </c>
      <c r="H15" s="826">
        <f>'DCu-CLBD'!H69</f>
        <v>278.6649519230769</v>
      </c>
      <c r="I15" s="826">
        <f>'VL-CLBD'!F45</f>
        <v>84.871800000000007</v>
      </c>
      <c r="J15" s="826">
        <f>'TBI-CLBD'!M9</f>
        <v>1180.28</v>
      </c>
      <c r="K15" s="826">
        <f>'NL-CLBD'!J9</f>
        <v>8.7024000000000008</v>
      </c>
      <c r="L15" s="826" t="e">
        <f>SUM(E15:K15)</f>
        <v>#VALUE!</v>
      </c>
      <c r="M15" s="826" t="e">
        <f>L15*'He so chung'!$D$16/100</f>
        <v>#VALUE!</v>
      </c>
      <c r="N15" s="849" t="e">
        <f>M15+L15</f>
        <v>#VALUE!</v>
      </c>
      <c r="O15" s="849"/>
      <c r="P15" s="850">
        <f>'He so chung'!$D$18*S15</f>
        <v>1075.9134615384617</v>
      </c>
      <c r="Q15" s="851">
        <f>'He so chung'!$D$19*S15</f>
        <v>860.73076923076917</v>
      </c>
      <c r="R15" s="852">
        <f>'He so chung'!$D$20*S15</f>
        <v>215.18269230769232</v>
      </c>
      <c r="S15" s="853">
        <f>'NC-CLBD'!F21/100</f>
        <v>0.161</v>
      </c>
      <c r="T15" s="849" t="e">
        <f>'[1]IV. DONGIA CHỈNH LÝ'!N14</f>
        <v>#VALUE!</v>
      </c>
      <c r="U15" s="854" t="e">
        <f t="shared" si="0"/>
        <v>#VALUE!</v>
      </c>
    </row>
    <row r="16" spans="1:21" s="830" customFormat="1" ht="21" customHeight="1">
      <c r="A16" s="331"/>
      <c r="B16" s="848"/>
      <c r="C16" s="586"/>
      <c r="D16" s="331">
        <v>4</v>
      </c>
      <c r="E16" s="843" t="e">
        <f>'NC-CLBD'!G23/100</f>
        <v>#VALUE!</v>
      </c>
      <c r="F16" s="826"/>
      <c r="G16" s="826">
        <f>$R$1*10*Q16</f>
        <v>0</v>
      </c>
      <c r="H16" s="826">
        <f>'DCu-CLBD'!H70</f>
        <v>334.39794230769229</v>
      </c>
      <c r="I16" s="826">
        <f>'VL-CLBD'!F45</f>
        <v>84.871800000000007</v>
      </c>
      <c r="J16" s="826">
        <f>'TBI-CLBD'!O9</f>
        <v>1418.72</v>
      </c>
      <c r="K16" s="826">
        <f>'NL-CLBD'!L9</f>
        <v>10.5672</v>
      </c>
      <c r="L16" s="826" t="e">
        <f>SUM(E16:K16)</f>
        <v>#VALUE!</v>
      </c>
      <c r="M16" s="826" t="e">
        <f>L16*'He so chung'!$D$16/100</f>
        <v>#VALUE!</v>
      </c>
      <c r="N16" s="849" t="e">
        <f>M16+L16</f>
        <v>#VALUE!</v>
      </c>
      <c r="O16" s="849"/>
      <c r="P16" s="850">
        <f>'He so chung'!$D$18*S16</f>
        <v>1289.7596153846155</v>
      </c>
      <c r="Q16" s="851">
        <f>'He so chung'!$D$19*S16</f>
        <v>1031.8076923076922</v>
      </c>
      <c r="R16" s="852">
        <f>'He so chung'!$D$20*S16</f>
        <v>257.95192307692309</v>
      </c>
      <c r="S16" s="853">
        <f>'NC-CLBD'!F23/100</f>
        <v>0.193</v>
      </c>
      <c r="T16" s="849" t="e">
        <f>'[1]IV. DONGIA CHỈNH LÝ'!N15</f>
        <v>#VALUE!</v>
      </c>
      <c r="U16" s="854" t="e">
        <f t="shared" si="0"/>
        <v>#VALUE!</v>
      </c>
    </row>
    <row r="17" spans="1:23" s="830" customFormat="1" ht="17.25" customHeight="1">
      <c r="A17" s="331"/>
      <c r="B17" s="848"/>
      <c r="C17" s="848"/>
      <c r="D17" s="331"/>
      <c r="E17" s="843"/>
      <c r="F17" s="826"/>
      <c r="G17" s="826"/>
      <c r="H17" s="826"/>
      <c r="I17" s="826"/>
      <c r="J17" s="826"/>
      <c r="K17" s="826"/>
      <c r="L17" s="826"/>
      <c r="M17" s="826"/>
      <c r="N17" s="849"/>
      <c r="O17" s="849"/>
      <c r="P17" s="850"/>
      <c r="Q17" s="851"/>
      <c r="R17" s="852"/>
      <c r="S17" s="853"/>
      <c r="T17" s="849">
        <f>'[1]IV. DONGIA CHỈNH LÝ'!N16</f>
        <v>0</v>
      </c>
      <c r="U17" s="854">
        <f t="shared" si="0"/>
        <v>0</v>
      </c>
    </row>
    <row r="18" spans="1:23" s="830" customFormat="1" ht="21" customHeight="1">
      <c r="A18" s="331" t="s">
        <v>11</v>
      </c>
      <c r="B18" s="848" t="s">
        <v>77</v>
      </c>
      <c r="C18" s="586" t="s">
        <v>278</v>
      </c>
      <c r="D18" s="331">
        <v>1</v>
      </c>
      <c r="E18" s="843" t="e">
        <f>'NC-CLBD'!G28/100</f>
        <v>#VALUE!</v>
      </c>
      <c r="F18" s="826">
        <f>'NC-CLBD'!G29/100</f>
        <v>21890.1</v>
      </c>
      <c r="G18" s="826">
        <f>$R$1*10*Q18</f>
        <v>0</v>
      </c>
      <c r="H18" s="826">
        <f>'DCu-CLBD'!H112</f>
        <v>1970.4463221153846</v>
      </c>
      <c r="I18" s="826">
        <f>'VL-CLBD'!F39</f>
        <v>1697.4360000000001</v>
      </c>
      <c r="J18" s="826">
        <f>'TBI-CLBD'!I59</f>
        <v>9546</v>
      </c>
      <c r="K18" s="826">
        <f>'NL-CLBD'!F33</f>
        <v>54.39</v>
      </c>
      <c r="L18" s="826" t="e">
        <f>SUM(E18:K18)</f>
        <v>#VALUE!</v>
      </c>
      <c r="M18" s="826" t="e">
        <f>L18*'He so chung'!$D$16/100</f>
        <v>#VALUE!</v>
      </c>
      <c r="N18" s="849" t="e">
        <f>M18+L18</f>
        <v>#VALUE!</v>
      </c>
      <c r="O18" s="849">
        <v>3342.0000000000582</v>
      </c>
      <c r="P18" s="850">
        <f>'He so chung'!$D$18*S18</f>
        <v>7985.8173076923076</v>
      </c>
      <c r="Q18" s="851">
        <f>'He so chung'!$D$19*S18</f>
        <v>6388.6538461538457</v>
      </c>
      <c r="R18" s="852">
        <f>'He so chung'!$D$20*S18</f>
        <v>1597.1634615384617</v>
      </c>
      <c r="S18" s="853">
        <f>'NC-CLBD'!F28/100</f>
        <v>1.1950000000000001</v>
      </c>
      <c r="T18" s="849" t="e">
        <f>'[1]IV. DONGIA CHỈNH LÝ'!N17</f>
        <v>#VALUE!</v>
      </c>
      <c r="U18" s="849" t="e">
        <f t="shared" si="0"/>
        <v>#VALUE!</v>
      </c>
      <c r="W18" s="854"/>
    </row>
    <row r="19" spans="1:23" s="830" customFormat="1" ht="21" customHeight="1">
      <c r="A19" s="331"/>
      <c r="B19" s="848"/>
      <c r="C19" s="586"/>
      <c r="D19" s="331">
        <v>2</v>
      </c>
      <c r="E19" s="843" t="e">
        <f>'NC-CLBD'!G32/100</f>
        <v>#VALUE!</v>
      </c>
      <c r="F19" s="826">
        <f>'NC-CLBD'!G33/100</f>
        <v>26278.6</v>
      </c>
      <c r="G19" s="826">
        <f>$R$1*10*Q19</f>
        <v>0</v>
      </c>
      <c r="H19" s="826">
        <f>'DCu-CLBD'!H113</f>
        <v>2463.057902644231</v>
      </c>
      <c r="I19" s="826">
        <f>'VL-CLBD'!F39</f>
        <v>1697.4360000000001</v>
      </c>
      <c r="J19" s="826">
        <f>'TBI-CLBD'!K59</f>
        <v>11928.52</v>
      </c>
      <c r="K19" s="826">
        <f>'NL-CLBD'!H33</f>
        <v>68.376000000000005</v>
      </c>
      <c r="L19" s="826" t="e">
        <f>SUM(E19:K19)</f>
        <v>#VALUE!</v>
      </c>
      <c r="M19" s="826" t="e">
        <f>L19*'He so chung'!$D$16/100</f>
        <v>#VALUE!</v>
      </c>
      <c r="N19" s="849" t="e">
        <f>M19+L19</f>
        <v>#VALUE!</v>
      </c>
      <c r="O19" s="849">
        <v>4012</v>
      </c>
      <c r="P19" s="850">
        <f>'He so chung'!$D$18*S19</f>
        <v>9582.9807692307695</v>
      </c>
      <c r="Q19" s="851">
        <f>'He so chung'!$D$19*S19</f>
        <v>7666.3846153846152</v>
      </c>
      <c r="R19" s="852">
        <f>'He so chung'!$D$20*S19</f>
        <v>1916.5961538461543</v>
      </c>
      <c r="S19" s="853">
        <f>'NC-CLBD'!F32/100</f>
        <v>1.4340000000000002</v>
      </c>
      <c r="T19" s="849" t="e">
        <f>'[1]IV. DONGIA CHỈNH LÝ'!N18</f>
        <v>#VALUE!</v>
      </c>
      <c r="U19" s="849" t="e">
        <f t="shared" si="0"/>
        <v>#VALUE!</v>
      </c>
      <c r="W19" s="854"/>
    </row>
    <row r="20" spans="1:23" s="830" customFormat="1" ht="21" customHeight="1">
      <c r="A20" s="331"/>
      <c r="B20" s="848"/>
      <c r="C20" s="586"/>
      <c r="D20" s="331">
        <v>3</v>
      </c>
      <c r="E20" s="843" t="e">
        <f>'NC-CLBD'!G36/100</f>
        <v>#VALUE!</v>
      </c>
      <c r="F20" s="826">
        <f>'NC-CLBD'!G37/100</f>
        <v>31531.7</v>
      </c>
      <c r="G20" s="826">
        <f>$R$1*10*Q20</f>
        <v>0</v>
      </c>
      <c r="H20" s="826">
        <f>'DCu-CLBD'!H114</f>
        <v>3284.0772035256414</v>
      </c>
      <c r="I20" s="826">
        <f>'VL-CLBD'!F39</f>
        <v>1697.4360000000001</v>
      </c>
      <c r="J20" s="826">
        <f>'TBI-CLBD'!M59</f>
        <v>15909.32</v>
      </c>
      <c r="K20" s="826">
        <f>'NL-CLBD'!J33</f>
        <v>91.686000000000007</v>
      </c>
      <c r="L20" s="826" t="e">
        <f>SUM(E20:K20)</f>
        <v>#VALUE!</v>
      </c>
      <c r="M20" s="826" t="e">
        <f>L20*'He so chung'!$D$16/100</f>
        <v>#VALUE!</v>
      </c>
      <c r="N20" s="849" t="e">
        <f>M20+L20</f>
        <v>#VALUE!</v>
      </c>
      <c r="O20" s="849">
        <v>4814</v>
      </c>
      <c r="P20" s="850">
        <f>'He so chung'!$D$18*S20</f>
        <v>11500.913461538463</v>
      </c>
      <c r="Q20" s="851">
        <f>'He so chung'!$D$19*S20</f>
        <v>9200.7307692307695</v>
      </c>
      <c r="R20" s="852">
        <f>'He so chung'!$D$20*S20</f>
        <v>2300.1826923076928</v>
      </c>
      <c r="S20" s="853">
        <f>'NC-CLBD'!F36/100</f>
        <v>1.7210000000000003</v>
      </c>
      <c r="T20" s="849" t="e">
        <f>'[1]IV. DONGIA CHỈNH LÝ'!N19</f>
        <v>#VALUE!</v>
      </c>
      <c r="U20" s="849" t="e">
        <f t="shared" si="0"/>
        <v>#VALUE!</v>
      </c>
      <c r="W20" s="854"/>
    </row>
    <row r="21" spans="1:23" s="830" customFormat="1" ht="21" customHeight="1">
      <c r="A21" s="331"/>
      <c r="B21" s="848"/>
      <c r="C21" s="586"/>
      <c r="D21" s="331">
        <v>4</v>
      </c>
      <c r="E21" s="843" t="e">
        <f>'NC-CLBD'!G40/100</f>
        <v>#VALUE!</v>
      </c>
      <c r="F21" s="826">
        <f>'NC-CLBD'!G41/100</f>
        <v>37832.800000000003</v>
      </c>
      <c r="G21" s="826">
        <f>$R$1*10*Q21</f>
        <v>0</v>
      </c>
      <c r="H21" s="826">
        <f>'DCu-CLBD'!H115</f>
        <v>3940.8926442307693</v>
      </c>
      <c r="I21" s="826">
        <f>'VL-CLBD'!F39</f>
        <v>1697.4360000000001</v>
      </c>
      <c r="J21" s="826">
        <f>'TBI-CLBD'!O59</f>
        <v>19091.32</v>
      </c>
      <c r="K21" s="826">
        <f>'NL-CLBD'!L33</f>
        <v>108.78</v>
      </c>
      <c r="L21" s="826" t="e">
        <f>SUM(E21:K21)</f>
        <v>#VALUE!</v>
      </c>
      <c r="M21" s="826" t="e">
        <f>L21*'He so chung'!$D$16/100</f>
        <v>#VALUE!</v>
      </c>
      <c r="N21" s="849" t="e">
        <f>M21+L21</f>
        <v>#VALUE!</v>
      </c>
      <c r="O21" s="849">
        <v>5775.9999999998836</v>
      </c>
      <c r="P21" s="850">
        <f>'He so chung'!$D$18*S21</f>
        <v>13799.759615384615</v>
      </c>
      <c r="Q21" s="851">
        <f>'He so chung'!$D$19*S21</f>
        <v>11039.807692307691</v>
      </c>
      <c r="R21" s="852">
        <f>'He so chung'!$D$20*S21</f>
        <v>2759.9519230769233</v>
      </c>
      <c r="S21" s="853">
        <f>'NC-CLBD'!F40/100</f>
        <v>2.0649999999999999</v>
      </c>
      <c r="T21" s="849" t="e">
        <f>'[1]IV. DONGIA CHỈNH LÝ'!N20</f>
        <v>#VALUE!</v>
      </c>
      <c r="U21" s="849" t="e">
        <f t="shared" si="0"/>
        <v>#VALUE!</v>
      </c>
      <c r="W21" s="854"/>
    </row>
    <row r="22" spans="1:23" s="830" customFormat="1" ht="18" customHeight="1">
      <c r="A22" s="331"/>
      <c r="B22" s="848"/>
      <c r="C22" s="848"/>
      <c r="D22" s="331"/>
      <c r="E22" s="843"/>
      <c r="F22" s="826"/>
      <c r="G22" s="826"/>
      <c r="H22" s="826"/>
      <c r="I22" s="826"/>
      <c r="J22" s="826"/>
      <c r="K22" s="826"/>
      <c r="L22" s="826"/>
      <c r="M22" s="826"/>
      <c r="N22" s="849"/>
      <c r="O22" s="849"/>
      <c r="P22" s="850"/>
      <c r="Q22" s="851"/>
      <c r="R22" s="852"/>
      <c r="S22" s="853"/>
      <c r="T22" s="849">
        <f>'[1]IV. DONGIA CHỈNH LÝ'!N21</f>
        <v>0</v>
      </c>
      <c r="U22" s="849">
        <f t="shared" si="0"/>
        <v>0</v>
      </c>
      <c r="W22" s="854"/>
    </row>
    <row r="23" spans="1:23" s="830" customFormat="1" ht="20.25" customHeight="1">
      <c r="A23" s="841" t="s">
        <v>4</v>
      </c>
      <c r="B23" s="842" t="s">
        <v>382</v>
      </c>
      <c r="C23" s="586"/>
      <c r="D23" s="331"/>
      <c r="E23" s="843"/>
      <c r="F23" s="826"/>
      <c r="G23" s="826"/>
      <c r="H23" s="826"/>
      <c r="I23" s="826"/>
      <c r="J23" s="826"/>
      <c r="K23" s="826"/>
      <c r="L23" s="826"/>
      <c r="M23" s="826"/>
      <c r="N23" s="849"/>
      <c r="O23" s="849"/>
      <c r="P23" s="850"/>
      <c r="Q23" s="851"/>
      <c r="R23" s="852"/>
      <c r="S23" s="853"/>
      <c r="T23" s="849">
        <f>'[1]IV. DONGIA CHỈNH LÝ'!N22</f>
        <v>0</v>
      </c>
      <c r="U23" s="849">
        <f t="shared" si="0"/>
        <v>0</v>
      </c>
      <c r="W23" s="854"/>
    </row>
    <row r="24" spans="1:23" s="830" customFormat="1" ht="20.25" customHeight="1">
      <c r="A24" s="331" t="s">
        <v>9</v>
      </c>
      <c r="B24" s="848" t="s">
        <v>383</v>
      </c>
      <c r="C24" s="586"/>
      <c r="D24" s="331"/>
      <c r="E24" s="843"/>
      <c r="F24" s="826"/>
      <c r="G24" s="826"/>
      <c r="H24" s="826"/>
      <c r="I24" s="826"/>
      <c r="J24" s="826"/>
      <c r="K24" s="826"/>
      <c r="L24" s="826"/>
      <c r="M24" s="826"/>
      <c r="N24" s="849"/>
      <c r="O24" s="849"/>
      <c r="P24" s="850"/>
      <c r="Q24" s="851"/>
      <c r="R24" s="852"/>
      <c r="S24" s="853"/>
      <c r="T24" s="849">
        <f>'[1]IV. DONGIA CHỈNH LÝ'!N23</f>
        <v>0</v>
      </c>
      <c r="U24" s="849">
        <f t="shared" si="0"/>
        <v>0</v>
      </c>
      <c r="W24" s="854"/>
    </row>
    <row r="25" spans="1:23" s="830" customFormat="1" ht="15.75" customHeight="1">
      <c r="A25" s="848"/>
      <c r="B25" s="848"/>
      <c r="C25" s="848"/>
      <c r="D25" s="331"/>
      <c r="E25" s="843"/>
      <c r="F25" s="826"/>
      <c r="G25" s="826"/>
      <c r="H25" s="826"/>
      <c r="I25" s="826"/>
      <c r="J25" s="826"/>
      <c r="K25" s="826"/>
      <c r="L25" s="826"/>
      <c r="M25" s="826"/>
      <c r="N25" s="849"/>
      <c r="O25" s="849"/>
      <c r="P25" s="850"/>
      <c r="Q25" s="851"/>
      <c r="R25" s="852"/>
      <c r="S25" s="853"/>
      <c r="T25" s="849">
        <f>'[1]IV. DONGIA CHỈNH LÝ'!N24</f>
        <v>0</v>
      </c>
      <c r="U25" s="849">
        <f t="shared" si="0"/>
        <v>0</v>
      </c>
      <c r="W25" s="854"/>
    </row>
    <row r="26" spans="1:23" s="830" customFormat="1" ht="22.5" customHeight="1">
      <c r="A26" s="331" t="s">
        <v>10</v>
      </c>
      <c r="B26" s="848" t="s">
        <v>490</v>
      </c>
      <c r="C26" s="586" t="s">
        <v>278</v>
      </c>
      <c r="D26" s="331" t="s">
        <v>9</v>
      </c>
      <c r="E26" s="843" t="e">
        <f>'NC-CLBD'!G54/100</f>
        <v>#VALUE!</v>
      </c>
      <c r="F26" s="826"/>
      <c r="G26" s="826">
        <f>$R$1*10*Q26</f>
        <v>0</v>
      </c>
      <c r="H26" s="826">
        <f>'DCu-CLBD'!H156</f>
        <v>253.24180086153845</v>
      </c>
      <c r="I26" s="826">
        <f>'VL-CLBD'!F71</f>
        <v>5611.8959999999997</v>
      </c>
      <c r="J26" s="826">
        <f>'TBI-CLBD'!I110</f>
        <v>246.58799999999999</v>
      </c>
      <c r="K26" s="826">
        <f>'NL-CLBD'!F59</f>
        <v>446.30879999999996</v>
      </c>
      <c r="L26" s="826" t="e">
        <f>SUM(E26:K26)</f>
        <v>#VALUE!</v>
      </c>
      <c r="M26" s="826" t="e">
        <f>L26*'He so chung'!$D$17/100</f>
        <v>#VALUE!</v>
      </c>
      <c r="N26" s="849" t="e">
        <f>M26+L26</f>
        <v>#VALUE!</v>
      </c>
      <c r="O26" s="849"/>
      <c r="P26" s="850">
        <f>'He so chung'!$D$21*S26</f>
        <v>629.56307692307689</v>
      </c>
      <c r="Q26" s="851">
        <f>'He so chung'!$D$22*S26</f>
        <v>547.44615384615383</v>
      </c>
      <c r="R26" s="852">
        <f>'He so chung'!$D$23*S26</f>
        <v>82.116923076923072</v>
      </c>
      <c r="S26" s="853">
        <f>'NC-CLBD'!F54/100</f>
        <v>0.1024</v>
      </c>
      <c r="T26" s="849" t="e">
        <f>'[1]IV. DONGIA CHỈNH LÝ'!N25</f>
        <v>#VALUE!</v>
      </c>
      <c r="U26" s="849" t="e">
        <f t="shared" si="0"/>
        <v>#VALUE!</v>
      </c>
      <c r="W26" s="854"/>
    </row>
    <row r="27" spans="1:23" s="830" customFormat="1" ht="22.5" customHeight="1">
      <c r="A27" s="331"/>
      <c r="B27" s="848"/>
      <c r="C27" s="586"/>
      <c r="D27" s="331" t="s">
        <v>10</v>
      </c>
      <c r="E27" s="843" t="e">
        <f>'NC-CLBD'!G56/100</f>
        <v>#VALUE!</v>
      </c>
      <c r="F27" s="826"/>
      <c r="G27" s="826">
        <f>$R$1*10*Q27</f>
        <v>0</v>
      </c>
      <c r="H27" s="826">
        <f>'DCu-CLBD'!H157</f>
        <v>316.55225107692308</v>
      </c>
      <c r="I27" s="826">
        <f>'VL-CLBD'!F71</f>
        <v>5611.8959999999997</v>
      </c>
      <c r="J27" s="826">
        <f>'TBI-CLBD'!K110</f>
        <v>277.67959999999994</v>
      </c>
      <c r="K27" s="826">
        <f>'NL-CLBD'!H59</f>
        <v>502.40820000000002</v>
      </c>
      <c r="L27" s="826" t="e">
        <f>SUM(E27:K27)</f>
        <v>#VALUE!</v>
      </c>
      <c r="M27" s="826" t="e">
        <f>L27*'He so chung'!$D$17/100</f>
        <v>#VALUE!</v>
      </c>
      <c r="N27" s="849" t="e">
        <f>M27+L27</f>
        <v>#VALUE!</v>
      </c>
      <c r="O27" s="849"/>
      <c r="P27" s="850">
        <f>'He so chung'!$D$21*S27</f>
        <v>754.98384615384612</v>
      </c>
      <c r="Q27" s="851">
        <f>'He so chung'!$D$22*S27</f>
        <v>656.5076923076922</v>
      </c>
      <c r="R27" s="852">
        <f>'He so chung'!$D$23*S27</f>
        <v>98.476153846153835</v>
      </c>
      <c r="S27" s="853">
        <f>'NC-CLBD'!F56/100</f>
        <v>0.12279999999999999</v>
      </c>
      <c r="T27" s="849" t="e">
        <f>'[1]IV. DONGIA CHỈNH LÝ'!N26</f>
        <v>#VALUE!</v>
      </c>
      <c r="U27" s="849" t="e">
        <f t="shared" si="0"/>
        <v>#VALUE!</v>
      </c>
      <c r="W27" s="854"/>
    </row>
    <row r="28" spans="1:23" s="830" customFormat="1" ht="22.5" customHeight="1">
      <c r="A28" s="331"/>
      <c r="B28" s="848"/>
      <c r="C28" s="586"/>
      <c r="D28" s="331" t="s">
        <v>11</v>
      </c>
      <c r="E28" s="843" t="e">
        <f>'NC-CLBD'!G58/100</f>
        <v>#VALUE!</v>
      </c>
      <c r="F28" s="826"/>
      <c r="G28" s="826">
        <f>$R$1*10*Q28</f>
        <v>0</v>
      </c>
      <c r="H28" s="826">
        <f>'DCu-CLBD'!H158</f>
        <v>422.06966810256409</v>
      </c>
      <c r="I28" s="826">
        <f>'VL-CLBD'!F71</f>
        <v>5611.8959999999997</v>
      </c>
      <c r="J28" s="826">
        <f>'TBI-CLBD'!M110</f>
        <v>329.99279999999999</v>
      </c>
      <c r="K28" s="826">
        <f>'NL-CLBD'!J59</f>
        <v>595.80360000000007</v>
      </c>
      <c r="L28" s="826" t="e">
        <f>SUM(E28:K28)</f>
        <v>#VALUE!</v>
      </c>
      <c r="M28" s="826" t="e">
        <f>L28*'He so chung'!$D$17/100</f>
        <v>#VALUE!</v>
      </c>
      <c r="N28" s="849" t="e">
        <f>M28+L28</f>
        <v>#VALUE!</v>
      </c>
      <c r="O28" s="849"/>
      <c r="P28" s="850">
        <f>'He so chung'!$D$21*S28</f>
        <v>880.40461538461534</v>
      </c>
      <c r="Q28" s="851">
        <f>'He so chung'!$D$22*S28</f>
        <v>765.56923076923067</v>
      </c>
      <c r="R28" s="852">
        <f>'He so chung'!$D$23*S28</f>
        <v>114.83538461538461</v>
      </c>
      <c r="S28" s="853">
        <f>'NC-CLBD'!F58/100</f>
        <v>0.14319999999999999</v>
      </c>
      <c r="T28" s="849" t="e">
        <f>'[1]IV. DONGIA CHỈNH LÝ'!N27</f>
        <v>#VALUE!</v>
      </c>
      <c r="U28" s="849" t="e">
        <f t="shared" si="0"/>
        <v>#VALUE!</v>
      </c>
      <c r="W28" s="854"/>
    </row>
    <row r="29" spans="1:23" s="830" customFormat="1" ht="22.5" customHeight="1">
      <c r="A29" s="331"/>
      <c r="B29" s="848"/>
      <c r="C29" s="586"/>
      <c r="D29" s="331" t="s">
        <v>12</v>
      </c>
      <c r="E29" s="843" t="e">
        <f>'NC-CLBD'!G60/100</f>
        <v>#VALUE!</v>
      </c>
      <c r="F29" s="826"/>
      <c r="G29" s="826">
        <f>$R$1*10*Q29</f>
        <v>0</v>
      </c>
      <c r="H29" s="826">
        <f>'DCu-CLBD'!H159</f>
        <v>506.4836017230769</v>
      </c>
      <c r="I29" s="826">
        <f>'VL-CLBD'!F71</f>
        <v>5611.8959999999997</v>
      </c>
      <c r="J29" s="826">
        <f>'TBI-CLBD'!O110</f>
        <v>371.25599999999997</v>
      </c>
      <c r="K29" s="826">
        <f>'NL-CLBD'!L59</f>
        <v>670.55099999999993</v>
      </c>
      <c r="L29" s="826" t="e">
        <f>SUM(E29:K29)</f>
        <v>#VALUE!</v>
      </c>
      <c r="M29" s="826" t="e">
        <f>L29*'He so chung'!$D$17/100</f>
        <v>#VALUE!</v>
      </c>
      <c r="N29" s="849" t="e">
        <f>M29+L29</f>
        <v>#VALUE!</v>
      </c>
      <c r="O29" s="849"/>
      <c r="P29" s="850">
        <f>'He so chung'!$D$21*S29</f>
        <v>1008.2846153846152</v>
      </c>
      <c r="Q29" s="851">
        <f>'He so chung'!$D$22*S29</f>
        <v>876.7692307692306</v>
      </c>
      <c r="R29" s="852">
        <f>'He so chung'!$D$23*S29</f>
        <v>131.51538461538459</v>
      </c>
      <c r="S29" s="853">
        <f>'NC-CLBD'!F60/100</f>
        <v>0.16399999999999998</v>
      </c>
      <c r="T29" s="849" t="e">
        <f>'[1]IV. DONGIA CHỈNH LÝ'!N28</f>
        <v>#VALUE!</v>
      </c>
      <c r="U29" s="849" t="e">
        <f t="shared" si="0"/>
        <v>#VALUE!</v>
      </c>
      <c r="W29" s="854"/>
    </row>
    <row r="30" spans="1:23" s="830" customFormat="1" ht="18.75" customHeight="1">
      <c r="A30" s="331"/>
      <c r="B30" s="848"/>
      <c r="C30" s="586"/>
      <c r="D30" s="331"/>
      <c r="E30" s="843"/>
      <c r="F30" s="826"/>
      <c r="G30" s="826"/>
      <c r="H30" s="826"/>
      <c r="I30" s="826"/>
      <c r="J30" s="826"/>
      <c r="K30" s="826"/>
      <c r="L30" s="826"/>
      <c r="M30" s="826"/>
      <c r="N30" s="849"/>
      <c r="O30" s="849"/>
      <c r="P30" s="850"/>
      <c r="Q30" s="851"/>
      <c r="R30" s="852"/>
      <c r="S30" s="853"/>
      <c r="T30" s="849">
        <f>'[1]IV. DONGIA CHỈNH LÝ'!N29</f>
        <v>0</v>
      </c>
      <c r="U30" s="849">
        <f t="shared" si="0"/>
        <v>0</v>
      </c>
      <c r="W30" s="854"/>
    </row>
    <row r="31" spans="1:23" s="830" customFormat="1" ht="20.25" customHeight="1">
      <c r="A31" s="331" t="s">
        <v>11</v>
      </c>
      <c r="B31" s="848" t="s">
        <v>384</v>
      </c>
      <c r="C31" s="586" t="s">
        <v>278</v>
      </c>
      <c r="D31" s="331" t="s">
        <v>15</v>
      </c>
      <c r="E31" s="843" t="e">
        <f>'NC-CLBD'!G64/100</f>
        <v>#VALUE!</v>
      </c>
      <c r="F31" s="826"/>
      <c r="G31" s="826">
        <f>$R$1*10*Q31</f>
        <v>0</v>
      </c>
      <c r="H31" s="826"/>
      <c r="I31" s="826"/>
      <c r="J31" s="826"/>
      <c r="K31" s="826"/>
      <c r="L31" s="826" t="e">
        <f>SUM(E31:K31)</f>
        <v>#VALUE!</v>
      </c>
      <c r="M31" s="826" t="e">
        <f>L31*'He so chung'!$D$17/100</f>
        <v>#VALUE!</v>
      </c>
      <c r="N31" s="849" t="e">
        <f>M31+L31</f>
        <v>#VALUE!</v>
      </c>
      <c r="O31" s="849"/>
      <c r="P31" s="850">
        <f>'He so chung'!$D$21*S31</f>
        <v>184.44230769230768</v>
      </c>
      <c r="Q31" s="851">
        <f>'He so chung'!$D$22*S31</f>
        <v>160.38461538461536</v>
      </c>
      <c r="R31" s="852">
        <f>'He so chung'!$D$23*S31</f>
        <v>24.057692307692307</v>
      </c>
      <c r="S31" s="853">
        <f>'NC-CLBD'!F64/100</f>
        <v>0.03</v>
      </c>
      <c r="T31" s="849" t="e">
        <f>'[1]IV. DONGIA CHỈNH LÝ'!N30</f>
        <v>#VALUE!</v>
      </c>
      <c r="U31" s="849" t="e">
        <f t="shared" si="0"/>
        <v>#VALUE!</v>
      </c>
      <c r="W31" s="854"/>
    </row>
    <row r="32" spans="1:23" s="830" customFormat="1" ht="20.25" customHeight="1">
      <c r="A32" s="331"/>
      <c r="B32" s="848" t="s">
        <v>387</v>
      </c>
      <c r="C32" s="586"/>
      <c r="D32" s="331"/>
      <c r="E32" s="843"/>
      <c r="F32" s="826"/>
      <c r="G32" s="826"/>
      <c r="H32" s="826"/>
      <c r="I32" s="826"/>
      <c r="J32" s="826"/>
      <c r="K32" s="826"/>
      <c r="L32" s="826"/>
      <c r="M32" s="826"/>
      <c r="N32" s="849"/>
      <c r="O32" s="849"/>
      <c r="P32" s="850"/>
      <c r="Q32" s="851"/>
      <c r="R32" s="852"/>
      <c r="S32" s="853"/>
      <c r="T32" s="849">
        <f>'[1]IV. DONGIA CHỈNH LÝ'!N31</f>
        <v>0</v>
      </c>
      <c r="U32" s="849">
        <f t="shared" si="0"/>
        <v>0</v>
      </c>
      <c r="W32" s="854"/>
    </row>
    <row r="33" spans="1:23" s="830" customFormat="1" ht="20.25" customHeight="1">
      <c r="A33" s="331"/>
      <c r="B33" s="848"/>
      <c r="C33" s="586"/>
      <c r="D33" s="331"/>
      <c r="E33" s="843"/>
      <c r="F33" s="826"/>
      <c r="G33" s="826"/>
      <c r="H33" s="826"/>
      <c r="I33" s="826"/>
      <c r="J33" s="826"/>
      <c r="K33" s="826"/>
      <c r="L33" s="826"/>
      <c r="M33" s="826"/>
      <c r="N33" s="849"/>
      <c r="O33" s="849"/>
      <c r="P33" s="850"/>
      <c r="Q33" s="851"/>
      <c r="R33" s="852"/>
      <c r="S33" s="853"/>
      <c r="T33" s="849">
        <f>'[1]IV. DONGIA CHỈNH LÝ'!N32</f>
        <v>0</v>
      </c>
      <c r="U33" s="849">
        <f t="shared" si="0"/>
        <v>0</v>
      </c>
      <c r="W33" s="854"/>
    </row>
    <row r="34" spans="1:23" s="830" customFormat="1" ht="20.25" customHeight="1">
      <c r="A34" s="331" t="s">
        <v>12</v>
      </c>
      <c r="B34" s="848" t="s">
        <v>363</v>
      </c>
      <c r="C34" s="586" t="s">
        <v>278</v>
      </c>
      <c r="D34" s="331" t="s">
        <v>15</v>
      </c>
      <c r="E34" s="843" t="e">
        <f>'NC-CLBD'!G67/100</f>
        <v>#VALUE!</v>
      </c>
      <c r="F34" s="826"/>
      <c r="G34" s="826">
        <f>$R$1*10*Q34</f>
        <v>0</v>
      </c>
      <c r="H34" s="826">
        <f>'DCu-CLBD'!H186</f>
        <v>184.59746666666666</v>
      </c>
      <c r="I34" s="826">
        <f>'VL-CLBD'!F92</f>
        <v>1232.28</v>
      </c>
      <c r="J34" s="826">
        <f>'TBI-CLBD'!I155</f>
        <v>105.78</v>
      </c>
      <c r="K34" s="826">
        <f>'NL-CLBD'!F86</f>
        <v>191.142</v>
      </c>
      <c r="L34" s="826" t="e">
        <f>SUM(E34:K34)</f>
        <v>#VALUE!</v>
      </c>
      <c r="M34" s="826" t="e">
        <f>L34*'He so chung'!$D$17/100</f>
        <v>#VALUE!</v>
      </c>
      <c r="N34" s="849" t="e">
        <f>M34+L34</f>
        <v>#VALUE!</v>
      </c>
      <c r="O34" s="849"/>
      <c r="P34" s="850">
        <f>'He so chung'!$D$21*S34</f>
        <v>159.85000000000002</v>
      </c>
      <c r="Q34" s="851">
        <f>'He so chung'!$D$22*S34</f>
        <v>139</v>
      </c>
      <c r="R34" s="852">
        <f>'He so chung'!$D$23*S34</f>
        <v>20.85</v>
      </c>
      <c r="S34" s="853">
        <f>'NC-CLBD'!F67/100</f>
        <v>2.6000000000000002E-2</v>
      </c>
      <c r="T34" s="849" t="e">
        <f>'[1]IV. DONGIA CHỈNH LÝ'!N33</f>
        <v>#VALUE!</v>
      </c>
      <c r="U34" s="849" t="e">
        <f t="shared" si="0"/>
        <v>#VALUE!</v>
      </c>
      <c r="W34" s="854"/>
    </row>
    <row r="35" spans="1:23" s="830" customFormat="1" ht="20.25" customHeight="1">
      <c r="A35" s="331"/>
      <c r="B35" s="848"/>
      <c r="C35" s="855"/>
      <c r="D35" s="331"/>
      <c r="E35" s="843"/>
      <c r="F35" s="826"/>
      <c r="G35" s="826"/>
      <c r="H35" s="826"/>
      <c r="I35" s="826"/>
      <c r="J35" s="826"/>
      <c r="K35" s="826"/>
      <c r="L35" s="826"/>
      <c r="M35" s="826"/>
      <c r="N35" s="849"/>
      <c r="O35" s="849"/>
      <c r="P35" s="850"/>
      <c r="Q35" s="851"/>
      <c r="R35" s="852"/>
      <c r="S35" s="856"/>
      <c r="T35" s="849">
        <f>'[1]IV. DONGIA CHỈNH LÝ'!N34</f>
        <v>0</v>
      </c>
      <c r="U35" s="849">
        <f t="shared" si="0"/>
        <v>0</v>
      </c>
      <c r="W35" s="854"/>
    </row>
    <row r="36" spans="1:23" s="830" customFormat="1" ht="20.25" customHeight="1">
      <c r="A36" s="331" t="s">
        <v>13</v>
      </c>
      <c r="B36" s="848" t="s">
        <v>491</v>
      </c>
      <c r="C36" s="586" t="s">
        <v>1</v>
      </c>
      <c r="D36" s="331" t="s">
        <v>15</v>
      </c>
      <c r="E36" s="843" t="e">
        <f>'NC-CLBD'!G69</f>
        <v>#VALUE!</v>
      </c>
      <c r="F36" s="826"/>
      <c r="G36" s="826">
        <f>$R$1*10*Q36</f>
        <v>0</v>
      </c>
      <c r="H36" s="826">
        <f>'DCu-CLBD'!H209</f>
        <v>4935.7989423076924</v>
      </c>
      <c r="I36" s="826">
        <f>'VL-CLBD'!F112</f>
        <v>186516</v>
      </c>
      <c r="J36" s="826">
        <f>'TBI-CLBD'!I168</f>
        <v>3142</v>
      </c>
      <c r="K36" s="826">
        <f>'NL-CLBD'!F94</f>
        <v>4040.4</v>
      </c>
      <c r="L36" s="826" t="e">
        <f>SUM(E36:K36)</f>
        <v>#VALUE!</v>
      </c>
      <c r="M36" s="826" t="e">
        <f>L36*'He so chung'!$D$17/100</f>
        <v>#VALUE!</v>
      </c>
      <c r="N36" s="849" t="e">
        <f>M36+L36</f>
        <v>#VALUE!</v>
      </c>
      <c r="O36" s="849"/>
      <c r="P36" s="850">
        <f>'He so chung'!$D$21*S36</f>
        <v>3135.5192307692305</v>
      </c>
      <c r="Q36" s="851">
        <f>'He so chung'!$D$22*S36</f>
        <v>2726.5384615384614</v>
      </c>
      <c r="R36" s="852">
        <f>'He so chung'!$D$23*S36</f>
        <v>408.98076923076923</v>
      </c>
      <c r="S36" s="856">
        <f>'NC-CLBD'!F69</f>
        <v>0.51</v>
      </c>
      <c r="T36" s="849" t="e">
        <f>'[1]IV. DONGIA CHỈNH LÝ'!N35</f>
        <v>#VALUE!</v>
      </c>
      <c r="U36" s="849" t="e">
        <f t="shared" si="0"/>
        <v>#VALUE!</v>
      </c>
      <c r="W36" s="854"/>
    </row>
    <row r="37" spans="1:23" s="830" customFormat="1" ht="20.25" customHeight="1">
      <c r="A37" s="857"/>
      <c r="B37" s="858"/>
      <c r="C37" s="855"/>
      <c r="D37" s="331"/>
      <c r="E37" s="843"/>
      <c r="F37" s="826"/>
      <c r="G37" s="826"/>
      <c r="H37" s="826"/>
      <c r="I37" s="826"/>
      <c r="J37" s="826"/>
      <c r="K37" s="826"/>
      <c r="L37" s="826"/>
      <c r="M37" s="826"/>
      <c r="N37" s="849"/>
      <c r="O37" s="849"/>
      <c r="P37" s="850"/>
      <c r="Q37" s="851"/>
      <c r="R37" s="852"/>
      <c r="S37" s="856"/>
      <c r="T37" s="849">
        <f>'[1]IV. DONGIA CHỈNH LÝ'!N36</f>
        <v>0</v>
      </c>
      <c r="U37" s="849">
        <f t="shared" si="0"/>
        <v>0</v>
      </c>
      <c r="W37" s="854"/>
    </row>
    <row r="38" spans="1:23" s="830" customFormat="1" ht="20.25" customHeight="1">
      <c r="A38" s="331" t="s">
        <v>14</v>
      </c>
      <c r="B38" s="848" t="s">
        <v>365</v>
      </c>
      <c r="C38" s="586" t="s">
        <v>1</v>
      </c>
      <c r="D38" s="331" t="s">
        <v>15</v>
      </c>
      <c r="E38" s="843" t="e">
        <f>'NC-CLBD'!G71</f>
        <v>#VALUE!</v>
      </c>
      <c r="F38" s="826"/>
      <c r="G38" s="826">
        <f>$R$1*10*Q38</f>
        <v>0</v>
      </c>
      <c r="H38" s="826">
        <f>'DCu-CLBD'!H209</f>
        <v>4935.7989423076924</v>
      </c>
      <c r="I38" s="826">
        <f>'VL-CLBD'!F112</f>
        <v>186516</v>
      </c>
      <c r="J38" s="826"/>
      <c r="K38" s="826"/>
      <c r="L38" s="826" t="e">
        <f>SUM(E38:K38)</f>
        <v>#VALUE!</v>
      </c>
      <c r="M38" s="826" t="e">
        <f>L38*'He so chung'!$D$17/100</f>
        <v>#VALUE!</v>
      </c>
      <c r="N38" s="849" t="e">
        <f>M38+L38</f>
        <v>#VALUE!</v>
      </c>
      <c r="O38" s="849"/>
      <c r="P38" s="850">
        <f>'He so chung'!$D$21*S38</f>
        <v>2459.2307692307695</v>
      </c>
      <c r="Q38" s="851">
        <f>'He so chung'!$D$22*S38</f>
        <v>2138.4615384615386</v>
      </c>
      <c r="R38" s="852">
        <f>'He so chung'!$D$23*S38</f>
        <v>320.76923076923077</v>
      </c>
      <c r="S38" s="856">
        <f>'NC-CLBD'!F71</f>
        <v>0.4</v>
      </c>
      <c r="T38" s="849" t="e">
        <f>'[1]IV. DONGIA CHỈNH LÝ'!N37</f>
        <v>#VALUE!</v>
      </c>
      <c r="U38" s="849" t="e">
        <f t="shared" si="0"/>
        <v>#VALUE!</v>
      </c>
      <c r="W38" s="854"/>
    </row>
    <row r="39" spans="1:23" s="830" customFormat="1" ht="20.25" customHeight="1">
      <c r="A39" s="331"/>
      <c r="B39" s="848"/>
      <c r="C39" s="855"/>
      <c r="D39" s="331"/>
      <c r="E39" s="843"/>
      <c r="F39" s="826"/>
      <c r="G39" s="826"/>
      <c r="H39" s="826"/>
      <c r="I39" s="826"/>
      <c r="J39" s="826"/>
      <c r="K39" s="826"/>
      <c r="L39" s="826"/>
      <c r="M39" s="826"/>
      <c r="N39" s="849"/>
      <c r="O39" s="849"/>
      <c r="P39" s="850"/>
      <c r="Q39" s="851"/>
      <c r="R39" s="852"/>
      <c r="S39" s="856"/>
      <c r="T39" s="849">
        <f>'[1]IV. DONGIA CHỈNH LÝ'!N38</f>
        <v>0</v>
      </c>
      <c r="U39" s="849">
        <f t="shared" si="0"/>
        <v>0</v>
      </c>
      <c r="W39" s="854"/>
    </row>
    <row r="40" spans="1:23" s="830" customFormat="1" ht="20.25" customHeight="1">
      <c r="A40" s="331" t="s">
        <v>85</v>
      </c>
      <c r="B40" s="848" t="s">
        <v>366</v>
      </c>
      <c r="C40" s="586" t="s">
        <v>1</v>
      </c>
      <c r="D40" s="331" t="s">
        <v>15</v>
      </c>
      <c r="E40" s="843" t="e">
        <f>'NC-CLBD'!G73</f>
        <v>#VALUE!</v>
      </c>
      <c r="F40" s="826"/>
      <c r="G40" s="826">
        <f>$R$1*10*Q40</f>
        <v>0</v>
      </c>
      <c r="H40" s="826">
        <f>'DCu-CLBD'!H209</f>
        <v>4935.7989423076924</v>
      </c>
      <c r="I40" s="826">
        <f>'VL-CLBD'!F112</f>
        <v>186516</v>
      </c>
      <c r="J40" s="826"/>
      <c r="K40" s="826"/>
      <c r="L40" s="826" t="e">
        <f>SUM(E40:K40)</f>
        <v>#VALUE!</v>
      </c>
      <c r="M40" s="826" t="e">
        <f>L40*'He so chung'!$D$17/100</f>
        <v>#VALUE!</v>
      </c>
      <c r="N40" s="849" t="e">
        <f>M40+L40</f>
        <v>#VALUE!</v>
      </c>
      <c r="O40" s="849"/>
      <c r="P40" s="850">
        <f>'He so chung'!$D$21*S40</f>
        <v>1229.6153846153848</v>
      </c>
      <c r="Q40" s="851">
        <f>'He so chung'!$D$22*S40</f>
        <v>1069.2307692307693</v>
      </c>
      <c r="R40" s="852">
        <f>'He so chung'!$D$23*S40</f>
        <v>160.38461538461539</v>
      </c>
      <c r="S40" s="856">
        <f>'NC-CLBD'!F73</f>
        <v>0.2</v>
      </c>
      <c r="T40" s="849" t="e">
        <f>'[1]IV. DONGIA CHỈNH LÝ'!N39</f>
        <v>#VALUE!</v>
      </c>
      <c r="U40" s="849" t="e">
        <f t="shared" si="0"/>
        <v>#VALUE!</v>
      </c>
      <c r="W40" s="854"/>
    </row>
    <row r="41" spans="1:23" s="830" customFormat="1" ht="19.5" customHeight="1">
      <c r="A41" s="331"/>
      <c r="B41" s="848"/>
      <c r="C41" s="586"/>
      <c r="D41" s="331"/>
      <c r="E41" s="843"/>
      <c r="F41" s="826"/>
      <c r="G41" s="826"/>
      <c r="H41" s="826"/>
      <c r="I41" s="826"/>
      <c r="J41" s="826"/>
      <c r="K41" s="826"/>
      <c r="L41" s="826"/>
      <c r="M41" s="826"/>
      <c r="N41" s="849"/>
      <c r="O41" s="849"/>
      <c r="P41" s="850"/>
      <c r="Q41" s="859"/>
      <c r="R41" s="860"/>
      <c r="S41" s="861"/>
      <c r="T41" s="849">
        <f>'[1]IV. DONGIA CHỈNH LÝ'!N40</f>
        <v>0</v>
      </c>
      <c r="U41" s="849">
        <f t="shared" si="0"/>
        <v>0</v>
      </c>
      <c r="W41" s="854"/>
    </row>
    <row r="42" spans="1:23" s="830" customFormat="1" ht="20.25" customHeight="1">
      <c r="A42" s="842"/>
      <c r="B42" s="842" t="s">
        <v>389</v>
      </c>
      <c r="C42" s="842"/>
      <c r="D42" s="841"/>
      <c r="E42" s="862"/>
      <c r="F42" s="842"/>
      <c r="G42" s="842"/>
      <c r="H42" s="842"/>
      <c r="I42" s="842"/>
      <c r="J42" s="842"/>
      <c r="K42" s="842"/>
      <c r="L42" s="842"/>
      <c r="M42" s="842"/>
      <c r="N42" s="842"/>
      <c r="O42" s="842"/>
      <c r="P42" s="863"/>
      <c r="Q42" s="864"/>
      <c r="R42" s="865"/>
      <c r="S42" s="866"/>
      <c r="T42" s="849">
        <f>'[1]IV. DONGIA CHỈNH LÝ'!N41</f>
        <v>0</v>
      </c>
      <c r="U42" s="849">
        <f t="shared" si="0"/>
        <v>0</v>
      </c>
      <c r="W42" s="854"/>
    </row>
    <row r="43" spans="1:23" s="830" customFormat="1" ht="21.75" customHeight="1">
      <c r="A43" s="1006" t="s">
        <v>3</v>
      </c>
      <c r="B43" s="1009" t="s">
        <v>492</v>
      </c>
      <c r="C43" s="1007" t="s">
        <v>1</v>
      </c>
      <c r="D43" s="868">
        <v>1</v>
      </c>
      <c r="E43" s="869" t="e">
        <f t="shared" ref="E43:R43" si="1">E8+E$36+E$38+E$40</f>
        <v>#VALUE!</v>
      </c>
      <c r="F43" s="849">
        <f t="shared" si="1"/>
        <v>0</v>
      </c>
      <c r="G43" s="849">
        <f t="shared" si="1"/>
        <v>0</v>
      </c>
      <c r="H43" s="849">
        <f t="shared" si="1"/>
        <v>32054.050673076927</v>
      </c>
      <c r="I43" s="849">
        <f t="shared" si="1"/>
        <v>634608</v>
      </c>
      <c r="J43" s="849">
        <f t="shared" si="1"/>
        <v>3142</v>
      </c>
      <c r="K43" s="849">
        <f t="shared" si="1"/>
        <v>4040.4</v>
      </c>
      <c r="L43" s="849" t="e">
        <f t="shared" si="1"/>
        <v>#VALUE!</v>
      </c>
      <c r="M43" s="849" t="e">
        <f t="shared" si="1"/>
        <v>#VALUE!</v>
      </c>
      <c r="N43" s="849" t="e">
        <f t="shared" si="1"/>
        <v>#VALUE!</v>
      </c>
      <c r="O43" s="849"/>
      <c r="P43" s="849">
        <f t="shared" si="1"/>
        <v>46252.249999999993</v>
      </c>
      <c r="Q43" s="870">
        <f t="shared" si="1"/>
        <v>37476.538461538461</v>
      </c>
      <c r="R43" s="870">
        <f t="shared" si="1"/>
        <v>8775.711538461539</v>
      </c>
      <c r="S43" s="870"/>
      <c r="T43" s="849" t="e">
        <f>'[1]IV. DONGIA CHỈNH LÝ'!N42</f>
        <v>#VALUE!</v>
      </c>
      <c r="U43" s="849" t="e">
        <f t="shared" si="0"/>
        <v>#VALUE!</v>
      </c>
      <c r="W43" s="854"/>
    </row>
    <row r="44" spans="1:23" s="830" customFormat="1" ht="21.75" customHeight="1">
      <c r="A44" s="1006"/>
      <c r="B44" s="1009"/>
      <c r="C44" s="1007"/>
      <c r="D44" s="868">
        <v>2</v>
      </c>
      <c r="E44" s="869" t="e">
        <f t="shared" ref="E44:R44" si="2">E9+E$36+E$38+E$40</f>
        <v>#VALUE!</v>
      </c>
      <c r="F44" s="849">
        <f t="shared" si="2"/>
        <v>0</v>
      </c>
      <c r="G44" s="849">
        <f t="shared" si="2"/>
        <v>0</v>
      </c>
      <c r="H44" s="849">
        <f t="shared" si="2"/>
        <v>36365.714134615388</v>
      </c>
      <c r="I44" s="849">
        <f t="shared" si="2"/>
        <v>634608</v>
      </c>
      <c r="J44" s="849">
        <f t="shared" si="2"/>
        <v>3142</v>
      </c>
      <c r="K44" s="849">
        <f t="shared" si="2"/>
        <v>4040.4</v>
      </c>
      <c r="L44" s="849" t="e">
        <f t="shared" si="2"/>
        <v>#VALUE!</v>
      </c>
      <c r="M44" s="849" t="e">
        <f t="shared" si="2"/>
        <v>#VALUE!</v>
      </c>
      <c r="N44" s="849" t="e">
        <f t="shared" si="2"/>
        <v>#VALUE!</v>
      </c>
      <c r="O44" s="849"/>
      <c r="P44" s="849">
        <f t="shared" si="2"/>
        <v>58013.788461538461</v>
      </c>
      <c r="Q44" s="870">
        <f t="shared" si="2"/>
        <v>46885.769230769227</v>
      </c>
      <c r="R44" s="870">
        <f t="shared" si="2"/>
        <v>11128.019230769232</v>
      </c>
      <c r="S44" s="870"/>
      <c r="T44" s="849" t="e">
        <f>'[1]IV. DONGIA CHỈNH LÝ'!N43</f>
        <v>#VALUE!</v>
      </c>
      <c r="U44" s="849" t="e">
        <f t="shared" si="0"/>
        <v>#VALUE!</v>
      </c>
      <c r="W44" s="854"/>
    </row>
    <row r="45" spans="1:23" s="830" customFormat="1" ht="21.75" customHeight="1">
      <c r="A45" s="1006"/>
      <c r="B45" s="1009"/>
      <c r="C45" s="1007"/>
      <c r="D45" s="868">
        <v>3</v>
      </c>
      <c r="E45" s="869" t="e">
        <f t="shared" ref="E45:R45" si="3">E10+E$36+E$38+E$40</f>
        <v>#VALUE!</v>
      </c>
      <c r="F45" s="849">
        <f t="shared" si="3"/>
        <v>0</v>
      </c>
      <c r="G45" s="849">
        <f t="shared" si="3"/>
        <v>0</v>
      </c>
      <c r="H45" s="849">
        <f t="shared" si="3"/>
        <v>43551.819903846161</v>
      </c>
      <c r="I45" s="849">
        <f t="shared" si="3"/>
        <v>634608</v>
      </c>
      <c r="J45" s="849">
        <f t="shared" si="3"/>
        <v>3142</v>
      </c>
      <c r="K45" s="849">
        <f t="shared" si="3"/>
        <v>4040.4</v>
      </c>
      <c r="L45" s="849" t="e">
        <f t="shared" si="3"/>
        <v>#VALUE!</v>
      </c>
      <c r="M45" s="849" t="e">
        <f t="shared" si="3"/>
        <v>#VALUE!</v>
      </c>
      <c r="N45" s="849" t="e">
        <f t="shared" si="3"/>
        <v>#VALUE!</v>
      </c>
      <c r="O45" s="849"/>
      <c r="P45" s="849">
        <f t="shared" si="3"/>
        <v>73383.98076923078</v>
      </c>
      <c r="Q45" s="870">
        <f t="shared" si="3"/>
        <v>59181.923076923071</v>
      </c>
      <c r="R45" s="870">
        <f t="shared" si="3"/>
        <v>14202.057692307695</v>
      </c>
      <c r="S45" s="870"/>
      <c r="T45" s="849" t="e">
        <f>'[1]IV. DONGIA CHỈNH LÝ'!N44</f>
        <v>#VALUE!</v>
      </c>
      <c r="U45" s="849" t="e">
        <f t="shared" si="0"/>
        <v>#VALUE!</v>
      </c>
      <c r="W45" s="854"/>
    </row>
    <row r="46" spans="1:23" s="830" customFormat="1" ht="21.75" customHeight="1">
      <c r="A46" s="1006"/>
      <c r="B46" s="1009"/>
      <c r="C46" s="1007"/>
      <c r="D46" s="868">
        <v>4</v>
      </c>
      <c r="E46" s="869" t="e">
        <f t="shared" ref="E46:R46" si="4">E11+E$36+E$38+E$40</f>
        <v>#VALUE!</v>
      </c>
      <c r="F46" s="849">
        <f t="shared" si="4"/>
        <v>0</v>
      </c>
      <c r="G46" s="849">
        <f t="shared" si="4"/>
        <v>0</v>
      </c>
      <c r="H46" s="849">
        <f t="shared" si="4"/>
        <v>49300.704519230778</v>
      </c>
      <c r="I46" s="849">
        <f t="shared" si="4"/>
        <v>634608</v>
      </c>
      <c r="J46" s="849">
        <f t="shared" si="4"/>
        <v>3142</v>
      </c>
      <c r="K46" s="849">
        <f t="shared" si="4"/>
        <v>4040.4</v>
      </c>
      <c r="L46" s="849" t="e">
        <f t="shared" si="4"/>
        <v>#VALUE!</v>
      </c>
      <c r="M46" s="849" t="e">
        <f t="shared" si="4"/>
        <v>#VALUE!</v>
      </c>
      <c r="N46" s="849" t="e">
        <f t="shared" si="4"/>
        <v>#VALUE!</v>
      </c>
      <c r="O46" s="849"/>
      <c r="P46" s="849">
        <f t="shared" si="4"/>
        <v>93298.403846153844</v>
      </c>
      <c r="Q46" s="870">
        <f t="shared" si="4"/>
        <v>75113.461538461532</v>
      </c>
      <c r="R46" s="870">
        <f t="shared" si="4"/>
        <v>18184.942307692309</v>
      </c>
      <c r="S46" s="870"/>
      <c r="T46" s="849" t="e">
        <f>'[1]IV. DONGIA CHỈNH LÝ'!N45</f>
        <v>#VALUE!</v>
      </c>
      <c r="U46" s="849" t="e">
        <f t="shared" si="0"/>
        <v>#VALUE!</v>
      </c>
      <c r="W46" s="854"/>
    </row>
    <row r="47" spans="1:23" s="830" customFormat="1" ht="10.5" hidden="1" customHeight="1">
      <c r="A47" s="841"/>
      <c r="B47" s="871"/>
      <c r="C47" s="867"/>
      <c r="D47" s="868"/>
      <c r="E47" s="869"/>
      <c r="F47" s="849"/>
      <c r="G47" s="849"/>
      <c r="H47" s="849"/>
      <c r="I47" s="849"/>
      <c r="J47" s="849"/>
      <c r="K47" s="849"/>
      <c r="L47" s="849"/>
      <c r="M47" s="849"/>
      <c r="N47" s="849"/>
      <c r="O47" s="849">
        <v>0</v>
      </c>
      <c r="P47" s="849"/>
      <c r="Q47" s="872"/>
      <c r="R47" s="872"/>
      <c r="S47" s="873"/>
      <c r="T47" s="849">
        <f>'[1]IV. DONGIA CHỈNH LÝ'!N46</f>
        <v>0</v>
      </c>
      <c r="U47" s="849">
        <f t="shared" si="0"/>
        <v>0</v>
      </c>
      <c r="W47" s="854"/>
    </row>
    <row r="48" spans="1:23" s="830" customFormat="1" ht="21.75" customHeight="1">
      <c r="A48" s="1006" t="s">
        <v>4</v>
      </c>
      <c r="B48" s="1009" t="s">
        <v>516</v>
      </c>
      <c r="C48" s="1007" t="s">
        <v>278</v>
      </c>
      <c r="D48" s="868">
        <v>1</v>
      </c>
      <c r="E48" s="869" t="e">
        <f t="shared" ref="E48:R48" si="5">E13+E18+E26+E$31+E$34</f>
        <v>#VALUE!</v>
      </c>
      <c r="F48" s="849">
        <f t="shared" si="5"/>
        <v>21890.1</v>
      </c>
      <c r="G48" s="849">
        <f t="shared" si="5"/>
        <v>0</v>
      </c>
      <c r="H48" s="849">
        <f t="shared" si="5"/>
        <v>2575.4845607974362</v>
      </c>
      <c r="I48" s="849">
        <f t="shared" si="5"/>
        <v>8626.4838</v>
      </c>
      <c r="J48" s="849">
        <f t="shared" si="5"/>
        <v>10608.368</v>
      </c>
      <c r="K48" s="849">
        <f t="shared" si="5"/>
        <v>697.27980000000002</v>
      </c>
      <c r="L48" s="849" t="e">
        <f t="shared" si="5"/>
        <v>#VALUE!</v>
      </c>
      <c r="M48" s="849" t="e">
        <f t="shared" si="5"/>
        <v>#VALUE!</v>
      </c>
      <c r="N48" s="849" t="e">
        <f t="shared" si="5"/>
        <v>#VALUE!</v>
      </c>
      <c r="O48" s="849">
        <v>3342</v>
      </c>
      <c r="P48" s="849">
        <f t="shared" si="5"/>
        <v>9604.5525000000016</v>
      </c>
      <c r="Q48" s="870">
        <f t="shared" si="5"/>
        <v>7751.3884615384604</v>
      </c>
      <c r="R48" s="870">
        <f t="shared" si="5"/>
        <v>1853.1640384615387</v>
      </c>
      <c r="S48" s="870"/>
      <c r="T48" s="849" t="e">
        <f>'[1]IV. DONGIA CHỈNH LÝ'!N47</f>
        <v>#VALUE!</v>
      </c>
      <c r="U48" s="849" t="e">
        <f t="shared" si="0"/>
        <v>#VALUE!</v>
      </c>
      <c r="W48" s="854"/>
    </row>
    <row r="49" spans="1:23" s="830" customFormat="1" ht="21.75" customHeight="1">
      <c r="A49" s="1006"/>
      <c r="B49" s="1009"/>
      <c r="C49" s="1007"/>
      <c r="D49" s="868">
        <v>2</v>
      </c>
      <c r="E49" s="869" t="e">
        <f t="shared" ref="E49:R49" si="6">E14+E19+E27+E$31+E$34</f>
        <v>#VALUE!</v>
      </c>
      <c r="F49" s="849">
        <f t="shared" si="6"/>
        <v>26278.6</v>
      </c>
      <c r="G49" s="849">
        <f t="shared" si="6"/>
        <v>0</v>
      </c>
      <c r="H49" s="849">
        <f t="shared" si="6"/>
        <v>3173.2063343301284</v>
      </c>
      <c r="I49" s="849">
        <f t="shared" si="6"/>
        <v>8626.4838</v>
      </c>
      <c r="J49" s="849">
        <f t="shared" si="6"/>
        <v>13199.1396</v>
      </c>
      <c r="K49" s="849">
        <f t="shared" si="6"/>
        <v>768.76379999999995</v>
      </c>
      <c r="L49" s="849" t="e">
        <f t="shared" si="6"/>
        <v>#VALUE!</v>
      </c>
      <c r="M49" s="849" t="e">
        <f t="shared" si="6"/>
        <v>#VALUE!</v>
      </c>
      <c r="N49" s="849" t="e">
        <f t="shared" si="6"/>
        <v>#VALUE!</v>
      </c>
      <c r="O49" s="849">
        <v>4012</v>
      </c>
      <c r="P49" s="849">
        <f t="shared" si="6"/>
        <v>11490.862692307694</v>
      </c>
      <c r="Q49" s="870">
        <f t="shared" si="6"/>
        <v>9269.1615384615379</v>
      </c>
      <c r="R49" s="870">
        <f t="shared" si="6"/>
        <v>2221.7011538461543</v>
      </c>
      <c r="S49" s="870"/>
      <c r="T49" s="849" t="e">
        <f>'[1]IV. DONGIA CHỈNH LÝ'!N48</f>
        <v>#VALUE!</v>
      </c>
      <c r="U49" s="849" t="e">
        <f t="shared" si="0"/>
        <v>#VALUE!</v>
      </c>
      <c r="W49" s="854"/>
    </row>
    <row r="50" spans="1:23" s="830" customFormat="1" ht="21.75" customHeight="1">
      <c r="A50" s="1006"/>
      <c r="B50" s="1009"/>
      <c r="C50" s="1007"/>
      <c r="D50" s="868">
        <v>3</v>
      </c>
      <c r="E50" s="869" t="e">
        <f t="shared" ref="E50:R50" si="7">E15+E20+E28+E$31+E$34</f>
        <v>#VALUE!</v>
      </c>
      <c r="F50" s="849">
        <f t="shared" si="7"/>
        <v>31531.7</v>
      </c>
      <c r="G50" s="849">
        <f t="shared" si="7"/>
        <v>0</v>
      </c>
      <c r="H50" s="849">
        <f t="shared" si="7"/>
        <v>4169.4092902179491</v>
      </c>
      <c r="I50" s="849">
        <f t="shared" si="7"/>
        <v>8626.4838</v>
      </c>
      <c r="J50" s="849">
        <f t="shared" si="7"/>
        <v>17525.372799999997</v>
      </c>
      <c r="K50" s="849">
        <f t="shared" si="7"/>
        <v>887.33400000000006</v>
      </c>
      <c r="L50" s="849" t="e">
        <f t="shared" si="7"/>
        <v>#VALUE!</v>
      </c>
      <c r="M50" s="849" t="e">
        <f t="shared" si="7"/>
        <v>#VALUE!</v>
      </c>
      <c r="N50" s="849" t="e">
        <f t="shared" si="7"/>
        <v>#VALUE!</v>
      </c>
      <c r="O50" s="849">
        <v>4814</v>
      </c>
      <c r="P50" s="849">
        <f t="shared" si="7"/>
        <v>13801.523846153848</v>
      </c>
      <c r="Q50" s="870">
        <f t="shared" si="7"/>
        <v>11126.415384615384</v>
      </c>
      <c r="R50" s="870">
        <f t="shared" si="7"/>
        <v>2675.1084615384621</v>
      </c>
      <c r="S50" s="870"/>
      <c r="T50" s="849" t="e">
        <f>'[1]IV. DONGIA CHỈNH LÝ'!N49</f>
        <v>#VALUE!</v>
      </c>
      <c r="U50" s="849" t="e">
        <f t="shared" si="0"/>
        <v>#VALUE!</v>
      </c>
      <c r="W50" s="854"/>
    </row>
    <row r="51" spans="1:23" s="830" customFormat="1" ht="21.75" customHeight="1">
      <c r="A51" s="1006"/>
      <c r="B51" s="1009"/>
      <c r="C51" s="1007"/>
      <c r="D51" s="868">
        <v>4</v>
      </c>
      <c r="E51" s="869" t="e">
        <f t="shared" ref="E51:R51" si="8">E16+E21+E29+E$31+E$34</f>
        <v>#VALUE!</v>
      </c>
      <c r="F51" s="849">
        <f t="shared" si="8"/>
        <v>37832.800000000003</v>
      </c>
      <c r="G51" s="849">
        <f t="shared" si="8"/>
        <v>0</v>
      </c>
      <c r="H51" s="849">
        <f t="shared" si="8"/>
        <v>4966.3716549282062</v>
      </c>
      <c r="I51" s="849">
        <f t="shared" si="8"/>
        <v>8626.4838</v>
      </c>
      <c r="J51" s="849">
        <f t="shared" si="8"/>
        <v>20987.076000000001</v>
      </c>
      <c r="K51" s="849">
        <f t="shared" si="8"/>
        <v>981.04019999999991</v>
      </c>
      <c r="L51" s="849" t="e">
        <f t="shared" si="8"/>
        <v>#VALUE!</v>
      </c>
      <c r="M51" s="849" t="e">
        <f t="shared" si="8"/>
        <v>#VALUE!</v>
      </c>
      <c r="N51" s="849" t="e">
        <f t="shared" si="8"/>
        <v>#VALUE!</v>
      </c>
      <c r="O51" s="849">
        <v>5775.9999999998836</v>
      </c>
      <c r="P51" s="849">
        <f t="shared" si="8"/>
        <v>16442.096153846152</v>
      </c>
      <c r="Q51" s="874">
        <f t="shared" si="8"/>
        <v>13247.769230769229</v>
      </c>
      <c r="R51" s="874">
        <f t="shared" si="8"/>
        <v>3194.3269230769233</v>
      </c>
      <c r="S51" s="874"/>
      <c r="T51" s="849" t="e">
        <f>'[1]IV. DONGIA CHỈNH LÝ'!N50</f>
        <v>#VALUE!</v>
      </c>
      <c r="U51" s="849" t="e">
        <f t="shared" si="0"/>
        <v>#VALUE!</v>
      </c>
      <c r="W51" s="854"/>
    </row>
    <row r="52" spans="1:23" s="830" customFormat="1" ht="21.6" customHeight="1">
      <c r="A52" s="875"/>
      <c r="B52" s="876"/>
      <c r="C52" s="876"/>
      <c r="D52" s="875"/>
      <c r="E52" s="877"/>
      <c r="F52" s="878"/>
      <c r="G52" s="878"/>
      <c r="H52" s="878"/>
      <c r="I52" s="878"/>
      <c r="J52" s="878"/>
      <c r="K52" s="878"/>
      <c r="L52" s="878"/>
      <c r="M52" s="878"/>
      <c r="N52" s="878"/>
      <c r="O52" s="878"/>
      <c r="P52" s="879"/>
      <c r="Q52" s="879"/>
      <c r="R52" s="879"/>
      <c r="S52" s="880"/>
      <c r="T52" s="849">
        <f>'[1]IV. DONGIA CHỈNH LÝ'!N51</f>
        <v>0</v>
      </c>
      <c r="U52" s="849">
        <f t="shared" si="0"/>
        <v>0</v>
      </c>
      <c r="W52" s="854"/>
    </row>
    <row r="53" spans="1:23" s="830" customFormat="1" ht="24.75" customHeight="1">
      <c r="A53" s="999" t="s">
        <v>518</v>
      </c>
      <c r="B53" s="999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881"/>
      <c r="R53" s="879"/>
      <c r="S53" s="880"/>
      <c r="T53" s="849">
        <f>'[1]IV. DONGIA CHỈNH LÝ'!N53</f>
        <v>0</v>
      </c>
      <c r="U53" s="849">
        <f t="shared" si="0"/>
        <v>0</v>
      </c>
      <c r="W53" s="854"/>
    </row>
    <row r="54" spans="1:23" s="830" customFormat="1" ht="14.25" customHeight="1">
      <c r="A54" s="1001" t="s">
        <v>574</v>
      </c>
      <c r="B54" s="1001"/>
      <c r="C54" s="1001"/>
      <c r="D54" s="1001"/>
      <c r="E54" s="1001"/>
      <c r="F54" s="1001"/>
      <c r="G54" s="1001"/>
      <c r="H54" s="1001"/>
      <c r="I54" s="1001"/>
      <c r="J54" s="1001"/>
      <c r="K54" s="1001"/>
      <c r="L54" s="1001"/>
      <c r="M54" s="1001"/>
      <c r="N54" s="1001"/>
      <c r="O54" s="1001"/>
      <c r="P54" s="1001"/>
      <c r="Q54" s="881"/>
      <c r="R54" s="879"/>
      <c r="S54" s="880"/>
      <c r="T54" s="849"/>
      <c r="U54" s="849"/>
      <c r="W54" s="854"/>
    </row>
    <row r="55" spans="1:23" s="830" customFormat="1" ht="15.75" customHeight="1">
      <c r="A55" s="718"/>
      <c r="B55" s="882"/>
      <c r="C55" s="883"/>
      <c r="D55" s="884"/>
      <c r="E55" s="885"/>
      <c r="F55" s="886"/>
      <c r="G55" s="886"/>
      <c r="H55" s="886"/>
      <c r="I55" s="886"/>
      <c r="J55" s="886"/>
      <c r="K55" s="886"/>
      <c r="L55" s="886"/>
      <c r="M55" s="887"/>
      <c r="N55" s="1008" t="s">
        <v>428</v>
      </c>
      <c r="O55" s="1008"/>
      <c r="P55" s="1008"/>
      <c r="Q55" s="879"/>
      <c r="R55" s="879"/>
      <c r="S55" s="880"/>
      <c r="T55" s="849" t="str">
        <f>'[1]IV. DONGIA CHỈNH LÝ'!N54</f>
        <v>Đơn vị tính: đồng</v>
      </c>
      <c r="U55" s="849"/>
      <c r="W55" s="854"/>
    </row>
    <row r="56" spans="1:23" s="830" customFormat="1" ht="20.25" customHeight="1">
      <c r="A56" s="1004" t="s">
        <v>376</v>
      </c>
      <c r="B56" s="1013" t="s">
        <v>377</v>
      </c>
      <c r="C56" s="1002" t="s">
        <v>378</v>
      </c>
      <c r="D56" s="1004" t="s">
        <v>91</v>
      </c>
      <c r="E56" s="1010" t="s">
        <v>368</v>
      </c>
      <c r="F56" s="1011"/>
      <c r="G56" s="1011"/>
      <c r="H56" s="1011"/>
      <c r="I56" s="1011"/>
      <c r="J56" s="1011"/>
      <c r="K56" s="1011"/>
      <c r="L56" s="1012"/>
      <c r="M56" s="1002" t="s">
        <v>427</v>
      </c>
      <c r="N56" s="1002" t="s">
        <v>379</v>
      </c>
      <c r="O56" s="1002" t="s">
        <v>560</v>
      </c>
      <c r="P56" s="888" t="s">
        <v>18</v>
      </c>
      <c r="Q56" s="828" t="s">
        <v>19</v>
      </c>
      <c r="R56" s="828" t="s">
        <v>19</v>
      </c>
      <c r="S56" s="829" t="s">
        <v>16</v>
      </c>
      <c r="U56" s="849"/>
      <c r="W56" s="854"/>
    </row>
    <row r="57" spans="1:23" s="830" customFormat="1" ht="33" customHeight="1">
      <c r="A57" s="1005"/>
      <c r="B57" s="1014"/>
      <c r="C57" s="1003"/>
      <c r="D57" s="1005"/>
      <c r="E57" s="837" t="s">
        <v>369</v>
      </c>
      <c r="F57" s="831" t="s">
        <v>370</v>
      </c>
      <c r="G57" s="833">
        <v>0</v>
      </c>
      <c r="H57" s="831" t="s">
        <v>257</v>
      </c>
      <c r="I57" s="831" t="s">
        <v>280</v>
      </c>
      <c r="J57" s="831" t="s">
        <v>261</v>
      </c>
      <c r="K57" s="831" t="s">
        <v>371</v>
      </c>
      <c r="L57" s="831" t="s">
        <v>372</v>
      </c>
      <c r="M57" s="1003"/>
      <c r="N57" s="1003"/>
      <c r="O57" s="1003"/>
      <c r="P57" s="889" t="s">
        <v>20</v>
      </c>
      <c r="Q57" s="834" t="s">
        <v>21</v>
      </c>
      <c r="R57" s="834" t="s">
        <v>22</v>
      </c>
      <c r="S57" s="835" t="s">
        <v>17</v>
      </c>
      <c r="T57" s="849">
        <f>'[1]IV. DONGIA CHỈNH LÝ'!N56</f>
        <v>0</v>
      </c>
      <c r="U57" s="849"/>
      <c r="W57" s="854"/>
    </row>
    <row r="58" spans="1:23" s="830" customFormat="1" ht="17.25" customHeight="1">
      <c r="A58" s="331" t="s">
        <v>52</v>
      </c>
      <c r="B58" s="586" t="s">
        <v>53</v>
      </c>
      <c r="C58" s="586" t="s">
        <v>54</v>
      </c>
      <c r="D58" s="331" t="s">
        <v>55</v>
      </c>
      <c r="E58" s="838" t="s">
        <v>56</v>
      </c>
      <c r="F58" s="332" t="s">
        <v>57</v>
      </c>
      <c r="G58" s="332"/>
      <c r="H58" s="332" t="s">
        <v>58</v>
      </c>
      <c r="I58" s="332" t="s">
        <v>59</v>
      </c>
      <c r="J58" s="332" t="s">
        <v>60</v>
      </c>
      <c r="K58" s="332" t="s">
        <v>61</v>
      </c>
      <c r="L58" s="334" t="s">
        <v>373</v>
      </c>
      <c r="M58" s="334" t="s">
        <v>374</v>
      </c>
      <c r="N58" s="334" t="s">
        <v>375</v>
      </c>
      <c r="O58" s="334">
        <v>-10</v>
      </c>
      <c r="P58" s="332" t="s">
        <v>561</v>
      </c>
      <c r="Q58" s="890"/>
      <c r="R58" s="890"/>
      <c r="S58" s="891"/>
      <c r="T58" s="849" t="str">
        <f>'[1]IV. DONGIA CHỈNH LÝ'!N57</f>
        <v xml:space="preserve"> (9)=(7)+(8) </v>
      </c>
      <c r="U58" s="849"/>
      <c r="W58" s="854"/>
    </row>
    <row r="59" spans="1:23" s="830" customFormat="1" ht="18" customHeight="1">
      <c r="A59" s="841" t="s">
        <v>3</v>
      </c>
      <c r="B59" s="842" t="s">
        <v>380</v>
      </c>
      <c r="C59" s="586"/>
      <c r="D59" s="331"/>
      <c r="E59" s="843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844"/>
      <c r="Q59" s="845"/>
      <c r="R59" s="846"/>
      <c r="S59" s="847"/>
      <c r="T59" s="849">
        <f>'[1]IV. DONGIA CHỈNH LÝ'!N58</f>
        <v>0</v>
      </c>
      <c r="U59" s="849">
        <f t="shared" si="0"/>
        <v>0</v>
      </c>
      <c r="W59" s="854"/>
    </row>
    <row r="60" spans="1:23" s="830" customFormat="1" ht="18" customHeight="1">
      <c r="A60" s="331" t="s">
        <v>9</v>
      </c>
      <c r="B60" s="848" t="s">
        <v>73</v>
      </c>
      <c r="C60" s="586" t="s">
        <v>1</v>
      </c>
      <c r="D60" s="331">
        <v>1</v>
      </c>
      <c r="E60" s="843" t="e">
        <f>'NC-CLBD'!I5/6.25</f>
        <v>#VALUE!</v>
      </c>
      <c r="F60" s="826"/>
      <c r="G60" s="826">
        <f>$R$1*10*Q60</f>
        <v>0</v>
      </c>
      <c r="H60" s="826">
        <f>'DCu-CLBD'!J23</f>
        <v>4139.1969230769228</v>
      </c>
      <c r="I60" s="826">
        <f>'VL-CLBD'!H16</f>
        <v>12009.6</v>
      </c>
      <c r="J60" s="826"/>
      <c r="K60" s="826"/>
      <c r="L60" s="826" t="e">
        <f>SUM(E60:K60)</f>
        <v>#VALUE!</v>
      </c>
      <c r="M60" s="826" t="e">
        <f>L60*'He so chung'!$D$16/100</f>
        <v>#VALUE!</v>
      </c>
      <c r="N60" s="849" t="e">
        <f>M60+L60</f>
        <v>#VALUE!</v>
      </c>
      <c r="O60" s="849"/>
      <c r="P60" s="850">
        <f>'He so chung'!$D$18*S60</f>
        <v>9452</v>
      </c>
      <c r="Q60" s="851">
        <f>'He so chung'!$D$19*S60</f>
        <v>7561.5999999999985</v>
      </c>
      <c r="R60" s="852">
        <f>'He so chung'!$D$20*S60</f>
        <v>1890.4</v>
      </c>
      <c r="S60" s="853">
        <f>'NC-CLBD'!H5/6.25</f>
        <v>1.4143999999999999</v>
      </c>
      <c r="T60" s="849" t="e">
        <f>'[1]IV. DONGIA CHỈNH LÝ'!N59</f>
        <v>#VALUE!</v>
      </c>
      <c r="U60" s="849" t="e">
        <f t="shared" si="0"/>
        <v>#VALUE!</v>
      </c>
      <c r="W60" s="854"/>
    </row>
    <row r="61" spans="1:23" s="830" customFormat="1" ht="18" customHeight="1">
      <c r="A61" s="331"/>
      <c r="B61" s="848"/>
      <c r="C61" s="586"/>
      <c r="D61" s="331">
        <v>2</v>
      </c>
      <c r="E61" s="843" t="e">
        <f>'NC-CLBD'!I7/6.25</f>
        <v>#VALUE!</v>
      </c>
      <c r="F61" s="826"/>
      <c r="G61" s="826">
        <f>$R$1*10*Q61</f>
        <v>0</v>
      </c>
      <c r="H61" s="826">
        <f>'DCu-CLBD'!J24</f>
        <v>5173.9961538461539</v>
      </c>
      <c r="I61" s="826">
        <f>'VL-CLBD'!H16</f>
        <v>12009.6</v>
      </c>
      <c r="J61" s="826"/>
      <c r="K61" s="826"/>
      <c r="L61" s="826" t="e">
        <f>SUM(E61:K61)</f>
        <v>#VALUE!</v>
      </c>
      <c r="M61" s="826" t="e">
        <f>L61*'He so chung'!$D$16/100</f>
        <v>#VALUE!</v>
      </c>
      <c r="N61" s="849" t="e">
        <f>M61+L61</f>
        <v>#VALUE!</v>
      </c>
      <c r="O61" s="849"/>
      <c r="P61" s="850">
        <f>'He so chung'!$D$18*S61</f>
        <v>12274.76923076923</v>
      </c>
      <c r="Q61" s="851">
        <f>'He so chung'!$D$19*S61</f>
        <v>9819.8153846153837</v>
      </c>
      <c r="R61" s="852">
        <f>'He so chung'!$D$20*S61</f>
        <v>2454.9538461538464</v>
      </c>
      <c r="S61" s="853">
        <f>'NC-CLBD'!H7/6.25</f>
        <v>1.8368</v>
      </c>
      <c r="T61" s="849" t="e">
        <f>'[1]IV. DONGIA CHỈNH LÝ'!N60</f>
        <v>#VALUE!</v>
      </c>
      <c r="U61" s="849" t="e">
        <f t="shared" si="0"/>
        <v>#VALUE!</v>
      </c>
      <c r="W61" s="854"/>
    </row>
    <row r="62" spans="1:23" s="830" customFormat="1" ht="18" customHeight="1">
      <c r="A62" s="331"/>
      <c r="B62" s="848"/>
      <c r="C62" s="586"/>
      <c r="D62" s="331">
        <v>3</v>
      </c>
      <c r="E62" s="843" t="e">
        <f>'NC-CLBD'!I9/6.25</f>
        <v>#VALUE!</v>
      </c>
      <c r="F62" s="826"/>
      <c r="G62" s="826">
        <f>$R$1*10*Q62</f>
        <v>0</v>
      </c>
      <c r="H62" s="826">
        <f>'DCu-CLBD'!J25</f>
        <v>6898.6615384615379</v>
      </c>
      <c r="I62" s="826">
        <f>'VL-CLBD'!H16</f>
        <v>12009.6</v>
      </c>
      <c r="J62" s="826"/>
      <c r="K62" s="826"/>
      <c r="L62" s="826" t="e">
        <f>SUM(E62:K62)</f>
        <v>#VALUE!</v>
      </c>
      <c r="M62" s="826" t="e">
        <f>L62*'He so chung'!$D$16/100</f>
        <v>#VALUE!</v>
      </c>
      <c r="N62" s="849" t="e">
        <f>M62+L62</f>
        <v>#VALUE!</v>
      </c>
      <c r="O62" s="849"/>
      <c r="P62" s="850">
        <f>'He so chung'!$D$18*S62</f>
        <v>15974.307692307693</v>
      </c>
      <c r="Q62" s="851">
        <f>'He so chung'!$D$19*S62</f>
        <v>12779.446153846153</v>
      </c>
      <c r="R62" s="852">
        <f>'He so chung'!$D$20*S62</f>
        <v>3194.8615384615387</v>
      </c>
      <c r="S62" s="853">
        <f>'NC-CLBD'!H9/6.25</f>
        <v>2.3904000000000001</v>
      </c>
      <c r="T62" s="849" t="e">
        <f>'[1]IV. DONGIA CHỈNH LÝ'!N61</f>
        <v>#VALUE!</v>
      </c>
      <c r="U62" s="849" t="e">
        <f t="shared" si="0"/>
        <v>#VALUE!</v>
      </c>
      <c r="W62" s="854"/>
    </row>
    <row r="63" spans="1:23" s="830" customFormat="1" ht="18" customHeight="1">
      <c r="A63" s="331"/>
      <c r="B63" s="848"/>
      <c r="C63" s="586"/>
      <c r="D63" s="331">
        <v>4</v>
      </c>
      <c r="E63" s="843" t="e">
        <f>'NC-CLBD'!I11/6.25</f>
        <v>#VALUE!</v>
      </c>
      <c r="F63" s="826"/>
      <c r="G63" s="826">
        <f>$R$1*10*Q63</f>
        <v>0</v>
      </c>
      <c r="H63" s="826">
        <f>'DCu-CLBD'!J26</f>
        <v>9313.1930769230767</v>
      </c>
      <c r="I63" s="826">
        <f>'VL-CLBD'!H16</f>
        <v>12009.6</v>
      </c>
      <c r="J63" s="826"/>
      <c r="K63" s="826"/>
      <c r="L63" s="826" t="e">
        <f>SUM(E63:K63)</f>
        <v>#VALUE!</v>
      </c>
      <c r="M63" s="826" t="e">
        <f>L63*'He so chung'!$D$16/100</f>
        <v>#VALUE!</v>
      </c>
      <c r="N63" s="849" t="e">
        <f>M63+L63</f>
        <v>#VALUE!</v>
      </c>
      <c r="O63" s="849"/>
      <c r="P63" s="850">
        <f>'He so chung'!$D$18*S63</f>
        <v>20764.461538461539</v>
      </c>
      <c r="Q63" s="851">
        <f>'He so chung'!$D$19*S63</f>
        <v>16611.56923076923</v>
      </c>
      <c r="R63" s="852">
        <f>'He so chung'!$D$20*S63</f>
        <v>4152.8923076923083</v>
      </c>
      <c r="S63" s="853">
        <f>'NC-CLBD'!H11/6.25</f>
        <v>3.1072000000000002</v>
      </c>
      <c r="T63" s="849" t="e">
        <f>'[1]IV. DONGIA CHỈNH LÝ'!N62</f>
        <v>#VALUE!</v>
      </c>
      <c r="U63" s="849" t="e">
        <f t="shared" si="0"/>
        <v>#VALUE!</v>
      </c>
      <c r="W63" s="854"/>
    </row>
    <row r="64" spans="1:23" s="830" customFormat="1" ht="18" customHeight="1">
      <c r="A64" s="331"/>
      <c r="B64" s="848"/>
      <c r="C64" s="586"/>
      <c r="D64" s="331" t="s">
        <v>13</v>
      </c>
      <c r="E64" s="843" t="e">
        <f>'NC-CLBD'!I13/6.25</f>
        <v>#VALUE!</v>
      </c>
      <c r="F64" s="826"/>
      <c r="G64" s="826">
        <f>$R$1*10*Q64</f>
        <v>0</v>
      </c>
      <c r="H64" s="826">
        <f>'DCu-CLBD'!J27</f>
        <v>12072.657692307692</v>
      </c>
      <c r="I64" s="826">
        <f>'VL-CLBD'!H16</f>
        <v>12009.6</v>
      </c>
      <c r="J64" s="826"/>
      <c r="K64" s="826"/>
      <c r="L64" s="826" t="e">
        <f>SUM(E64:K64)</f>
        <v>#VALUE!</v>
      </c>
      <c r="M64" s="826" t="e">
        <f>L64*'He so chung'!$D$16/100</f>
        <v>#VALUE!</v>
      </c>
      <c r="N64" s="849" t="e">
        <f>M64+L64</f>
        <v>#VALUE!</v>
      </c>
      <c r="O64" s="849"/>
      <c r="P64" s="850">
        <f>'He so chung'!$D$18*S64</f>
        <v>26987.38461538461</v>
      </c>
      <c r="Q64" s="851">
        <f>'He so chung'!$D$19*S64</f>
        <v>21589.907692307686</v>
      </c>
      <c r="R64" s="852">
        <f>'He so chung'!$D$20*S64</f>
        <v>5397.4769230769225</v>
      </c>
      <c r="S64" s="853">
        <f>'NC-CLBD'!H13/6.25</f>
        <v>4.0383999999999993</v>
      </c>
      <c r="T64" s="849" t="e">
        <f>'[1]IV. DONGIA CHỈNH LÝ'!N63</f>
        <v>#VALUE!</v>
      </c>
      <c r="U64" s="849" t="e">
        <f t="shared" si="0"/>
        <v>#VALUE!</v>
      </c>
      <c r="W64" s="854"/>
    </row>
    <row r="65" spans="1:23" s="830" customFormat="1" ht="15" customHeight="1">
      <c r="A65" s="331"/>
      <c r="B65" s="848"/>
      <c r="C65" s="586"/>
      <c r="D65" s="331"/>
      <c r="E65" s="843"/>
      <c r="F65" s="826"/>
      <c r="G65" s="826"/>
      <c r="H65" s="826"/>
      <c r="I65" s="826"/>
      <c r="J65" s="826"/>
      <c r="K65" s="826"/>
      <c r="L65" s="826"/>
      <c r="M65" s="826"/>
      <c r="N65" s="849"/>
      <c r="O65" s="849"/>
      <c r="P65" s="850"/>
      <c r="Q65" s="851"/>
      <c r="R65" s="852"/>
      <c r="S65" s="853"/>
      <c r="T65" s="849">
        <f>'[1]IV. DONGIA CHỈNH LÝ'!N64</f>
        <v>0</v>
      </c>
      <c r="U65" s="849">
        <f t="shared" si="0"/>
        <v>0</v>
      </c>
      <c r="W65" s="854"/>
    </row>
    <row r="66" spans="1:23" s="830" customFormat="1" ht="18" customHeight="1">
      <c r="A66" s="331" t="s">
        <v>10</v>
      </c>
      <c r="B66" s="848" t="s">
        <v>381</v>
      </c>
      <c r="C66" s="586" t="s">
        <v>278</v>
      </c>
      <c r="D66" s="331">
        <v>1</v>
      </c>
      <c r="E66" s="843" t="e">
        <f>'NC-CLBD'!I17/100</f>
        <v>#VALUE!</v>
      </c>
      <c r="F66" s="826"/>
      <c r="G66" s="826">
        <f>$R$1*10*Q66</f>
        <v>0</v>
      </c>
      <c r="H66" s="826">
        <f>'DCu-CLBD'!J67</f>
        <v>114.28881490384616</v>
      </c>
      <c r="I66" s="826">
        <f>'VL-CLBD'!H45</f>
        <v>61.738199999999999</v>
      </c>
      <c r="J66" s="826">
        <f>'TBI-CLBD'!I16</f>
        <v>531.91999999999996</v>
      </c>
      <c r="K66" s="826">
        <f>'NL-CLBD'!F12</f>
        <v>3.1080000000000001</v>
      </c>
      <c r="L66" s="826" t="e">
        <f>SUM(E66:K66)</f>
        <v>#VALUE!</v>
      </c>
      <c r="M66" s="826" t="e">
        <f>L66*'He so chung'!$D$16/100</f>
        <v>#VALUE!</v>
      </c>
      <c r="N66" s="849" t="e">
        <f>M66+L66</f>
        <v>#VALUE!</v>
      </c>
      <c r="O66" s="849"/>
      <c r="P66" s="850">
        <f>'He so chung'!$D$18*S66</f>
        <v>441.05769230769232</v>
      </c>
      <c r="Q66" s="851">
        <f>'He so chung'!$D$19*S66</f>
        <v>352.84615384615381</v>
      </c>
      <c r="R66" s="852">
        <f>'He so chung'!$D$20*S66</f>
        <v>88.211538461538467</v>
      </c>
      <c r="S66" s="853">
        <f>'NC-CLBD'!H17/100</f>
        <v>6.6000000000000003E-2</v>
      </c>
      <c r="T66" s="849" t="e">
        <f>'[1]IV. DONGIA CHỈNH LÝ'!N65</f>
        <v>#VALUE!</v>
      </c>
      <c r="U66" s="849" t="e">
        <f t="shared" si="0"/>
        <v>#VALUE!</v>
      </c>
      <c r="W66" s="854"/>
    </row>
    <row r="67" spans="1:23" s="830" customFormat="1" ht="18" customHeight="1">
      <c r="A67" s="331"/>
      <c r="B67" s="848"/>
      <c r="C67" s="586"/>
      <c r="D67" s="331">
        <v>2</v>
      </c>
      <c r="E67" s="843" t="e">
        <f>'NC-CLBD'!I19/100</f>
        <v>#VALUE!</v>
      </c>
      <c r="F67" s="826"/>
      <c r="G67" s="826">
        <f>$R$1*10*Q67</f>
        <v>0</v>
      </c>
      <c r="H67" s="826">
        <f>'DCu-CLBD'!J68</f>
        <v>142.86101862980769</v>
      </c>
      <c r="I67" s="826">
        <f>'VL-CLBD'!H45</f>
        <v>61.738199999999999</v>
      </c>
      <c r="J67" s="826">
        <f>'TBI-CLBD'!K16</f>
        <v>666.12</v>
      </c>
      <c r="K67" s="826">
        <f>'NL-CLBD'!H12</f>
        <v>3.7295999999999996</v>
      </c>
      <c r="L67" s="826" t="e">
        <f>SUM(E67:K67)</f>
        <v>#VALUE!</v>
      </c>
      <c r="M67" s="826" t="e">
        <f>L67*'He so chung'!$D$16/100</f>
        <v>#VALUE!</v>
      </c>
      <c r="N67" s="849" t="e">
        <f>M67+L67</f>
        <v>#VALUE!</v>
      </c>
      <c r="O67" s="849"/>
      <c r="P67" s="850">
        <f>'He so chung'!$D$18*S67</f>
        <v>551.32211538461536</v>
      </c>
      <c r="Q67" s="851">
        <f>'He so chung'!$D$19*S67</f>
        <v>441.05769230769232</v>
      </c>
      <c r="R67" s="852">
        <f>'He so chung'!$D$20*S67</f>
        <v>110.26442307692309</v>
      </c>
      <c r="S67" s="853">
        <f>'NC-CLBD'!H19/100</f>
        <v>8.2500000000000004E-2</v>
      </c>
      <c r="T67" s="849" t="e">
        <f>'[1]IV. DONGIA CHỈNH LÝ'!N66</f>
        <v>#VALUE!</v>
      </c>
      <c r="U67" s="849" t="e">
        <f t="shared" si="0"/>
        <v>#VALUE!</v>
      </c>
      <c r="W67" s="854"/>
    </row>
    <row r="68" spans="1:23" s="830" customFormat="1" ht="18" customHeight="1">
      <c r="A68" s="331"/>
      <c r="B68" s="848"/>
      <c r="C68" s="586"/>
      <c r="D68" s="331">
        <v>3</v>
      </c>
      <c r="E68" s="843" t="e">
        <f>'NC-CLBD'!I21/100</f>
        <v>#VALUE!</v>
      </c>
      <c r="F68" s="826"/>
      <c r="G68" s="826">
        <f>$R$1*10*Q68</f>
        <v>0</v>
      </c>
      <c r="H68" s="826">
        <f>'DCu-CLBD'!J69</f>
        <v>190.48135817307693</v>
      </c>
      <c r="I68" s="826">
        <f>'VL-CLBD'!H45</f>
        <v>61.738199999999999</v>
      </c>
      <c r="J68" s="826">
        <f>'TBI-CLBD'!M16</f>
        <v>888.36</v>
      </c>
      <c r="K68" s="826">
        <f>'NL-CLBD'!J12</f>
        <v>4.9728000000000003</v>
      </c>
      <c r="L68" s="826" t="e">
        <f>SUM(E68:K68)</f>
        <v>#VALUE!</v>
      </c>
      <c r="M68" s="826" t="e">
        <f>L68*'He so chung'!$D$16/100</f>
        <v>#VALUE!</v>
      </c>
      <c r="N68" s="849" t="e">
        <f>M68+L68</f>
        <v>#VALUE!</v>
      </c>
      <c r="O68" s="849"/>
      <c r="P68" s="850">
        <f>'He so chung'!$D$18*S68</f>
        <v>735.09615384615381</v>
      </c>
      <c r="Q68" s="851">
        <f>'He so chung'!$D$19*S68</f>
        <v>588.07692307692298</v>
      </c>
      <c r="R68" s="852">
        <f>'He so chung'!$D$20*S68</f>
        <v>147.01923076923077</v>
      </c>
      <c r="S68" s="853">
        <f>'NC-CLBD'!H21/100</f>
        <v>0.11</v>
      </c>
      <c r="T68" s="849" t="e">
        <f>'[1]IV. DONGIA CHỈNH LÝ'!N67</f>
        <v>#VALUE!</v>
      </c>
      <c r="U68" s="849" t="e">
        <f t="shared" si="0"/>
        <v>#VALUE!</v>
      </c>
      <c r="W68" s="854"/>
    </row>
    <row r="69" spans="1:23" s="830" customFormat="1" ht="18" customHeight="1">
      <c r="A69" s="331"/>
      <c r="B69" s="848"/>
      <c r="C69" s="586"/>
      <c r="D69" s="331">
        <v>4</v>
      </c>
      <c r="E69" s="843" t="e">
        <f>'NC-CLBD'!I23/100</f>
        <v>#VALUE!</v>
      </c>
      <c r="F69" s="826"/>
      <c r="G69" s="826">
        <f>$R$1*10*Q69</f>
        <v>0</v>
      </c>
      <c r="H69" s="826">
        <f>'DCu-CLBD'!J70</f>
        <v>257.14983353365386</v>
      </c>
      <c r="I69" s="826">
        <f>'VL-CLBD'!H45</f>
        <v>61.738199999999999</v>
      </c>
      <c r="J69" s="826">
        <f>'TBI-CLBD'!O16</f>
        <v>1198.04</v>
      </c>
      <c r="K69" s="826">
        <f>'NL-CLBD'!L12</f>
        <v>6.8376000000000001</v>
      </c>
      <c r="L69" s="826" t="e">
        <f>SUM(E69:K69)</f>
        <v>#VALUE!</v>
      </c>
      <c r="M69" s="826" t="e">
        <f>L69*'He so chung'!$D$16/100</f>
        <v>#VALUE!</v>
      </c>
      <c r="N69" s="849" t="e">
        <f>M69+L69</f>
        <v>#VALUE!</v>
      </c>
      <c r="O69" s="849"/>
      <c r="P69" s="850">
        <f>'He so chung'!$D$18*S69</f>
        <v>992.37980769230785</v>
      </c>
      <c r="Q69" s="851">
        <f>'He so chung'!$D$19*S69</f>
        <v>793.90384615384619</v>
      </c>
      <c r="R69" s="852">
        <f>'He so chung'!$D$20*S69</f>
        <v>198.47596153846158</v>
      </c>
      <c r="S69" s="853">
        <f>'NC-CLBD'!H23/100</f>
        <v>0.14850000000000002</v>
      </c>
      <c r="T69" s="849" t="e">
        <f>'[1]IV. DONGIA CHỈNH LÝ'!N68</f>
        <v>#VALUE!</v>
      </c>
      <c r="U69" s="849" t="e">
        <f t="shared" si="0"/>
        <v>#VALUE!</v>
      </c>
      <c r="W69" s="854"/>
    </row>
    <row r="70" spans="1:23" s="830" customFormat="1" ht="18" customHeight="1">
      <c r="A70" s="331"/>
      <c r="B70" s="848"/>
      <c r="C70" s="586"/>
      <c r="D70" s="331" t="s">
        <v>13</v>
      </c>
      <c r="E70" s="843" t="e">
        <f>'NC-CLBD'!I25/100</f>
        <v>#VALUE!</v>
      </c>
      <c r="F70" s="826"/>
      <c r="G70" s="826">
        <f>$R$1*10*Q70</f>
        <v>0</v>
      </c>
      <c r="H70" s="826">
        <f>'DCu-CLBD'!J71</f>
        <v>333.34237680288464</v>
      </c>
      <c r="I70" s="826">
        <f>'VL-CLBD'!H45</f>
        <v>61.738199999999999</v>
      </c>
      <c r="J70" s="826">
        <f>'TBI-CLBD'!Q16</f>
        <v>1507.72</v>
      </c>
      <c r="K70" s="826">
        <f>'NL-CLBD'!N12</f>
        <v>8.7024000000000008</v>
      </c>
      <c r="L70" s="826" t="e">
        <f>SUM(E70:K70)</f>
        <v>#VALUE!</v>
      </c>
      <c r="M70" s="826" t="e">
        <f>L70*'He so chung'!$D$16/100</f>
        <v>#VALUE!</v>
      </c>
      <c r="N70" s="849" t="e">
        <f>M70+L70</f>
        <v>#VALUE!</v>
      </c>
      <c r="O70" s="849"/>
      <c r="P70" s="850">
        <f>'He so chung'!$D$18*S70</f>
        <v>1249.6634615384617</v>
      </c>
      <c r="Q70" s="851">
        <f>'He so chung'!$D$19*S70</f>
        <v>999.73076923076928</v>
      </c>
      <c r="R70" s="852">
        <f>'He so chung'!$D$20*S70</f>
        <v>249.93269230769238</v>
      </c>
      <c r="S70" s="853">
        <f>'NC-CLBD'!H25/100</f>
        <v>0.18700000000000003</v>
      </c>
      <c r="T70" s="849" t="e">
        <f>'[1]IV. DONGIA CHỈNH LÝ'!N69</f>
        <v>#VALUE!</v>
      </c>
      <c r="U70" s="849" t="e">
        <f t="shared" si="0"/>
        <v>#VALUE!</v>
      </c>
      <c r="W70" s="854"/>
    </row>
    <row r="71" spans="1:23" s="830" customFormat="1" ht="18" customHeight="1">
      <c r="A71" s="848"/>
      <c r="B71" s="848"/>
      <c r="C71" s="848"/>
      <c r="D71" s="331"/>
      <c r="E71" s="843"/>
      <c r="F71" s="826"/>
      <c r="G71" s="826"/>
      <c r="H71" s="826"/>
      <c r="I71" s="826"/>
      <c r="J71" s="826"/>
      <c r="K71" s="826"/>
      <c r="L71" s="826"/>
      <c r="M71" s="826"/>
      <c r="N71" s="849"/>
      <c r="O71" s="849"/>
      <c r="P71" s="850"/>
      <c r="Q71" s="851"/>
      <c r="R71" s="852"/>
      <c r="S71" s="853"/>
      <c r="T71" s="849">
        <f>'[1]IV. DONGIA CHỈNH LÝ'!N70</f>
        <v>0</v>
      </c>
      <c r="U71" s="849">
        <f t="shared" si="0"/>
        <v>0</v>
      </c>
      <c r="W71" s="854"/>
    </row>
    <row r="72" spans="1:23" s="830" customFormat="1" ht="18" customHeight="1">
      <c r="A72" s="331" t="s">
        <v>11</v>
      </c>
      <c r="B72" s="848" t="s">
        <v>77</v>
      </c>
      <c r="C72" s="586" t="s">
        <v>278</v>
      </c>
      <c r="D72" s="331">
        <v>1</v>
      </c>
      <c r="E72" s="843" t="e">
        <f>'NC-CLBD'!I28/100</f>
        <v>#VALUE!</v>
      </c>
      <c r="F72" s="826">
        <f>'NC-CLBD'!I29/100</f>
        <v>15274.6</v>
      </c>
      <c r="G72" s="826">
        <f>$R$1*10*Q72</f>
        <v>0</v>
      </c>
      <c r="H72" s="826">
        <f>'DCu-CLBD'!J112</f>
        <v>1375.4719326923075</v>
      </c>
      <c r="I72" s="826">
        <f>'VL-CLBD'!H39</f>
        <v>1234.7639999999999</v>
      </c>
      <c r="J72" s="826">
        <f>'TBI-CLBD'!I66</f>
        <v>6663.04</v>
      </c>
      <c r="K72" s="826">
        <f>'NL-CLBD'!F36</f>
        <v>38.85</v>
      </c>
      <c r="L72" s="826" t="e">
        <f>SUM(E72:K72)</f>
        <v>#VALUE!</v>
      </c>
      <c r="M72" s="826" t="e">
        <f>L72*'He so chung'!$D$16/100</f>
        <v>#VALUE!</v>
      </c>
      <c r="N72" s="849" t="e">
        <f>M72+L72</f>
        <v>#VALUE!</v>
      </c>
      <c r="O72" s="849">
        <v>2332</v>
      </c>
      <c r="P72" s="850">
        <f>'He so chung'!$D$18*S72</f>
        <v>5573.3653846153848</v>
      </c>
      <c r="Q72" s="851">
        <f>'He so chung'!$D$19*S72</f>
        <v>4458.6923076923076</v>
      </c>
      <c r="R72" s="852">
        <f>'He so chung'!$D$20*S72</f>
        <v>1114.6730769230771</v>
      </c>
      <c r="S72" s="853">
        <f>'NC-CLBD'!H28/100</f>
        <v>0.83400000000000007</v>
      </c>
      <c r="T72" s="849" t="e">
        <f>'[1]IV. DONGIA CHỈNH LÝ'!N71</f>
        <v>#VALUE!</v>
      </c>
      <c r="U72" s="849" t="e">
        <f t="shared" si="0"/>
        <v>#VALUE!</v>
      </c>
      <c r="W72" s="854"/>
    </row>
    <row r="73" spans="1:23" s="830" customFormat="1" ht="18" customHeight="1">
      <c r="A73" s="331"/>
      <c r="B73" s="848"/>
      <c r="C73" s="586"/>
      <c r="D73" s="331">
        <v>2</v>
      </c>
      <c r="E73" s="843" t="e">
        <f>'NC-CLBD'!I32/100</f>
        <v>#VALUE!</v>
      </c>
      <c r="F73" s="826">
        <f>'NC-CLBD'!I33/100</f>
        <v>18340</v>
      </c>
      <c r="G73" s="826">
        <f>$R$1*10*Q73</f>
        <v>0</v>
      </c>
      <c r="H73" s="826">
        <f>'DCu-CLBD'!J113</f>
        <v>1719.3399158653842</v>
      </c>
      <c r="I73" s="826">
        <f>$I$72</f>
        <v>1234.7639999999999</v>
      </c>
      <c r="J73" s="826">
        <f>'TBI-CLBD'!K66</f>
        <v>8327.32</v>
      </c>
      <c r="K73" s="826">
        <f>'NL-CLBD'!H36</f>
        <v>48.174000000000007</v>
      </c>
      <c r="L73" s="826" t="e">
        <f>SUM(E73:K73)</f>
        <v>#VALUE!</v>
      </c>
      <c r="M73" s="826" t="e">
        <f>L73*'He so chung'!$D$16/100</f>
        <v>#VALUE!</v>
      </c>
      <c r="N73" s="849" t="e">
        <f>M73+L73</f>
        <v>#VALUE!</v>
      </c>
      <c r="O73" s="849">
        <v>2800</v>
      </c>
      <c r="P73" s="850">
        <f>'He so chung'!$D$18*S73</f>
        <v>6689.3749999999991</v>
      </c>
      <c r="Q73" s="851">
        <f>'He so chung'!$D$19*S73</f>
        <v>5351.4999999999991</v>
      </c>
      <c r="R73" s="852">
        <f>'He so chung'!$D$20*S73</f>
        <v>1337.875</v>
      </c>
      <c r="S73" s="853">
        <f>'NC-CLBD'!H32/100</f>
        <v>1.0009999999999999</v>
      </c>
      <c r="T73" s="849" t="e">
        <f>'[1]IV. DONGIA CHỈNH LÝ'!N72</f>
        <v>#VALUE!</v>
      </c>
      <c r="U73" s="849" t="e">
        <f t="shared" ref="U73:U111" si="9">T73-N73</f>
        <v>#VALUE!</v>
      </c>
      <c r="W73" s="854"/>
    </row>
    <row r="74" spans="1:23" s="830" customFormat="1" ht="18" customHeight="1">
      <c r="A74" s="331"/>
      <c r="B74" s="848"/>
      <c r="C74" s="586"/>
      <c r="D74" s="331">
        <v>3</v>
      </c>
      <c r="E74" s="843" t="e">
        <f>'NC-CLBD'!I36/100</f>
        <v>#VALUE!</v>
      </c>
      <c r="F74" s="826">
        <f>'NC-CLBD'!I37/100</f>
        <v>22008</v>
      </c>
      <c r="G74" s="826">
        <f>$R$1*10*Q74</f>
        <v>0</v>
      </c>
      <c r="H74" s="826">
        <f>'DCu-CLBD'!J114</f>
        <v>2292.4532211538458</v>
      </c>
      <c r="I74" s="826">
        <f>$I$72</f>
        <v>1234.7639999999999</v>
      </c>
      <c r="J74" s="826">
        <f>'TBI-CLBD'!M66</f>
        <v>11103.32</v>
      </c>
      <c r="K74" s="826">
        <f>'NL-CLBD'!J36</f>
        <v>63.713999999999999</v>
      </c>
      <c r="L74" s="826" t="e">
        <f>SUM(E74:K74)</f>
        <v>#VALUE!</v>
      </c>
      <c r="M74" s="826" t="e">
        <f>L74*'He so chung'!$D$16/100</f>
        <v>#VALUE!</v>
      </c>
      <c r="N74" s="849" t="e">
        <f>M74+L74</f>
        <v>#VALUE!</v>
      </c>
      <c r="O74" s="849">
        <v>3360</v>
      </c>
      <c r="P74" s="850">
        <f>'He so chung'!$D$18*S74</f>
        <v>8025.9134615384601</v>
      </c>
      <c r="Q74" s="851">
        <f>'He so chung'!$D$19*S74</f>
        <v>6420.7307692307677</v>
      </c>
      <c r="R74" s="852">
        <f>'He so chung'!$D$20*S74</f>
        <v>1605.1826923076922</v>
      </c>
      <c r="S74" s="853">
        <f>'NC-CLBD'!H36/100</f>
        <v>1.2009999999999998</v>
      </c>
      <c r="T74" s="849" t="e">
        <f>'[1]IV. DONGIA CHỈNH LÝ'!N73</f>
        <v>#VALUE!</v>
      </c>
      <c r="U74" s="849" t="e">
        <f t="shared" si="9"/>
        <v>#VALUE!</v>
      </c>
      <c r="W74" s="854"/>
    </row>
    <row r="75" spans="1:23" s="830" customFormat="1" ht="18" customHeight="1">
      <c r="A75" s="331"/>
      <c r="B75" s="848"/>
      <c r="C75" s="586"/>
      <c r="D75" s="331">
        <v>4</v>
      </c>
      <c r="E75" s="843" t="e">
        <f>'NC-CLBD'!I40/100</f>
        <v>#VALUE!</v>
      </c>
      <c r="F75" s="826">
        <f>'NC-CLBD'!I41/100</f>
        <v>26396.5</v>
      </c>
      <c r="G75" s="826">
        <f>$R$1*10*Q75</f>
        <v>0</v>
      </c>
      <c r="H75" s="826">
        <f>'DCu-CLBD'!J115</f>
        <v>3094.811848557692</v>
      </c>
      <c r="I75" s="826">
        <f>$I$72</f>
        <v>1234.7639999999999</v>
      </c>
      <c r="J75" s="826">
        <f>'TBI-CLBD'!O66</f>
        <v>14991.04</v>
      </c>
      <c r="K75" s="826">
        <f>'NL-CLBD'!L36</f>
        <v>85.47</v>
      </c>
      <c r="L75" s="826" t="e">
        <f>SUM(E75:K75)</f>
        <v>#VALUE!</v>
      </c>
      <c r="M75" s="826" t="e">
        <f>L75*'He so chung'!$D$16/100</f>
        <v>#VALUE!</v>
      </c>
      <c r="N75" s="849" t="e">
        <f>M75+L75</f>
        <v>#VALUE!</v>
      </c>
      <c r="O75" s="849">
        <v>4030</v>
      </c>
      <c r="P75" s="850">
        <f>'He so chung'!$D$18*S75</f>
        <v>9629.7596153846134</v>
      </c>
      <c r="Q75" s="851">
        <f>'He so chung'!$D$19*S75</f>
        <v>7703.8076923076906</v>
      </c>
      <c r="R75" s="852">
        <f>'He so chung'!$D$20*S75</f>
        <v>1925.9519230769231</v>
      </c>
      <c r="S75" s="853">
        <f>'NC-CLBD'!H40/100</f>
        <v>1.4409999999999998</v>
      </c>
      <c r="T75" s="849" t="e">
        <f>'[1]IV. DONGIA CHỈNH LÝ'!N74</f>
        <v>#VALUE!</v>
      </c>
      <c r="U75" s="849" t="e">
        <f t="shared" si="9"/>
        <v>#VALUE!</v>
      </c>
      <c r="W75" s="854"/>
    </row>
    <row r="76" spans="1:23" s="830" customFormat="1" ht="18" customHeight="1">
      <c r="A76" s="331"/>
      <c r="B76" s="848"/>
      <c r="C76" s="586"/>
      <c r="D76" s="331" t="s">
        <v>13</v>
      </c>
      <c r="E76" s="843" t="e">
        <f>'NC-CLBD'!I44/100</f>
        <v>#VALUE!</v>
      </c>
      <c r="F76" s="826">
        <f>'NC-CLBD'!I45/100</f>
        <v>31688.9</v>
      </c>
      <c r="G76" s="826">
        <f>$R$1*10*Q76</f>
        <v>0</v>
      </c>
      <c r="H76" s="826">
        <f>'DCu-CLBD'!J116</f>
        <v>4011.79313701923</v>
      </c>
      <c r="I76" s="826">
        <f>$I$72</f>
        <v>1234.7639999999999</v>
      </c>
      <c r="J76" s="826">
        <f>'TBI-CLBD'!Q66</f>
        <v>18878.080000000002</v>
      </c>
      <c r="K76" s="826">
        <f>'NL-CLBD'!N36</f>
        <v>107.226</v>
      </c>
      <c r="L76" s="826" t="e">
        <f>SUM(E76:K76)</f>
        <v>#VALUE!</v>
      </c>
      <c r="M76" s="826" t="e">
        <f>L76*'He so chung'!$D$16/100</f>
        <v>#VALUE!</v>
      </c>
      <c r="N76" s="849" t="e">
        <f>M76+L76</f>
        <v>#VALUE!</v>
      </c>
      <c r="O76" s="849">
        <v>4838</v>
      </c>
      <c r="P76" s="850">
        <f>'He so chung'!$D$18*S76</f>
        <v>11557.716346153848</v>
      </c>
      <c r="Q76" s="851">
        <f>'He so chung'!$D$19*S76</f>
        <v>9246.173076923078</v>
      </c>
      <c r="R76" s="852">
        <f>'He so chung'!$D$20*S76</f>
        <v>2311.54326923077</v>
      </c>
      <c r="S76" s="853">
        <f>'NC-CLBD'!H44/100</f>
        <v>1.7295000000000003</v>
      </c>
      <c r="T76" s="849" t="e">
        <f>'[1]IV. DONGIA CHỈNH LÝ'!N75</f>
        <v>#VALUE!</v>
      </c>
      <c r="U76" s="849" t="e">
        <f t="shared" si="9"/>
        <v>#VALUE!</v>
      </c>
      <c r="W76" s="854"/>
    </row>
    <row r="77" spans="1:23" s="830" customFormat="1" ht="18" customHeight="1">
      <c r="A77" s="848"/>
      <c r="B77" s="848"/>
      <c r="C77" s="848"/>
      <c r="D77" s="331"/>
      <c r="E77" s="843"/>
      <c r="F77" s="826"/>
      <c r="G77" s="826"/>
      <c r="H77" s="826"/>
      <c r="I77" s="826"/>
      <c r="J77" s="826"/>
      <c r="K77" s="826"/>
      <c r="L77" s="826"/>
      <c r="M77" s="826"/>
      <c r="N77" s="849"/>
      <c r="O77" s="849"/>
      <c r="P77" s="826"/>
      <c r="Q77" s="851"/>
      <c r="R77" s="852"/>
      <c r="S77" s="853"/>
      <c r="T77" s="849">
        <f>'[1]IV. DONGIA CHỈNH LÝ'!N76</f>
        <v>0</v>
      </c>
      <c r="U77" s="849">
        <f t="shared" si="9"/>
        <v>0</v>
      </c>
      <c r="W77" s="854"/>
    </row>
    <row r="78" spans="1:23" s="830" customFormat="1" ht="18" customHeight="1">
      <c r="A78" s="841" t="s">
        <v>4</v>
      </c>
      <c r="B78" s="842" t="s">
        <v>382</v>
      </c>
      <c r="C78" s="848"/>
      <c r="D78" s="331"/>
      <c r="E78" s="843"/>
      <c r="F78" s="826"/>
      <c r="G78" s="826"/>
      <c r="H78" s="826"/>
      <c r="I78" s="826"/>
      <c r="J78" s="826"/>
      <c r="K78" s="826"/>
      <c r="L78" s="826"/>
      <c r="M78" s="826"/>
      <c r="N78" s="849"/>
      <c r="O78" s="849"/>
      <c r="P78" s="826"/>
      <c r="Q78" s="851"/>
      <c r="R78" s="852"/>
      <c r="S78" s="853"/>
      <c r="T78" s="849">
        <f>'[1]IV. DONGIA CHỈNH LÝ'!N77</f>
        <v>0</v>
      </c>
      <c r="U78" s="849">
        <f t="shared" si="9"/>
        <v>0</v>
      </c>
      <c r="W78" s="854"/>
    </row>
    <row r="79" spans="1:23" s="830" customFormat="1" ht="18" customHeight="1">
      <c r="A79" s="331" t="s">
        <v>9</v>
      </c>
      <c r="B79" s="848" t="s">
        <v>383</v>
      </c>
      <c r="C79" s="586"/>
      <c r="D79" s="331"/>
      <c r="E79" s="843"/>
      <c r="F79" s="826"/>
      <c r="G79" s="826"/>
      <c r="H79" s="826"/>
      <c r="I79" s="826"/>
      <c r="J79" s="826"/>
      <c r="K79" s="826"/>
      <c r="L79" s="826"/>
      <c r="M79" s="826"/>
      <c r="N79" s="849"/>
      <c r="O79" s="849"/>
      <c r="P79" s="826"/>
      <c r="Q79" s="892"/>
      <c r="R79" s="893"/>
      <c r="S79" s="893"/>
      <c r="T79" s="849">
        <f>'[1]IV. DONGIA CHỈNH LÝ'!N78</f>
        <v>0</v>
      </c>
      <c r="U79" s="849">
        <f t="shared" si="9"/>
        <v>0</v>
      </c>
      <c r="W79" s="854"/>
    </row>
    <row r="80" spans="1:23" s="830" customFormat="1" ht="18" customHeight="1">
      <c r="A80" s="848"/>
      <c r="B80" s="848"/>
      <c r="C80" s="848"/>
      <c r="D80" s="331"/>
      <c r="E80" s="843"/>
      <c r="F80" s="826"/>
      <c r="G80" s="826"/>
      <c r="H80" s="826"/>
      <c r="I80" s="826"/>
      <c r="J80" s="826"/>
      <c r="K80" s="826"/>
      <c r="L80" s="826"/>
      <c r="M80" s="826"/>
      <c r="N80" s="849"/>
      <c r="O80" s="849"/>
      <c r="P80" s="826"/>
      <c r="Q80" s="851"/>
      <c r="R80" s="852"/>
      <c r="S80" s="853"/>
      <c r="T80" s="849">
        <f>'[1]IV. DONGIA CHỈNH LÝ'!N79</f>
        <v>0</v>
      </c>
      <c r="U80" s="849">
        <f t="shared" si="9"/>
        <v>0</v>
      </c>
      <c r="W80" s="854"/>
    </row>
    <row r="81" spans="1:23" s="830" customFormat="1" ht="18" customHeight="1">
      <c r="A81" s="331" t="s">
        <v>10</v>
      </c>
      <c r="B81" s="848" t="s">
        <v>490</v>
      </c>
      <c r="C81" s="586" t="s">
        <v>278</v>
      </c>
      <c r="D81" s="331">
        <v>1</v>
      </c>
      <c r="E81" s="843" t="e">
        <f>'NC-CLBD'!I54/100</f>
        <v>#VALUE!</v>
      </c>
      <c r="F81" s="826"/>
      <c r="G81" s="826">
        <f>$R$1*10*Q81</f>
        <v>0</v>
      </c>
      <c r="H81" s="826">
        <f>'DCu-CLBD'!J156</f>
        <v>170.98423676923082</v>
      </c>
      <c r="I81" s="826">
        <f>'VL-CLBD'!H71</f>
        <v>5611.8959999999997</v>
      </c>
      <c r="J81" s="826">
        <f>'TBI-CLBD'!I116</f>
        <v>188.3064</v>
      </c>
      <c r="K81" s="826">
        <f>'NL-CLBD'!F62</f>
        <v>340.63679999999999</v>
      </c>
      <c r="L81" s="826" t="e">
        <f>SUM(E81:K81)</f>
        <v>#VALUE!</v>
      </c>
      <c r="M81" s="826" t="e">
        <f>L81*'He so chung'!$D$17/100</f>
        <v>#VALUE!</v>
      </c>
      <c r="N81" s="849" t="e">
        <f>M81+L81</f>
        <v>#VALUE!</v>
      </c>
      <c r="O81" s="849"/>
      <c r="P81" s="850">
        <f>'He so chung'!$D$21*S81</f>
        <v>200.42730769230766</v>
      </c>
      <c r="Q81" s="851">
        <f>'He so chung'!$D$22*S81</f>
        <v>174.28461538461536</v>
      </c>
      <c r="R81" s="852">
        <f>'He so chung'!$D$23*S81</f>
        <v>26.142692307692304</v>
      </c>
      <c r="S81" s="853">
        <f>'NC-CLBD'!H54/100</f>
        <v>3.2599999999999997E-2</v>
      </c>
      <c r="T81" s="849" t="e">
        <f>'[1]IV. DONGIA CHỈNH LÝ'!N80</f>
        <v>#VALUE!</v>
      </c>
      <c r="U81" s="849" t="e">
        <f t="shared" si="9"/>
        <v>#VALUE!</v>
      </c>
      <c r="W81" s="854"/>
    </row>
    <row r="82" spans="1:23" s="830" customFormat="1" ht="18" customHeight="1">
      <c r="A82" s="331"/>
      <c r="B82" s="848"/>
      <c r="C82" s="586"/>
      <c r="D82" s="331">
        <v>2</v>
      </c>
      <c r="E82" s="843" t="e">
        <f>'NC-CLBD'!I56/100</f>
        <v>#VALUE!</v>
      </c>
      <c r="F82" s="826"/>
      <c r="G82" s="826">
        <f>$R$1*10*Q82</f>
        <v>0</v>
      </c>
      <c r="H82" s="826">
        <f>'DCu-CLBD'!J157</f>
        <v>213.7302959615385</v>
      </c>
      <c r="I82" s="826">
        <f>$I$81</f>
        <v>5611.8959999999997</v>
      </c>
      <c r="J82" s="826">
        <f>'TBI-CLBD'!K116</f>
        <v>204.458</v>
      </c>
      <c r="K82" s="826">
        <f>'NL-CLBD'!H62</f>
        <v>368.60879999999997</v>
      </c>
      <c r="L82" s="826" t="e">
        <f>SUM(E82:K82)</f>
        <v>#VALUE!</v>
      </c>
      <c r="M82" s="826" t="e">
        <f>L82*'He so chung'!$D$17/100</f>
        <v>#VALUE!</v>
      </c>
      <c r="N82" s="849" t="e">
        <f>M82+L82</f>
        <v>#VALUE!</v>
      </c>
      <c r="O82" s="849"/>
      <c r="P82" s="850">
        <f>'He so chung'!$D$21*S82</f>
        <v>249.61192307692306</v>
      </c>
      <c r="Q82" s="851">
        <f>'He so chung'!$D$22*S82</f>
        <v>217.05384615384611</v>
      </c>
      <c r="R82" s="852">
        <f>'He so chung'!$D$23*S82</f>
        <v>32.558076923076918</v>
      </c>
      <c r="S82" s="853">
        <f>'NC-CLBD'!H56/100</f>
        <v>4.0599999999999997E-2</v>
      </c>
      <c r="T82" s="849" t="e">
        <f>'[1]IV. DONGIA CHỈNH LÝ'!N81</f>
        <v>#VALUE!</v>
      </c>
      <c r="U82" s="849" t="e">
        <f t="shared" si="9"/>
        <v>#VALUE!</v>
      </c>
      <c r="W82" s="854"/>
    </row>
    <row r="83" spans="1:23" s="830" customFormat="1" ht="18" customHeight="1">
      <c r="A83" s="331"/>
      <c r="B83" s="848"/>
      <c r="C83" s="586"/>
      <c r="D83" s="331">
        <v>3</v>
      </c>
      <c r="E83" s="843" t="e">
        <f>'NC-CLBD'!I58/100</f>
        <v>#VALUE!</v>
      </c>
      <c r="F83" s="826"/>
      <c r="G83" s="826">
        <f>$R$1*10*Q83</f>
        <v>0</v>
      </c>
      <c r="H83" s="826">
        <f>'DCu-CLBD'!J158</f>
        <v>284.97372794871802</v>
      </c>
      <c r="I83" s="826">
        <f>$I$81</f>
        <v>5611.8959999999997</v>
      </c>
      <c r="J83" s="826">
        <f>'TBI-CLBD'!M116</f>
        <v>232.25959999999998</v>
      </c>
      <c r="K83" s="826">
        <f>'NL-CLBD'!J62</f>
        <v>419.89080000000001</v>
      </c>
      <c r="L83" s="826" t="e">
        <f>SUM(E83:K83)</f>
        <v>#VALUE!</v>
      </c>
      <c r="M83" s="826" t="e">
        <f>L83*'He so chung'!$D$17/100</f>
        <v>#VALUE!</v>
      </c>
      <c r="N83" s="849" t="e">
        <f>M83+L83</f>
        <v>#VALUE!</v>
      </c>
      <c r="O83" s="849"/>
      <c r="P83" s="850">
        <f>'He so chung'!$D$21*S83</f>
        <v>266.82653846153846</v>
      </c>
      <c r="Q83" s="851">
        <f>'He so chung'!$D$22*S83</f>
        <v>232.0230769230769</v>
      </c>
      <c r="R83" s="852">
        <f>'He so chung'!$D$23*S83</f>
        <v>34.803461538461541</v>
      </c>
      <c r="S83" s="853">
        <f>'NC-CLBD'!H58/100</f>
        <v>4.3400000000000001E-2</v>
      </c>
      <c r="T83" s="849" t="e">
        <f>'[1]IV. DONGIA CHỈNH LÝ'!N82</f>
        <v>#VALUE!</v>
      </c>
      <c r="U83" s="849" t="e">
        <f t="shared" si="9"/>
        <v>#VALUE!</v>
      </c>
      <c r="W83" s="854"/>
    </row>
    <row r="84" spans="1:23" s="830" customFormat="1" ht="18" customHeight="1">
      <c r="A84" s="331"/>
      <c r="B84" s="848"/>
      <c r="C84" s="586"/>
      <c r="D84" s="331">
        <v>4</v>
      </c>
      <c r="E84" s="843" t="e">
        <f>'NC-CLBD'!I60/100</f>
        <v>#VALUE!</v>
      </c>
      <c r="F84" s="826"/>
      <c r="G84" s="826">
        <f>$R$1*10*Q84</f>
        <v>0</v>
      </c>
      <c r="H84" s="826">
        <f>'DCu-CLBD'!J159</f>
        <v>384.71453273076935</v>
      </c>
      <c r="I84" s="826">
        <f>$I$81</f>
        <v>5611.8959999999997</v>
      </c>
      <c r="J84" s="826">
        <f>'TBI-CLBD'!O116</f>
        <v>271.1112</v>
      </c>
      <c r="K84" s="826">
        <f>'NL-CLBD'!L62</f>
        <v>488.42220000000003</v>
      </c>
      <c r="L84" s="826" t="e">
        <f>SUM(E84:K84)</f>
        <v>#VALUE!</v>
      </c>
      <c r="M84" s="826" t="e">
        <f>L84*'He so chung'!$D$17/100</f>
        <v>#VALUE!</v>
      </c>
      <c r="N84" s="849" t="e">
        <f>M84+L84</f>
        <v>#VALUE!</v>
      </c>
      <c r="O84" s="849"/>
      <c r="P84" s="850">
        <f>'He so chung'!$D$21*S84</f>
        <v>450.03923076923076</v>
      </c>
      <c r="Q84" s="851">
        <f>'He so chung'!$D$22*S84</f>
        <v>391.3384615384615</v>
      </c>
      <c r="R84" s="852">
        <f>'He so chung'!$D$23*S84</f>
        <v>58.700769230769232</v>
      </c>
      <c r="S84" s="853">
        <f>'NC-CLBD'!H60/100</f>
        <v>7.3200000000000001E-2</v>
      </c>
      <c r="T84" s="849" t="e">
        <f>'[1]IV. DONGIA CHỈNH LÝ'!N83</f>
        <v>#VALUE!</v>
      </c>
      <c r="U84" s="849" t="e">
        <f t="shared" si="9"/>
        <v>#VALUE!</v>
      </c>
      <c r="W84" s="854"/>
    </row>
    <row r="85" spans="1:23" s="830" customFormat="1" ht="18" customHeight="1">
      <c r="A85" s="331"/>
      <c r="B85" s="848"/>
      <c r="C85" s="586"/>
      <c r="D85" s="331" t="s">
        <v>13</v>
      </c>
      <c r="E85" s="843" t="e">
        <f>'NC-CLBD'!I62/100</f>
        <v>#VALUE!</v>
      </c>
      <c r="F85" s="826"/>
      <c r="G85" s="826">
        <f>$R$1*10*Q85</f>
        <v>0</v>
      </c>
      <c r="H85" s="826">
        <f>'DCu-CLBD'!J160</f>
        <v>498.70402391025652</v>
      </c>
      <c r="I85" s="826">
        <f>$I$81</f>
        <v>5611.8959999999997</v>
      </c>
      <c r="J85" s="826">
        <f>'TBI-CLBD'!Q116</f>
        <v>309.6728</v>
      </c>
      <c r="K85" s="826">
        <f>'NL-CLBD'!N62</f>
        <v>558.35220000000004</v>
      </c>
      <c r="L85" s="826" t="e">
        <f>SUM(E85:K85)</f>
        <v>#VALUE!</v>
      </c>
      <c r="M85" s="826" t="e">
        <f>L85*'He so chung'!$D$17/100</f>
        <v>#VALUE!</v>
      </c>
      <c r="N85" s="849" t="e">
        <f>M85+L85</f>
        <v>#VALUE!</v>
      </c>
      <c r="O85" s="849"/>
      <c r="P85" s="850">
        <f>'He so chung'!$D$21*S85</f>
        <v>566.85269230769234</v>
      </c>
      <c r="Q85" s="851">
        <f>'He so chung'!$D$22*S85</f>
        <v>492.9153846153846</v>
      </c>
      <c r="R85" s="852">
        <f>'He so chung'!$D$23*S85</f>
        <v>73.937307692307698</v>
      </c>
      <c r="S85" s="853">
        <f>'NC-CLBD'!H62/100</f>
        <v>9.2200000000000004E-2</v>
      </c>
      <c r="T85" s="849" t="e">
        <f>'[1]IV. DONGIA CHỈNH LÝ'!N84</f>
        <v>#VALUE!</v>
      </c>
      <c r="U85" s="849" t="e">
        <f t="shared" si="9"/>
        <v>#VALUE!</v>
      </c>
      <c r="W85" s="854"/>
    </row>
    <row r="86" spans="1:23" s="830" customFormat="1" ht="18" customHeight="1">
      <c r="A86" s="848"/>
      <c r="B86" s="848"/>
      <c r="C86" s="848"/>
      <c r="D86" s="331"/>
      <c r="E86" s="843"/>
      <c r="F86" s="826"/>
      <c r="G86" s="826"/>
      <c r="H86" s="826"/>
      <c r="I86" s="826"/>
      <c r="J86" s="826"/>
      <c r="K86" s="826"/>
      <c r="L86" s="826"/>
      <c r="M86" s="826"/>
      <c r="N86" s="849"/>
      <c r="O86" s="849"/>
      <c r="P86" s="850"/>
      <c r="Q86" s="851"/>
      <c r="R86" s="852"/>
      <c r="S86" s="853"/>
      <c r="T86" s="849">
        <f>'[1]IV. DONGIA CHỈNH LÝ'!N85</f>
        <v>0</v>
      </c>
      <c r="U86" s="849">
        <f t="shared" si="9"/>
        <v>0</v>
      </c>
      <c r="W86" s="854"/>
    </row>
    <row r="87" spans="1:23" s="830" customFormat="1" ht="18" customHeight="1">
      <c r="A87" s="331" t="s">
        <v>11</v>
      </c>
      <c r="B87" s="848" t="s">
        <v>384</v>
      </c>
      <c r="C87" s="586" t="s">
        <v>278</v>
      </c>
      <c r="D87" s="331" t="s">
        <v>476</v>
      </c>
      <c r="E87" s="843" t="e">
        <f>'NC-CLBD'!I64/100</f>
        <v>#VALUE!</v>
      </c>
      <c r="F87" s="826"/>
      <c r="G87" s="826">
        <f>$R$1*10*Q87</f>
        <v>0</v>
      </c>
      <c r="H87" s="826"/>
      <c r="I87" s="826"/>
      <c r="J87" s="826"/>
      <c r="K87" s="826"/>
      <c r="L87" s="826" t="e">
        <f>SUM(E87:K87)</f>
        <v>#VALUE!</v>
      </c>
      <c r="M87" s="826" t="e">
        <f>L87*'He so chung'!$D$17/100</f>
        <v>#VALUE!</v>
      </c>
      <c r="N87" s="849" t="e">
        <f>M87+L87</f>
        <v>#VALUE!</v>
      </c>
      <c r="O87" s="849"/>
      <c r="P87" s="850">
        <f>'He so chung'!$D$21*S87</f>
        <v>184.44230769230768</v>
      </c>
      <c r="Q87" s="851">
        <f>'He so chung'!$D$22*S87</f>
        <v>160.38461538461536</v>
      </c>
      <c r="R87" s="852">
        <f>'He so chung'!$D$23*S87</f>
        <v>24.057692307692307</v>
      </c>
      <c r="S87" s="853">
        <f>'NC-CLBD'!H64/100</f>
        <v>0.03</v>
      </c>
      <c r="T87" s="849" t="e">
        <f>'[1]IV. DONGIA CHỈNH LÝ'!N86</f>
        <v>#VALUE!</v>
      </c>
      <c r="U87" s="849" t="e">
        <f t="shared" si="9"/>
        <v>#VALUE!</v>
      </c>
      <c r="W87" s="854"/>
    </row>
    <row r="88" spans="1:23" s="830" customFormat="1" ht="18" customHeight="1">
      <c r="A88" s="331"/>
      <c r="B88" s="848" t="s">
        <v>387</v>
      </c>
      <c r="C88" s="586"/>
      <c r="D88" s="331"/>
      <c r="E88" s="843"/>
      <c r="F88" s="826"/>
      <c r="G88" s="826"/>
      <c r="H88" s="826"/>
      <c r="I88" s="826"/>
      <c r="J88" s="826"/>
      <c r="K88" s="826"/>
      <c r="L88" s="826"/>
      <c r="M88" s="826"/>
      <c r="N88" s="849"/>
      <c r="O88" s="849"/>
      <c r="P88" s="850"/>
      <c r="Q88" s="851"/>
      <c r="R88" s="852"/>
      <c r="S88" s="853"/>
      <c r="T88" s="849">
        <f>'[1]IV. DONGIA CHỈNH LÝ'!N87</f>
        <v>0</v>
      </c>
      <c r="U88" s="849">
        <f t="shared" si="9"/>
        <v>0</v>
      </c>
      <c r="W88" s="854"/>
    </row>
    <row r="89" spans="1:23" s="830" customFormat="1" ht="18" customHeight="1">
      <c r="A89" s="331"/>
      <c r="B89" s="848"/>
      <c r="C89" s="586"/>
      <c r="D89" s="331"/>
      <c r="E89" s="843"/>
      <c r="F89" s="826"/>
      <c r="G89" s="826"/>
      <c r="H89" s="826"/>
      <c r="I89" s="826"/>
      <c r="J89" s="826"/>
      <c r="K89" s="826"/>
      <c r="L89" s="826"/>
      <c r="M89" s="826"/>
      <c r="N89" s="849"/>
      <c r="O89" s="849"/>
      <c r="P89" s="850"/>
      <c r="Q89" s="851"/>
      <c r="R89" s="852"/>
      <c r="S89" s="856"/>
      <c r="T89" s="849">
        <f>'[1]IV. DONGIA CHỈNH LÝ'!N88</f>
        <v>0</v>
      </c>
      <c r="U89" s="849">
        <f t="shared" si="9"/>
        <v>0</v>
      </c>
      <c r="W89" s="854"/>
    </row>
    <row r="90" spans="1:23" s="830" customFormat="1" ht="18" customHeight="1">
      <c r="A90" s="331" t="s">
        <v>12</v>
      </c>
      <c r="B90" s="848" t="s">
        <v>363</v>
      </c>
      <c r="C90" s="586" t="s">
        <v>278</v>
      </c>
      <c r="D90" s="331" t="s">
        <v>476</v>
      </c>
      <c r="E90" s="843" t="e">
        <f>'NC-CLBD'!I67/100</f>
        <v>#VALUE!</v>
      </c>
      <c r="F90" s="826"/>
      <c r="G90" s="826">
        <f>$R$1*10*Q90</f>
        <v>0</v>
      </c>
      <c r="H90" s="826">
        <f>'DCu-CLBD'!J186</f>
        <v>184.59746666666666</v>
      </c>
      <c r="I90" s="826">
        <f>'VL-CLBD'!H92</f>
        <v>1232.28</v>
      </c>
      <c r="J90" s="826">
        <f>'TBI-CLBD'!I155</f>
        <v>105.78</v>
      </c>
      <c r="K90" s="826">
        <f>'NL-CLBD'!F86</f>
        <v>191.142</v>
      </c>
      <c r="L90" s="826" t="e">
        <f>SUM(E90:K90)</f>
        <v>#VALUE!</v>
      </c>
      <c r="M90" s="826" t="e">
        <f>L90*'He so chung'!$D$17/100</f>
        <v>#VALUE!</v>
      </c>
      <c r="N90" s="849" t="e">
        <f>M90+L90</f>
        <v>#VALUE!</v>
      </c>
      <c r="O90" s="849"/>
      <c r="P90" s="850">
        <f>'He so chung'!$D$21*S90</f>
        <v>159.85000000000002</v>
      </c>
      <c r="Q90" s="851">
        <f>'He so chung'!$D$22*S90</f>
        <v>139</v>
      </c>
      <c r="R90" s="852">
        <f>'He so chung'!$D$23*S90</f>
        <v>20.85</v>
      </c>
      <c r="S90" s="853">
        <f>'NC-CLBD'!H67/100</f>
        <v>2.6000000000000002E-2</v>
      </c>
      <c r="T90" s="849" t="e">
        <f>'[1]IV. DONGIA CHỈNH LÝ'!N89</f>
        <v>#VALUE!</v>
      </c>
      <c r="U90" s="849" t="e">
        <f t="shared" si="9"/>
        <v>#VALUE!</v>
      </c>
      <c r="W90" s="854"/>
    </row>
    <row r="91" spans="1:23" s="830" customFormat="1" ht="18" customHeight="1">
      <c r="A91" s="331"/>
      <c r="B91" s="848"/>
      <c r="C91" s="855"/>
      <c r="D91" s="331"/>
      <c r="E91" s="843"/>
      <c r="F91" s="826"/>
      <c r="G91" s="826"/>
      <c r="H91" s="826"/>
      <c r="I91" s="826"/>
      <c r="J91" s="826"/>
      <c r="K91" s="826"/>
      <c r="L91" s="826"/>
      <c r="M91" s="826"/>
      <c r="N91" s="849"/>
      <c r="O91" s="849"/>
      <c r="P91" s="850"/>
      <c r="Q91" s="851"/>
      <c r="R91" s="852"/>
      <c r="S91" s="856"/>
      <c r="T91" s="849">
        <f>'[1]IV. DONGIA CHỈNH LÝ'!N90</f>
        <v>0</v>
      </c>
      <c r="U91" s="849">
        <f t="shared" si="9"/>
        <v>0</v>
      </c>
      <c r="W91" s="854"/>
    </row>
    <row r="92" spans="1:23" s="830" customFormat="1" ht="18" customHeight="1">
      <c r="A92" s="331" t="s">
        <v>13</v>
      </c>
      <c r="B92" s="848" t="s">
        <v>491</v>
      </c>
      <c r="C92" s="586" t="s">
        <v>1</v>
      </c>
      <c r="D92" s="331" t="s">
        <v>476</v>
      </c>
      <c r="E92" s="843" t="e">
        <f>'NC-CLBD'!I69/6.25</f>
        <v>#VALUE!</v>
      </c>
      <c r="F92" s="826"/>
      <c r="G92" s="826">
        <f>$R$1*10*Q92</f>
        <v>0</v>
      </c>
      <c r="H92" s="826">
        <f>'DCu-CLBD'!J209</f>
        <v>1449.0254871794875</v>
      </c>
      <c r="I92" s="826">
        <f>'VL-CLBD'!H112</f>
        <v>25695.360000000001</v>
      </c>
      <c r="J92" s="826">
        <f>'TBI-CLBD'!I174</f>
        <v>560</v>
      </c>
      <c r="K92" s="826">
        <f>'NL-CLBD'!F97</f>
        <v>745.92</v>
      </c>
      <c r="L92" s="826" t="e">
        <f>SUM(E92:K92)</f>
        <v>#VALUE!</v>
      </c>
      <c r="M92" s="826" t="e">
        <f>L92*'He so chung'!$D$17/100</f>
        <v>#VALUE!</v>
      </c>
      <c r="N92" s="849" t="e">
        <f>M92+L92</f>
        <v>#VALUE!</v>
      </c>
      <c r="O92" s="849"/>
      <c r="P92" s="850">
        <f>'He so chung'!$D$21*S92</f>
        <v>590.21538461538466</v>
      </c>
      <c r="Q92" s="851">
        <f>'He so chung'!$D$22*S92</f>
        <v>513.23076923076917</v>
      </c>
      <c r="R92" s="852">
        <f>'He so chung'!$D$23*S92</f>
        <v>76.984615384615381</v>
      </c>
      <c r="S92" s="856">
        <f>'NC-CLBD'!H69/6.25</f>
        <v>9.6000000000000002E-2</v>
      </c>
      <c r="T92" s="849" t="e">
        <f>'[1]IV. DONGIA CHỈNH LÝ'!N91</f>
        <v>#VALUE!</v>
      </c>
      <c r="U92" s="849" t="e">
        <f t="shared" si="9"/>
        <v>#VALUE!</v>
      </c>
      <c r="W92" s="854"/>
    </row>
    <row r="93" spans="1:23" s="830" customFormat="1" ht="18" customHeight="1">
      <c r="A93" s="857"/>
      <c r="B93" s="858"/>
      <c r="C93" s="855"/>
      <c r="D93" s="331"/>
      <c r="E93" s="843"/>
      <c r="F93" s="826"/>
      <c r="G93" s="826"/>
      <c r="H93" s="826"/>
      <c r="I93" s="826"/>
      <c r="J93" s="826"/>
      <c r="K93" s="826"/>
      <c r="L93" s="826"/>
      <c r="M93" s="826"/>
      <c r="N93" s="849"/>
      <c r="O93" s="849"/>
      <c r="P93" s="850"/>
      <c r="Q93" s="851"/>
      <c r="R93" s="852"/>
      <c r="S93" s="856"/>
      <c r="T93" s="849">
        <f>'[1]IV. DONGIA CHỈNH LÝ'!N92</f>
        <v>0</v>
      </c>
      <c r="U93" s="849">
        <f t="shared" si="9"/>
        <v>0</v>
      </c>
      <c r="W93" s="854"/>
    </row>
    <row r="94" spans="1:23" s="830" customFormat="1" ht="18" customHeight="1">
      <c r="A94" s="331" t="s">
        <v>14</v>
      </c>
      <c r="B94" s="848" t="s">
        <v>365</v>
      </c>
      <c r="C94" s="586" t="s">
        <v>1</v>
      </c>
      <c r="D94" s="331" t="s">
        <v>476</v>
      </c>
      <c r="E94" s="843" t="e">
        <f>'NC-CLBD'!I71/6.25</f>
        <v>#VALUE!</v>
      </c>
      <c r="F94" s="826"/>
      <c r="G94" s="826">
        <f>$R$1*10*Q94</f>
        <v>0</v>
      </c>
      <c r="H94" s="826">
        <f>'DCu-CLBD'!J209</f>
        <v>1449.0254871794875</v>
      </c>
      <c r="I94" s="826">
        <f>'VL-CLBD'!H112</f>
        <v>25695.360000000001</v>
      </c>
      <c r="J94" s="826"/>
      <c r="K94" s="826"/>
      <c r="L94" s="826" t="e">
        <f>SUM(E94:K94)</f>
        <v>#VALUE!</v>
      </c>
      <c r="M94" s="826" t="e">
        <f>L94*'He so chung'!$D$17/100</f>
        <v>#VALUE!</v>
      </c>
      <c r="N94" s="849" t="e">
        <f>M94+L94</f>
        <v>#VALUE!</v>
      </c>
      <c r="O94" s="849"/>
      <c r="P94" s="850">
        <f>'He so chung'!$D$21*S94</f>
        <v>590.21538461538466</v>
      </c>
      <c r="Q94" s="851">
        <f>'He so chung'!$D$22*S94</f>
        <v>513.23076923076917</v>
      </c>
      <c r="R94" s="852">
        <f>'He so chung'!$D$23*S94</f>
        <v>76.984615384615381</v>
      </c>
      <c r="S94" s="856">
        <f>'NC-CLBD'!H71/6.25</f>
        <v>9.6000000000000002E-2</v>
      </c>
      <c r="T94" s="849" t="e">
        <f>'[1]IV. DONGIA CHỈNH LÝ'!N93</f>
        <v>#VALUE!</v>
      </c>
      <c r="U94" s="849" t="e">
        <f t="shared" si="9"/>
        <v>#VALUE!</v>
      </c>
      <c r="W94" s="854"/>
    </row>
    <row r="95" spans="1:23" s="830" customFormat="1" ht="18" customHeight="1">
      <c r="A95" s="331"/>
      <c r="B95" s="848"/>
      <c r="C95" s="855"/>
      <c r="D95" s="331"/>
      <c r="E95" s="843"/>
      <c r="F95" s="826"/>
      <c r="G95" s="826"/>
      <c r="H95" s="826"/>
      <c r="I95" s="826"/>
      <c r="J95" s="826"/>
      <c r="K95" s="826"/>
      <c r="L95" s="826"/>
      <c r="M95" s="826"/>
      <c r="N95" s="849"/>
      <c r="O95" s="849"/>
      <c r="P95" s="850"/>
      <c r="Q95" s="851"/>
      <c r="R95" s="852"/>
      <c r="S95" s="856"/>
      <c r="T95" s="849">
        <f>'[1]IV. DONGIA CHỈNH LÝ'!N94</f>
        <v>0</v>
      </c>
      <c r="U95" s="849">
        <f t="shared" si="9"/>
        <v>0</v>
      </c>
      <c r="W95" s="854"/>
    </row>
    <row r="96" spans="1:23" s="830" customFormat="1" ht="18" customHeight="1">
      <c r="A96" s="331" t="s">
        <v>85</v>
      </c>
      <c r="B96" s="848" t="s">
        <v>366</v>
      </c>
      <c r="C96" s="586" t="s">
        <v>1</v>
      </c>
      <c r="D96" s="331" t="s">
        <v>476</v>
      </c>
      <c r="E96" s="843" t="e">
        <f>'NC-CLBD'!I73/6.25</f>
        <v>#VALUE!</v>
      </c>
      <c r="F96" s="826"/>
      <c r="G96" s="826">
        <f>$R$1*10*Q96</f>
        <v>0</v>
      </c>
      <c r="H96" s="826">
        <f>'DCu-CLBD'!J209</f>
        <v>1449.0254871794875</v>
      </c>
      <c r="I96" s="826">
        <f>'VL-CLBD'!H112</f>
        <v>25695.360000000001</v>
      </c>
      <c r="J96" s="826"/>
      <c r="K96" s="826"/>
      <c r="L96" s="826" t="e">
        <f>SUM(E96:K96)</f>
        <v>#VALUE!</v>
      </c>
      <c r="M96" s="826" t="e">
        <f>L96*'He so chung'!$D$17/100</f>
        <v>#VALUE!</v>
      </c>
      <c r="N96" s="849" t="e">
        <f>M96+L96</f>
        <v>#VALUE!</v>
      </c>
      <c r="O96" s="849"/>
      <c r="P96" s="850">
        <f>'He so chung'!$D$21*S96</f>
        <v>1239.4523076923076</v>
      </c>
      <c r="Q96" s="851">
        <f>'He so chung'!$D$22*S96</f>
        <v>1077.7846153846153</v>
      </c>
      <c r="R96" s="852">
        <f>'He so chung'!$D$23*S96</f>
        <v>161.66769230769231</v>
      </c>
      <c r="S96" s="856">
        <f>'NC-CLBD'!H73/6.25</f>
        <v>0.2016</v>
      </c>
      <c r="T96" s="849" t="e">
        <f>'[1]IV. DONGIA CHỈNH LÝ'!N95</f>
        <v>#VALUE!</v>
      </c>
      <c r="U96" s="849" t="e">
        <f t="shared" si="9"/>
        <v>#VALUE!</v>
      </c>
      <c r="W96" s="854"/>
    </row>
    <row r="97" spans="1:23" s="830" customFormat="1" ht="18" hidden="1" customHeight="1">
      <c r="A97" s="331"/>
      <c r="B97" s="848"/>
      <c r="C97" s="586"/>
      <c r="D97" s="331"/>
      <c r="E97" s="843"/>
      <c r="F97" s="826"/>
      <c r="G97" s="826"/>
      <c r="H97" s="826"/>
      <c r="I97" s="826"/>
      <c r="J97" s="826"/>
      <c r="K97" s="826"/>
      <c r="L97" s="826"/>
      <c r="M97" s="826"/>
      <c r="N97" s="849"/>
      <c r="O97" s="849"/>
      <c r="P97" s="850"/>
      <c r="Q97" s="859"/>
      <c r="R97" s="860"/>
      <c r="S97" s="861"/>
      <c r="T97" s="849">
        <f>'[1]IV. DONGIA CHỈNH LÝ'!N96</f>
        <v>0</v>
      </c>
      <c r="U97" s="849">
        <f t="shared" si="9"/>
        <v>0</v>
      </c>
      <c r="W97" s="854"/>
    </row>
    <row r="98" spans="1:23" s="830" customFormat="1" ht="18" customHeight="1">
      <c r="A98" s="857"/>
      <c r="B98" s="858"/>
      <c r="C98" s="855"/>
      <c r="D98" s="331"/>
      <c r="E98" s="843"/>
      <c r="F98" s="826"/>
      <c r="G98" s="826"/>
      <c r="H98" s="826"/>
      <c r="I98" s="826"/>
      <c r="J98" s="826"/>
      <c r="K98" s="826"/>
      <c r="L98" s="826"/>
      <c r="M98" s="826"/>
      <c r="N98" s="826"/>
      <c r="O98" s="826"/>
      <c r="P98" s="850"/>
      <c r="Q98" s="894"/>
      <c r="R98" s="894"/>
      <c r="S98" s="895"/>
      <c r="T98" s="849">
        <f>'[1]IV. DONGIA CHỈNH LÝ'!N97</f>
        <v>0</v>
      </c>
      <c r="U98" s="849">
        <f t="shared" si="9"/>
        <v>0</v>
      </c>
      <c r="W98" s="854"/>
    </row>
    <row r="99" spans="1:23" s="830" customFormat="1" ht="18" customHeight="1">
      <c r="A99" s="896"/>
      <c r="B99" s="842" t="s">
        <v>389</v>
      </c>
      <c r="C99" s="897"/>
      <c r="D99" s="841"/>
      <c r="E99" s="862"/>
      <c r="F99" s="842"/>
      <c r="G99" s="842"/>
      <c r="H99" s="842"/>
      <c r="I99" s="842"/>
      <c r="J99" s="842"/>
      <c r="K99" s="842"/>
      <c r="L99" s="842"/>
      <c r="M99" s="842"/>
      <c r="N99" s="842"/>
      <c r="O99" s="842"/>
      <c r="P99" s="863"/>
      <c r="Q99" s="864"/>
      <c r="R99" s="865"/>
      <c r="S99" s="866"/>
      <c r="T99" s="849">
        <f>'[1]IV. DONGIA CHỈNH LÝ'!N98</f>
        <v>0</v>
      </c>
      <c r="U99" s="849">
        <f t="shared" si="9"/>
        <v>0</v>
      </c>
      <c r="W99" s="854"/>
    </row>
    <row r="100" spans="1:23" s="830" customFormat="1" ht="18" customHeight="1">
      <c r="A100" s="1006" t="s">
        <v>3</v>
      </c>
      <c r="B100" s="1009" t="s">
        <v>492</v>
      </c>
      <c r="C100" s="1007" t="s">
        <v>1</v>
      </c>
      <c r="D100" s="868" t="s">
        <v>9</v>
      </c>
      <c r="E100" s="869" t="e">
        <f t="shared" ref="E100:R100" si="10">E60+E$92+E$94+E$96</f>
        <v>#VALUE!</v>
      </c>
      <c r="F100" s="849">
        <f t="shared" si="10"/>
        <v>0</v>
      </c>
      <c r="G100" s="849">
        <f t="shared" si="10"/>
        <v>0</v>
      </c>
      <c r="H100" s="849">
        <f t="shared" si="10"/>
        <v>8486.273384615386</v>
      </c>
      <c r="I100" s="849">
        <f t="shared" si="10"/>
        <v>89095.679999999993</v>
      </c>
      <c r="J100" s="849">
        <f t="shared" si="10"/>
        <v>560</v>
      </c>
      <c r="K100" s="849">
        <f t="shared" si="10"/>
        <v>745.92</v>
      </c>
      <c r="L100" s="849" t="e">
        <f t="shared" si="10"/>
        <v>#VALUE!</v>
      </c>
      <c r="M100" s="849" t="e">
        <f t="shared" si="10"/>
        <v>#VALUE!</v>
      </c>
      <c r="N100" s="849" t="e">
        <f t="shared" si="10"/>
        <v>#VALUE!</v>
      </c>
      <c r="O100" s="849"/>
      <c r="P100" s="849">
        <f t="shared" si="10"/>
        <v>11871.883076923077</v>
      </c>
      <c r="Q100" s="870">
        <f t="shared" si="10"/>
        <v>9665.8461538461524</v>
      </c>
      <c r="R100" s="870">
        <f t="shared" si="10"/>
        <v>2206.0369230769234</v>
      </c>
      <c r="S100" s="870"/>
      <c r="T100" s="849" t="e">
        <f>'[1]IV. DONGIA CHỈNH LÝ'!N99</f>
        <v>#VALUE!</v>
      </c>
      <c r="U100" s="849" t="e">
        <f t="shared" si="9"/>
        <v>#VALUE!</v>
      </c>
      <c r="W100" s="854"/>
    </row>
    <row r="101" spans="1:23" s="830" customFormat="1" ht="18" customHeight="1">
      <c r="A101" s="1006"/>
      <c r="B101" s="1009"/>
      <c r="C101" s="1007"/>
      <c r="D101" s="868" t="s">
        <v>10</v>
      </c>
      <c r="E101" s="869" t="e">
        <f t="shared" ref="E101:R101" si="11">E61+E$92+E$94+E$96</f>
        <v>#VALUE!</v>
      </c>
      <c r="F101" s="849">
        <f t="shared" si="11"/>
        <v>0</v>
      </c>
      <c r="G101" s="849">
        <f t="shared" si="11"/>
        <v>0</v>
      </c>
      <c r="H101" s="849">
        <f t="shared" si="11"/>
        <v>9521.0726153846172</v>
      </c>
      <c r="I101" s="849">
        <f t="shared" si="11"/>
        <v>89095.679999999993</v>
      </c>
      <c r="J101" s="849">
        <f t="shared" si="11"/>
        <v>560</v>
      </c>
      <c r="K101" s="849">
        <f t="shared" si="11"/>
        <v>745.92</v>
      </c>
      <c r="L101" s="849" t="e">
        <f t="shared" si="11"/>
        <v>#VALUE!</v>
      </c>
      <c r="M101" s="849" t="e">
        <f t="shared" si="11"/>
        <v>#VALUE!</v>
      </c>
      <c r="N101" s="849" t="e">
        <f t="shared" si="11"/>
        <v>#VALUE!</v>
      </c>
      <c r="O101" s="849"/>
      <c r="P101" s="849">
        <f t="shared" si="11"/>
        <v>14694.652307692308</v>
      </c>
      <c r="Q101" s="870">
        <f t="shared" si="11"/>
        <v>11924.061538461538</v>
      </c>
      <c r="R101" s="870">
        <f t="shared" si="11"/>
        <v>2770.5907692307696</v>
      </c>
      <c r="S101" s="870"/>
      <c r="T101" s="849" t="e">
        <f>'[1]IV. DONGIA CHỈNH LÝ'!N100</f>
        <v>#VALUE!</v>
      </c>
      <c r="U101" s="849" t="e">
        <f t="shared" si="9"/>
        <v>#VALUE!</v>
      </c>
      <c r="W101" s="854"/>
    </row>
    <row r="102" spans="1:23" s="830" customFormat="1" ht="18" customHeight="1">
      <c r="A102" s="1006"/>
      <c r="B102" s="1009"/>
      <c r="C102" s="1007"/>
      <c r="D102" s="868" t="s">
        <v>11</v>
      </c>
      <c r="E102" s="869" t="e">
        <f t="shared" ref="E102:R102" si="12">E62+E$92+E$94+E$96</f>
        <v>#VALUE!</v>
      </c>
      <c r="F102" s="849">
        <f t="shared" si="12"/>
        <v>0</v>
      </c>
      <c r="G102" s="849">
        <f t="shared" si="12"/>
        <v>0</v>
      </c>
      <c r="H102" s="849">
        <f t="shared" si="12"/>
        <v>11245.738000000001</v>
      </c>
      <c r="I102" s="849">
        <f t="shared" si="12"/>
        <v>89095.679999999993</v>
      </c>
      <c r="J102" s="849">
        <f t="shared" si="12"/>
        <v>560</v>
      </c>
      <c r="K102" s="849">
        <f t="shared" si="12"/>
        <v>745.92</v>
      </c>
      <c r="L102" s="849" t="e">
        <f t="shared" si="12"/>
        <v>#VALUE!</v>
      </c>
      <c r="M102" s="849" t="e">
        <f t="shared" si="12"/>
        <v>#VALUE!</v>
      </c>
      <c r="N102" s="849" t="e">
        <f t="shared" si="12"/>
        <v>#VALUE!</v>
      </c>
      <c r="O102" s="849"/>
      <c r="P102" s="849">
        <f t="shared" si="12"/>
        <v>18394.190769230769</v>
      </c>
      <c r="Q102" s="870">
        <f t="shared" si="12"/>
        <v>14883.692307692307</v>
      </c>
      <c r="R102" s="870">
        <f t="shared" si="12"/>
        <v>3510.4984615384624</v>
      </c>
      <c r="S102" s="870"/>
      <c r="T102" s="849" t="e">
        <f>'[1]IV. DONGIA CHỈNH LÝ'!N101</f>
        <v>#VALUE!</v>
      </c>
      <c r="U102" s="849" t="e">
        <f t="shared" si="9"/>
        <v>#VALUE!</v>
      </c>
      <c r="W102" s="854"/>
    </row>
    <row r="103" spans="1:23" s="830" customFormat="1" ht="18" customHeight="1">
      <c r="A103" s="1006"/>
      <c r="B103" s="1009"/>
      <c r="C103" s="1007"/>
      <c r="D103" s="868" t="s">
        <v>12</v>
      </c>
      <c r="E103" s="869" t="e">
        <f t="shared" ref="E103:R103" si="13">E63+E$92+E$94+E$96</f>
        <v>#VALUE!</v>
      </c>
      <c r="F103" s="849">
        <f t="shared" si="13"/>
        <v>0</v>
      </c>
      <c r="G103" s="849">
        <f t="shared" si="13"/>
        <v>0</v>
      </c>
      <c r="H103" s="849">
        <f t="shared" si="13"/>
        <v>13660.26953846154</v>
      </c>
      <c r="I103" s="849">
        <f t="shared" si="13"/>
        <v>89095.679999999993</v>
      </c>
      <c r="J103" s="849">
        <f t="shared" si="13"/>
        <v>560</v>
      </c>
      <c r="K103" s="849">
        <f t="shared" si="13"/>
        <v>745.92</v>
      </c>
      <c r="L103" s="849" t="e">
        <f t="shared" si="13"/>
        <v>#VALUE!</v>
      </c>
      <c r="M103" s="849" t="e">
        <f t="shared" si="13"/>
        <v>#VALUE!</v>
      </c>
      <c r="N103" s="849" t="e">
        <f t="shared" si="13"/>
        <v>#VALUE!</v>
      </c>
      <c r="O103" s="849"/>
      <c r="P103" s="849">
        <f t="shared" si="13"/>
        <v>23184.344615384616</v>
      </c>
      <c r="Q103" s="870">
        <f t="shared" si="13"/>
        <v>18715.815384615384</v>
      </c>
      <c r="R103" s="870">
        <f t="shared" si="13"/>
        <v>4468.5292307692316</v>
      </c>
      <c r="S103" s="870"/>
      <c r="T103" s="849" t="e">
        <f>'[1]IV. DONGIA CHỈNH LÝ'!N102</f>
        <v>#VALUE!</v>
      </c>
      <c r="U103" s="849" t="e">
        <f t="shared" si="9"/>
        <v>#VALUE!</v>
      </c>
      <c r="W103" s="854"/>
    </row>
    <row r="104" spans="1:23" s="830" customFormat="1" ht="18" customHeight="1">
      <c r="A104" s="1006"/>
      <c r="B104" s="1009"/>
      <c r="C104" s="1007"/>
      <c r="D104" s="868" t="s">
        <v>13</v>
      </c>
      <c r="E104" s="869" t="e">
        <f t="shared" ref="E104:R104" si="14">E64+E$92+E$94+E$96</f>
        <v>#VALUE!</v>
      </c>
      <c r="F104" s="849">
        <f t="shared" si="14"/>
        <v>0</v>
      </c>
      <c r="G104" s="849">
        <f t="shared" si="14"/>
        <v>0</v>
      </c>
      <c r="H104" s="849">
        <f t="shared" si="14"/>
        <v>16419.734153846155</v>
      </c>
      <c r="I104" s="849">
        <f t="shared" si="14"/>
        <v>89095.679999999993</v>
      </c>
      <c r="J104" s="849">
        <f t="shared" si="14"/>
        <v>560</v>
      </c>
      <c r="K104" s="849">
        <f t="shared" si="14"/>
        <v>745.92</v>
      </c>
      <c r="L104" s="849" t="e">
        <f t="shared" si="14"/>
        <v>#VALUE!</v>
      </c>
      <c r="M104" s="849" t="e">
        <f t="shared" si="14"/>
        <v>#VALUE!</v>
      </c>
      <c r="N104" s="849" t="e">
        <f t="shared" si="14"/>
        <v>#VALUE!</v>
      </c>
      <c r="O104" s="849"/>
      <c r="P104" s="849">
        <f t="shared" si="14"/>
        <v>29407.267692307687</v>
      </c>
      <c r="Q104" s="870">
        <f t="shared" si="14"/>
        <v>23694.15384615384</v>
      </c>
      <c r="R104" s="870">
        <f t="shared" si="14"/>
        <v>5713.1138461538458</v>
      </c>
      <c r="S104" s="870"/>
      <c r="T104" s="849" t="e">
        <f>'[1]IV. DONGIA CHỈNH LÝ'!N103</f>
        <v>#VALUE!</v>
      </c>
      <c r="U104" s="849" t="e">
        <f t="shared" si="9"/>
        <v>#VALUE!</v>
      </c>
      <c r="W104" s="854"/>
    </row>
    <row r="105" spans="1:23" s="830" customFormat="1" ht="18" customHeight="1">
      <c r="A105" s="841"/>
      <c r="B105" s="871"/>
      <c r="C105" s="867"/>
      <c r="D105" s="868"/>
      <c r="E105" s="869"/>
      <c r="F105" s="849"/>
      <c r="G105" s="849"/>
      <c r="H105" s="849"/>
      <c r="I105" s="849"/>
      <c r="J105" s="849"/>
      <c r="K105" s="849"/>
      <c r="L105" s="849"/>
      <c r="M105" s="849"/>
      <c r="N105" s="849"/>
      <c r="O105" s="849">
        <v>0</v>
      </c>
      <c r="P105" s="849"/>
      <c r="Q105" s="872"/>
      <c r="R105" s="872"/>
      <c r="S105" s="873"/>
      <c r="T105" s="849">
        <f>'[1]IV. DONGIA CHỈNH LÝ'!N104</f>
        <v>0</v>
      </c>
      <c r="U105" s="849">
        <f t="shared" si="9"/>
        <v>0</v>
      </c>
      <c r="W105" s="854"/>
    </row>
    <row r="106" spans="1:23" s="830" customFormat="1" ht="18" customHeight="1">
      <c r="A106" s="1006" t="s">
        <v>4</v>
      </c>
      <c r="B106" s="1009" t="s">
        <v>516</v>
      </c>
      <c r="C106" s="1007" t="s">
        <v>278</v>
      </c>
      <c r="D106" s="868" t="s">
        <v>9</v>
      </c>
      <c r="E106" s="869" t="e">
        <f t="shared" ref="E106:R106" si="15">E66+E72+E81+E$87+E$90</f>
        <v>#VALUE!</v>
      </c>
      <c r="F106" s="849">
        <f t="shared" si="15"/>
        <v>15274.6</v>
      </c>
      <c r="G106" s="849">
        <f t="shared" si="15"/>
        <v>0</v>
      </c>
      <c r="H106" s="849">
        <f t="shared" si="15"/>
        <v>1845.342451032051</v>
      </c>
      <c r="I106" s="849">
        <f t="shared" si="15"/>
        <v>8140.6781999999994</v>
      </c>
      <c r="J106" s="849">
        <f t="shared" si="15"/>
        <v>7489.0464000000002</v>
      </c>
      <c r="K106" s="849">
        <f t="shared" si="15"/>
        <v>573.7367999999999</v>
      </c>
      <c r="L106" s="849" t="e">
        <f t="shared" si="15"/>
        <v>#VALUE!</v>
      </c>
      <c r="M106" s="849" t="e">
        <f t="shared" si="15"/>
        <v>#VALUE!</v>
      </c>
      <c r="N106" s="849" t="e">
        <f t="shared" si="15"/>
        <v>#VALUE!</v>
      </c>
      <c r="O106" s="849">
        <v>2332</v>
      </c>
      <c r="P106" s="849">
        <f t="shared" si="15"/>
        <v>6559.1426923076924</v>
      </c>
      <c r="Q106" s="898">
        <f t="shared" si="15"/>
        <v>5285.207692307692</v>
      </c>
      <c r="R106" s="899">
        <f t="shared" si="15"/>
        <v>1273.9350000000004</v>
      </c>
      <c r="S106" s="899"/>
      <c r="T106" s="849" t="e">
        <f>'[1]IV. DONGIA CHỈNH LÝ'!N105</f>
        <v>#VALUE!</v>
      </c>
      <c r="U106" s="849" t="e">
        <f t="shared" si="9"/>
        <v>#VALUE!</v>
      </c>
      <c r="W106" s="854"/>
    </row>
    <row r="107" spans="1:23" s="830" customFormat="1" ht="18" customHeight="1">
      <c r="A107" s="1006"/>
      <c r="B107" s="1009"/>
      <c r="C107" s="1007"/>
      <c r="D107" s="868" t="s">
        <v>10</v>
      </c>
      <c r="E107" s="869" t="e">
        <f t="shared" ref="E107:R107" si="16">E67+E73+E82+E$87+E$90</f>
        <v>#VALUE!</v>
      </c>
      <c r="F107" s="849">
        <f t="shared" si="16"/>
        <v>18340</v>
      </c>
      <c r="G107" s="849">
        <f t="shared" si="16"/>
        <v>0</v>
      </c>
      <c r="H107" s="849">
        <f t="shared" si="16"/>
        <v>2260.5286971233968</v>
      </c>
      <c r="I107" s="849">
        <f t="shared" si="16"/>
        <v>8140.6781999999994</v>
      </c>
      <c r="J107" s="849">
        <f t="shared" si="16"/>
        <v>9303.6780000000017</v>
      </c>
      <c r="K107" s="849">
        <f t="shared" si="16"/>
        <v>611.6543999999999</v>
      </c>
      <c r="L107" s="849" t="e">
        <f t="shared" si="16"/>
        <v>#VALUE!</v>
      </c>
      <c r="M107" s="849" t="e">
        <f t="shared" si="16"/>
        <v>#VALUE!</v>
      </c>
      <c r="N107" s="849" t="e">
        <f t="shared" si="16"/>
        <v>#VALUE!</v>
      </c>
      <c r="O107" s="849">
        <v>2800</v>
      </c>
      <c r="P107" s="849">
        <f t="shared" si="16"/>
        <v>7834.601346153845</v>
      </c>
      <c r="Q107" s="898">
        <f t="shared" si="16"/>
        <v>6308.996153846153</v>
      </c>
      <c r="R107" s="899">
        <f t="shared" si="16"/>
        <v>1525.6051923076923</v>
      </c>
      <c r="S107" s="899"/>
      <c r="T107" s="849" t="e">
        <f>'[1]IV. DONGIA CHỈNH LÝ'!N106</f>
        <v>#VALUE!</v>
      </c>
      <c r="U107" s="849" t="e">
        <f t="shared" si="9"/>
        <v>#VALUE!</v>
      </c>
      <c r="W107" s="854"/>
    </row>
    <row r="108" spans="1:23" s="830" customFormat="1" ht="18" customHeight="1">
      <c r="A108" s="1006"/>
      <c r="B108" s="1009"/>
      <c r="C108" s="1007"/>
      <c r="D108" s="868" t="s">
        <v>11</v>
      </c>
      <c r="E108" s="869" t="e">
        <f t="shared" ref="E108:R108" si="17">E68+E74+E83+E$87+E$90</f>
        <v>#VALUE!</v>
      </c>
      <c r="F108" s="849">
        <f t="shared" si="17"/>
        <v>22008</v>
      </c>
      <c r="G108" s="849">
        <f t="shared" si="17"/>
        <v>0</v>
      </c>
      <c r="H108" s="849">
        <f t="shared" si="17"/>
        <v>2952.5057739423073</v>
      </c>
      <c r="I108" s="849">
        <f t="shared" si="17"/>
        <v>8140.6781999999994</v>
      </c>
      <c r="J108" s="849">
        <f t="shared" si="17"/>
        <v>12329.7196</v>
      </c>
      <c r="K108" s="849">
        <f t="shared" si="17"/>
        <v>679.71960000000001</v>
      </c>
      <c r="L108" s="849" t="e">
        <f t="shared" si="17"/>
        <v>#VALUE!</v>
      </c>
      <c r="M108" s="849" t="e">
        <f t="shared" si="17"/>
        <v>#VALUE!</v>
      </c>
      <c r="N108" s="849" t="e">
        <f t="shared" si="17"/>
        <v>#VALUE!</v>
      </c>
      <c r="O108" s="849">
        <v>3360</v>
      </c>
      <c r="P108" s="849">
        <f t="shared" si="17"/>
        <v>9372.1284615384611</v>
      </c>
      <c r="Q108" s="898">
        <f t="shared" si="17"/>
        <v>7540.2153846153824</v>
      </c>
      <c r="R108" s="899">
        <f t="shared" si="17"/>
        <v>1831.9130769230767</v>
      </c>
      <c r="S108" s="899"/>
      <c r="T108" s="849" t="e">
        <f>'[1]IV. DONGIA CHỈNH LÝ'!N107</f>
        <v>#VALUE!</v>
      </c>
      <c r="U108" s="849" t="e">
        <f t="shared" si="9"/>
        <v>#VALUE!</v>
      </c>
      <c r="W108" s="854"/>
    </row>
    <row r="109" spans="1:23" s="830" customFormat="1" ht="18" customHeight="1">
      <c r="A109" s="1006"/>
      <c r="B109" s="1009"/>
      <c r="C109" s="1007"/>
      <c r="D109" s="868" t="s">
        <v>12</v>
      </c>
      <c r="E109" s="869" t="e">
        <f t="shared" ref="E109:R109" si="18">E69+E75+E84+E$87+E$90</f>
        <v>#VALUE!</v>
      </c>
      <c r="F109" s="849">
        <f t="shared" si="18"/>
        <v>26396.5</v>
      </c>
      <c r="G109" s="849">
        <f t="shared" si="18"/>
        <v>0</v>
      </c>
      <c r="H109" s="849">
        <f t="shared" si="18"/>
        <v>3921.2736814887817</v>
      </c>
      <c r="I109" s="849">
        <f t="shared" si="18"/>
        <v>8140.6781999999994</v>
      </c>
      <c r="J109" s="849">
        <f t="shared" si="18"/>
        <v>16565.9712</v>
      </c>
      <c r="K109" s="849">
        <f t="shared" si="18"/>
        <v>771.87180000000012</v>
      </c>
      <c r="L109" s="849" t="e">
        <f t="shared" si="18"/>
        <v>#VALUE!</v>
      </c>
      <c r="M109" s="849" t="e">
        <f t="shared" si="18"/>
        <v>#VALUE!</v>
      </c>
      <c r="N109" s="849" t="e">
        <f t="shared" si="18"/>
        <v>#VALUE!</v>
      </c>
      <c r="O109" s="849">
        <v>4030</v>
      </c>
      <c r="P109" s="849">
        <f t="shared" si="18"/>
        <v>11416.470961538462</v>
      </c>
      <c r="Q109" s="898">
        <f t="shared" si="18"/>
        <v>9188.4346153846145</v>
      </c>
      <c r="R109" s="899">
        <f t="shared" si="18"/>
        <v>2228.0363461538464</v>
      </c>
      <c r="S109" s="899"/>
      <c r="T109" s="849" t="e">
        <f>'[1]IV. DONGIA CHỈNH LÝ'!N108</f>
        <v>#VALUE!</v>
      </c>
      <c r="U109" s="849" t="e">
        <f t="shared" si="9"/>
        <v>#VALUE!</v>
      </c>
      <c r="W109" s="854"/>
    </row>
    <row r="110" spans="1:23" s="830" customFormat="1" ht="18" customHeight="1">
      <c r="A110" s="1006"/>
      <c r="B110" s="1009"/>
      <c r="C110" s="1007"/>
      <c r="D110" s="868" t="s">
        <v>13</v>
      </c>
      <c r="E110" s="869" t="e">
        <f t="shared" ref="E110:R110" si="19">E70+E76+E85+E$87+E$90</f>
        <v>#VALUE!</v>
      </c>
      <c r="F110" s="849">
        <f t="shared" si="19"/>
        <v>31688.9</v>
      </c>
      <c r="G110" s="849">
        <f t="shared" si="19"/>
        <v>0</v>
      </c>
      <c r="H110" s="849">
        <f t="shared" si="19"/>
        <v>5028.4370043990375</v>
      </c>
      <c r="I110" s="849">
        <f t="shared" si="19"/>
        <v>8140.6781999999994</v>
      </c>
      <c r="J110" s="849">
        <f t="shared" si="19"/>
        <v>20801.252800000002</v>
      </c>
      <c r="K110" s="849">
        <f t="shared" si="19"/>
        <v>865.4226000000001</v>
      </c>
      <c r="L110" s="849" t="e">
        <f t="shared" si="19"/>
        <v>#VALUE!</v>
      </c>
      <c r="M110" s="849" t="e">
        <f t="shared" si="19"/>
        <v>#VALUE!</v>
      </c>
      <c r="N110" s="849" t="e">
        <f t="shared" si="19"/>
        <v>#VALUE!</v>
      </c>
      <c r="O110" s="849">
        <v>4838</v>
      </c>
      <c r="P110" s="849">
        <f t="shared" si="19"/>
        <v>13718.524807692309</v>
      </c>
      <c r="Q110" s="874">
        <f t="shared" si="19"/>
        <v>11038.203846153847</v>
      </c>
      <c r="R110" s="900">
        <f t="shared" si="19"/>
        <v>2680.3209615384621</v>
      </c>
      <c r="S110" s="900"/>
      <c r="T110" s="849" t="e">
        <f>'[1]IV. DONGIA CHỈNH LÝ'!N109</f>
        <v>#VALUE!</v>
      </c>
      <c r="U110" s="849" t="e">
        <f t="shared" si="9"/>
        <v>#VALUE!</v>
      </c>
      <c r="W110" s="854"/>
    </row>
    <row r="111" spans="1:23" s="830" customFormat="1" ht="30.6" customHeight="1">
      <c r="A111" s="999" t="s">
        <v>519</v>
      </c>
      <c r="B111" s="999"/>
      <c r="C111" s="999"/>
      <c r="D111" s="999"/>
      <c r="E111" s="999"/>
      <c r="F111" s="999"/>
      <c r="G111" s="999"/>
      <c r="H111" s="999"/>
      <c r="I111" s="999"/>
      <c r="J111" s="999"/>
      <c r="K111" s="999"/>
      <c r="L111" s="999"/>
      <c r="M111" s="999"/>
      <c r="N111" s="999"/>
      <c r="O111" s="999"/>
      <c r="P111" s="999"/>
      <c r="Q111" s="879"/>
      <c r="R111" s="879"/>
      <c r="S111" s="880"/>
      <c r="T111" s="849">
        <f>'[1]IV. DONGIA CHỈNH LÝ'!N110</f>
        <v>0</v>
      </c>
      <c r="U111" s="849">
        <f t="shared" si="9"/>
        <v>0</v>
      </c>
      <c r="W111" s="854"/>
    </row>
    <row r="112" spans="1:23" s="830" customFormat="1" ht="12.75">
      <c r="A112" s="1001" t="s">
        <v>574</v>
      </c>
      <c r="B112" s="1001"/>
      <c r="C112" s="1001"/>
      <c r="D112" s="1001"/>
      <c r="E112" s="1001"/>
      <c r="F112" s="1001"/>
      <c r="G112" s="1001"/>
      <c r="H112" s="1001"/>
      <c r="I112" s="1001"/>
      <c r="J112" s="1001"/>
      <c r="K112" s="1001"/>
      <c r="L112" s="1001"/>
      <c r="M112" s="1001"/>
      <c r="N112" s="1001"/>
      <c r="O112" s="1001"/>
      <c r="P112" s="1001"/>
      <c r="Q112" s="879"/>
      <c r="R112" s="879"/>
      <c r="S112" s="880"/>
      <c r="T112" s="849"/>
      <c r="U112" s="849"/>
      <c r="W112" s="854"/>
    </row>
    <row r="113" spans="1:23" s="830" customFormat="1" ht="12">
      <c r="A113" s="718"/>
      <c r="B113" s="882"/>
      <c r="C113" s="883"/>
      <c r="D113" s="884"/>
      <c r="E113" s="885"/>
      <c r="F113" s="886"/>
      <c r="G113" s="886"/>
      <c r="H113" s="886"/>
      <c r="I113" s="886"/>
      <c r="J113" s="886"/>
      <c r="K113" s="886"/>
      <c r="L113" s="886"/>
      <c r="M113" s="887"/>
      <c r="N113" s="1008" t="s">
        <v>428</v>
      </c>
      <c r="O113" s="1008"/>
      <c r="P113" s="1008"/>
      <c r="Q113" s="879"/>
      <c r="R113" s="879"/>
      <c r="S113" s="880"/>
      <c r="T113" s="849" t="str">
        <f>'[1]IV. DONGIA CHỈNH LÝ'!N111</f>
        <v>Đơn vị tính: đồng</v>
      </c>
      <c r="U113" s="849"/>
      <c r="W113" s="854"/>
    </row>
    <row r="114" spans="1:23" s="830" customFormat="1" ht="20.25" customHeight="1">
      <c r="A114" s="1004" t="s">
        <v>376</v>
      </c>
      <c r="B114" s="1013" t="s">
        <v>377</v>
      </c>
      <c r="C114" s="1002" t="s">
        <v>378</v>
      </c>
      <c r="D114" s="1004" t="s">
        <v>91</v>
      </c>
      <c r="E114" s="1010" t="s">
        <v>368</v>
      </c>
      <c r="F114" s="1011"/>
      <c r="G114" s="1011"/>
      <c r="H114" s="1011"/>
      <c r="I114" s="1011"/>
      <c r="J114" s="1011"/>
      <c r="K114" s="1011"/>
      <c r="L114" s="1012"/>
      <c r="M114" s="1002" t="s">
        <v>427</v>
      </c>
      <c r="N114" s="1002" t="s">
        <v>379</v>
      </c>
      <c r="O114" s="1002" t="s">
        <v>560</v>
      </c>
      <c r="P114" s="888" t="s">
        <v>18</v>
      </c>
      <c r="Q114" s="828" t="s">
        <v>19</v>
      </c>
      <c r="R114" s="828" t="s">
        <v>19</v>
      </c>
      <c r="S114" s="829" t="s">
        <v>16</v>
      </c>
      <c r="T114" s="849"/>
      <c r="U114" s="849"/>
      <c r="W114" s="854"/>
    </row>
    <row r="115" spans="1:23" s="830" customFormat="1" ht="29.25" customHeight="1">
      <c r="A115" s="1005"/>
      <c r="B115" s="1014"/>
      <c r="C115" s="1003"/>
      <c r="D115" s="1005"/>
      <c r="E115" s="837" t="s">
        <v>369</v>
      </c>
      <c r="F115" s="831" t="s">
        <v>370</v>
      </c>
      <c r="G115" s="833">
        <v>0</v>
      </c>
      <c r="H115" s="831" t="s">
        <v>257</v>
      </c>
      <c r="I115" s="831" t="s">
        <v>280</v>
      </c>
      <c r="J115" s="831" t="s">
        <v>261</v>
      </c>
      <c r="K115" s="831" t="s">
        <v>371</v>
      </c>
      <c r="L115" s="831" t="s">
        <v>372</v>
      </c>
      <c r="M115" s="1003"/>
      <c r="N115" s="1003"/>
      <c r="O115" s="1003"/>
      <c r="P115" s="889" t="s">
        <v>20</v>
      </c>
      <c r="Q115" s="834" t="s">
        <v>21</v>
      </c>
      <c r="R115" s="834" t="s">
        <v>22</v>
      </c>
      <c r="S115" s="835" t="s">
        <v>17</v>
      </c>
      <c r="T115" s="849">
        <f>'[1]IV. DONGIA CHỈNH LÝ'!N113</f>
        <v>0</v>
      </c>
      <c r="U115" s="849"/>
      <c r="W115" s="854"/>
    </row>
    <row r="116" spans="1:23" s="830" customFormat="1" ht="17.25" customHeight="1">
      <c r="A116" s="331" t="s">
        <v>52</v>
      </c>
      <c r="B116" s="586" t="s">
        <v>53</v>
      </c>
      <c r="C116" s="586" t="s">
        <v>54</v>
      </c>
      <c r="D116" s="331" t="s">
        <v>55</v>
      </c>
      <c r="E116" s="838" t="s">
        <v>56</v>
      </c>
      <c r="F116" s="332" t="s">
        <v>57</v>
      </c>
      <c r="G116" s="332"/>
      <c r="H116" s="332" t="s">
        <v>58</v>
      </c>
      <c r="I116" s="332" t="s">
        <v>59</v>
      </c>
      <c r="J116" s="332" t="s">
        <v>60</v>
      </c>
      <c r="K116" s="332" t="s">
        <v>61</v>
      </c>
      <c r="L116" s="334" t="s">
        <v>373</v>
      </c>
      <c r="M116" s="334" t="s">
        <v>374</v>
      </c>
      <c r="N116" s="334" t="s">
        <v>375</v>
      </c>
      <c r="O116" s="334">
        <v>-10</v>
      </c>
      <c r="P116" s="332" t="s">
        <v>561</v>
      </c>
      <c r="Q116" s="890"/>
      <c r="R116" s="890"/>
      <c r="S116" s="891"/>
      <c r="T116" s="849" t="str">
        <f>'[1]IV. DONGIA CHỈNH LÝ'!N114</f>
        <v xml:space="preserve"> (9)=(7)+(8) </v>
      </c>
      <c r="U116" s="849"/>
      <c r="W116" s="854"/>
    </row>
    <row r="117" spans="1:23" s="830" customFormat="1" ht="18" customHeight="1">
      <c r="A117" s="841" t="s">
        <v>3</v>
      </c>
      <c r="B117" s="842" t="s">
        <v>380</v>
      </c>
      <c r="C117" s="586"/>
      <c r="D117" s="331"/>
      <c r="E117" s="843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844"/>
      <c r="Q117" s="845"/>
      <c r="R117" s="846"/>
      <c r="S117" s="847"/>
      <c r="T117" s="849">
        <f>'[1]IV. DONGIA CHỈNH LÝ'!N115</f>
        <v>0</v>
      </c>
      <c r="U117" s="849">
        <f t="shared" ref="U117:U148" si="20">T117-N117</f>
        <v>0</v>
      </c>
      <c r="W117" s="854"/>
    </row>
    <row r="118" spans="1:23" s="830" customFormat="1" ht="17.25" customHeight="1">
      <c r="A118" s="331" t="s">
        <v>9</v>
      </c>
      <c r="B118" s="848" t="s">
        <v>73</v>
      </c>
      <c r="C118" s="586" t="s">
        <v>1</v>
      </c>
      <c r="D118" s="331" t="s">
        <v>9</v>
      </c>
      <c r="E118" s="843" t="e">
        <f>'NC-CLBD'!K5/25</f>
        <v>#VALUE!</v>
      </c>
      <c r="F118" s="826"/>
      <c r="G118" s="826">
        <f>$R$1*10*Q118</f>
        <v>0</v>
      </c>
      <c r="H118" s="826">
        <f>'DCu-CLBD'!L23</f>
        <v>1551.8017307692305</v>
      </c>
      <c r="I118" s="826">
        <f>'VL-CLBD'!J16</f>
        <v>3002.4</v>
      </c>
      <c r="J118" s="826"/>
      <c r="K118" s="826"/>
      <c r="L118" s="826" t="e">
        <f>SUM(E118:K118)</f>
        <v>#VALUE!</v>
      </c>
      <c r="M118" s="826" t="e">
        <f>L118*'He so chung'!$D$16/100</f>
        <v>#VALUE!</v>
      </c>
      <c r="N118" s="849" t="e">
        <f>M118+L118</f>
        <v>#VALUE!</v>
      </c>
      <c r="O118" s="849"/>
      <c r="P118" s="850">
        <f>'He so chung'!$D$18*S118</f>
        <v>3544.5</v>
      </c>
      <c r="Q118" s="851">
        <f>'He so chung'!$D$19*S118</f>
        <v>2835.6</v>
      </c>
      <c r="R118" s="852">
        <f>'He so chung'!$D$20*S118</f>
        <v>708.90000000000009</v>
      </c>
      <c r="S118" s="853">
        <f>'NC-CLBD'!J5/25</f>
        <v>0.53039999999999998</v>
      </c>
      <c r="T118" s="849" t="e">
        <f>'[1]IV. DONGIA CHỈNH LÝ'!N116</f>
        <v>#VALUE!</v>
      </c>
      <c r="U118" s="849" t="e">
        <f t="shared" si="20"/>
        <v>#VALUE!</v>
      </c>
      <c r="W118" s="854"/>
    </row>
    <row r="119" spans="1:23" s="830" customFormat="1" ht="17.25" customHeight="1">
      <c r="A119" s="331"/>
      <c r="B119" s="848"/>
      <c r="C119" s="586"/>
      <c r="D119" s="331" t="s">
        <v>10</v>
      </c>
      <c r="E119" s="843" t="e">
        <f>'NC-CLBD'!K7/25</f>
        <v>#VALUE!</v>
      </c>
      <c r="F119" s="826"/>
      <c r="G119" s="826">
        <f>$R$1*10*Q119</f>
        <v>0</v>
      </c>
      <c r="H119" s="826">
        <f>'DCu-CLBD'!L24</f>
        <v>1939.7521634615382</v>
      </c>
      <c r="I119" s="826">
        <f>$I$118</f>
        <v>3002.4</v>
      </c>
      <c r="J119" s="826"/>
      <c r="K119" s="826"/>
      <c r="L119" s="826" t="e">
        <f>SUM(E119:K119)</f>
        <v>#VALUE!</v>
      </c>
      <c r="M119" s="826" t="e">
        <f>L119*'He so chung'!$D$16/100</f>
        <v>#VALUE!</v>
      </c>
      <c r="N119" s="849" t="e">
        <f>M119+L119</f>
        <v>#VALUE!</v>
      </c>
      <c r="O119" s="849"/>
      <c r="P119" s="850">
        <f>'He so chung'!$D$18*S119</f>
        <v>4608.3846153846152</v>
      </c>
      <c r="Q119" s="851">
        <f>'He so chung'!$D$19*S119</f>
        <v>3686.707692307692</v>
      </c>
      <c r="R119" s="852">
        <f>'He so chung'!$D$20*S119</f>
        <v>921.67692307692312</v>
      </c>
      <c r="S119" s="853">
        <f>'NC-CLBD'!J7/25</f>
        <v>0.68959999999999999</v>
      </c>
      <c r="T119" s="849" t="e">
        <f>'[1]IV. DONGIA CHỈNH LÝ'!N117</f>
        <v>#VALUE!</v>
      </c>
      <c r="U119" s="849" t="e">
        <f t="shared" si="20"/>
        <v>#VALUE!</v>
      </c>
      <c r="W119" s="854"/>
    </row>
    <row r="120" spans="1:23" s="830" customFormat="1" ht="17.25" customHeight="1">
      <c r="A120" s="331"/>
      <c r="B120" s="848"/>
      <c r="C120" s="586"/>
      <c r="D120" s="331" t="s">
        <v>11</v>
      </c>
      <c r="E120" s="843" t="e">
        <f>'NC-CLBD'!K9/25</f>
        <v>#VALUE!</v>
      </c>
      <c r="F120" s="826"/>
      <c r="G120" s="826">
        <f>$R$1*10*Q120</f>
        <v>0</v>
      </c>
      <c r="H120" s="826">
        <f>'DCu-CLBD'!L25</f>
        <v>2586.3362179487176</v>
      </c>
      <c r="I120" s="826">
        <f>$I$118</f>
        <v>3002.4</v>
      </c>
      <c r="J120" s="826"/>
      <c r="K120" s="826"/>
      <c r="L120" s="826" t="e">
        <f>SUM(E120:K120)</f>
        <v>#VALUE!</v>
      </c>
      <c r="M120" s="826" t="e">
        <f>L120*'He so chung'!$D$16/100</f>
        <v>#VALUE!</v>
      </c>
      <c r="N120" s="849" t="e">
        <f>M120+L120</f>
        <v>#VALUE!</v>
      </c>
      <c r="O120" s="849"/>
      <c r="P120" s="850">
        <f>'He so chung'!$D$18*S120</f>
        <v>5987.6923076923067</v>
      </c>
      <c r="Q120" s="851">
        <f>'He so chung'!$D$19*S120</f>
        <v>4790.1538461538457</v>
      </c>
      <c r="R120" s="852">
        <f>'He so chung'!$D$20*S120</f>
        <v>1197.5384615384614</v>
      </c>
      <c r="S120" s="853">
        <f>'NC-CLBD'!J9/25</f>
        <v>0.89599999999999991</v>
      </c>
      <c r="T120" s="849" t="e">
        <f>'[1]IV. DONGIA CHỈNH LÝ'!N118</f>
        <v>#VALUE!</v>
      </c>
      <c r="U120" s="849" t="e">
        <f t="shared" si="20"/>
        <v>#VALUE!</v>
      </c>
      <c r="W120" s="854"/>
    </row>
    <row r="121" spans="1:23" s="830" customFormat="1" ht="17.25" customHeight="1">
      <c r="A121" s="331"/>
      <c r="B121" s="848"/>
      <c r="C121" s="586"/>
      <c r="D121" s="331" t="s">
        <v>12</v>
      </c>
      <c r="E121" s="843" t="e">
        <f>'NC-CLBD'!K11/25</f>
        <v>#VALUE!</v>
      </c>
      <c r="F121" s="826"/>
      <c r="G121" s="826">
        <f>$R$1*10*Q121</f>
        <v>0</v>
      </c>
      <c r="H121" s="826">
        <f>'DCu-CLBD'!L26</f>
        <v>3491.5538942307689</v>
      </c>
      <c r="I121" s="826">
        <f>$I$118</f>
        <v>3002.4</v>
      </c>
      <c r="J121" s="826"/>
      <c r="K121" s="826"/>
      <c r="L121" s="826" t="e">
        <f>SUM(E121:K121)</f>
        <v>#VALUE!</v>
      </c>
      <c r="M121" s="826" t="e">
        <f>L121*'He so chung'!$D$16/100</f>
        <v>#VALUE!</v>
      </c>
      <c r="N121" s="849" t="e">
        <f>M121+L121</f>
        <v>#VALUE!</v>
      </c>
      <c r="O121" s="849"/>
      <c r="P121" s="850">
        <f>'He so chung'!$D$18*S121</f>
        <v>7784</v>
      </c>
      <c r="Q121" s="851">
        <f>'He so chung'!$D$19*S121</f>
        <v>6227.2</v>
      </c>
      <c r="R121" s="852">
        <f>'He so chung'!$D$20*S121</f>
        <v>1556.8000000000002</v>
      </c>
      <c r="S121" s="853">
        <f>'NC-CLBD'!J11/25</f>
        <v>1.1648000000000001</v>
      </c>
      <c r="T121" s="849" t="e">
        <f>'[1]IV. DONGIA CHỈNH LÝ'!N119</f>
        <v>#VALUE!</v>
      </c>
      <c r="U121" s="849" t="e">
        <f t="shared" si="20"/>
        <v>#VALUE!</v>
      </c>
      <c r="W121" s="854"/>
    </row>
    <row r="122" spans="1:23" s="830" customFormat="1" ht="17.25" customHeight="1">
      <c r="A122" s="331"/>
      <c r="B122" s="848"/>
      <c r="C122" s="586"/>
      <c r="D122" s="331" t="s">
        <v>13</v>
      </c>
      <c r="E122" s="843" t="e">
        <f>'NC-CLBD'!K13/25</f>
        <v>#VALUE!</v>
      </c>
      <c r="F122" s="826"/>
      <c r="G122" s="826">
        <f>$R$1*10*Q122</f>
        <v>0</v>
      </c>
      <c r="H122" s="826">
        <f>'DCu-CLBD'!L27</f>
        <v>4526.0883814102563</v>
      </c>
      <c r="I122" s="826">
        <f>$I$118</f>
        <v>3002.4</v>
      </c>
      <c r="J122" s="826"/>
      <c r="K122" s="826"/>
      <c r="L122" s="826" t="e">
        <f>SUM(E122:K122)</f>
        <v>#VALUE!</v>
      </c>
      <c r="M122" s="826" t="e">
        <f>L122*'He so chung'!$D$16/100</f>
        <v>#VALUE!</v>
      </c>
      <c r="N122" s="849" t="e">
        <f>M122+L122</f>
        <v>#VALUE!</v>
      </c>
      <c r="O122" s="849"/>
      <c r="P122" s="850">
        <f>'He so chung'!$D$18*S122</f>
        <v>10120.26923076923</v>
      </c>
      <c r="Q122" s="851">
        <f>'He so chung'!$D$19*S122</f>
        <v>8096.2153846153842</v>
      </c>
      <c r="R122" s="852">
        <f>'He so chung'!$D$20*S122</f>
        <v>2024.0538461538463</v>
      </c>
      <c r="S122" s="853">
        <f>'NC-CLBD'!J13/25</f>
        <v>1.5144</v>
      </c>
      <c r="T122" s="849" t="e">
        <f>'[1]IV. DONGIA CHỈNH LÝ'!N120</f>
        <v>#VALUE!</v>
      </c>
      <c r="U122" s="849" t="e">
        <f t="shared" si="20"/>
        <v>#VALUE!</v>
      </c>
      <c r="W122" s="854"/>
    </row>
    <row r="123" spans="1:23" s="830" customFormat="1" ht="17.25" customHeight="1">
      <c r="A123" s="331"/>
      <c r="B123" s="848"/>
      <c r="C123" s="586"/>
      <c r="D123" s="331"/>
      <c r="E123" s="843"/>
      <c r="F123" s="826"/>
      <c r="G123" s="826"/>
      <c r="H123" s="826"/>
      <c r="I123" s="826"/>
      <c r="J123" s="826"/>
      <c r="K123" s="826"/>
      <c r="L123" s="826"/>
      <c r="M123" s="826"/>
      <c r="N123" s="849"/>
      <c r="O123" s="849"/>
      <c r="P123" s="850"/>
      <c r="Q123" s="851"/>
      <c r="R123" s="852"/>
      <c r="S123" s="853"/>
      <c r="T123" s="849">
        <f>'[1]IV. DONGIA CHỈNH LÝ'!N121</f>
        <v>0</v>
      </c>
      <c r="U123" s="849">
        <f t="shared" si="20"/>
        <v>0</v>
      </c>
      <c r="W123" s="854"/>
    </row>
    <row r="124" spans="1:23" s="830" customFormat="1" ht="17.25" customHeight="1">
      <c r="A124" s="331" t="s">
        <v>10</v>
      </c>
      <c r="B124" s="848" t="s">
        <v>381</v>
      </c>
      <c r="C124" s="586" t="s">
        <v>278</v>
      </c>
      <c r="D124" s="331" t="s">
        <v>9</v>
      </c>
      <c r="E124" s="843" t="e">
        <f>'NC-CLBD'!K17/100</f>
        <v>#VALUE!</v>
      </c>
      <c r="F124" s="826"/>
      <c r="G124" s="826">
        <f>$R$1*10*Q124</f>
        <v>0</v>
      </c>
      <c r="H124" s="826">
        <f>'DCu-CLBD'!L67</f>
        <v>31.170158653846148</v>
      </c>
      <c r="I124" s="826">
        <f>'VL-CLBD'!J45</f>
        <v>58.549500000000002</v>
      </c>
      <c r="J124" s="826">
        <f>'TBI-CLBD'!I23</f>
        <v>148.16</v>
      </c>
      <c r="K124" s="826">
        <f>'NL-CLBD'!F15</f>
        <v>0.9323999999999999</v>
      </c>
      <c r="L124" s="826" t="e">
        <f>SUM(E124:K124)</f>
        <v>#VALUE!</v>
      </c>
      <c r="M124" s="826" t="e">
        <f>L124*'He so chung'!$D$16/100</f>
        <v>#VALUE!</v>
      </c>
      <c r="N124" s="849" t="e">
        <f>M124+L124</f>
        <v>#VALUE!</v>
      </c>
      <c r="O124" s="849"/>
      <c r="P124" s="850">
        <f>'He so chung'!$D$18*S124</f>
        <v>120.28846153846153</v>
      </c>
      <c r="Q124" s="851">
        <f>'He so chung'!$D$19*S124</f>
        <v>96.230769230769212</v>
      </c>
      <c r="R124" s="852">
        <f>'He so chung'!$D$20*S124</f>
        <v>24.057692307692307</v>
      </c>
      <c r="S124" s="853">
        <f>'NC-CLBD'!J17/100</f>
        <v>1.7999999999999999E-2</v>
      </c>
      <c r="T124" s="849" t="e">
        <f>'[1]IV. DONGIA CHỈNH LÝ'!N122</f>
        <v>#VALUE!</v>
      </c>
      <c r="U124" s="849" t="e">
        <f t="shared" si="20"/>
        <v>#VALUE!</v>
      </c>
      <c r="W124" s="854"/>
    </row>
    <row r="125" spans="1:23" s="830" customFormat="1" ht="17.25" customHeight="1">
      <c r="A125" s="331"/>
      <c r="B125" s="848"/>
      <c r="C125" s="586"/>
      <c r="D125" s="331" t="s">
        <v>10</v>
      </c>
      <c r="E125" s="843" t="e">
        <f>'NC-CLBD'!K19/100</f>
        <v>#VALUE!</v>
      </c>
      <c r="F125" s="826"/>
      <c r="G125" s="826">
        <f>$R$1*10*Q125</f>
        <v>0</v>
      </c>
      <c r="H125" s="826">
        <f>'DCu-CLBD'!L68</f>
        <v>38.962698317307684</v>
      </c>
      <c r="I125" s="826">
        <f>$I$124</f>
        <v>58.549500000000002</v>
      </c>
      <c r="J125" s="826">
        <f>'TBI-CLBD'!K23</f>
        <v>181.56000000000003</v>
      </c>
      <c r="K125" s="826">
        <f>'NL-CLBD'!H15</f>
        <v>0.9323999999999999</v>
      </c>
      <c r="L125" s="826" t="e">
        <f>SUM(E125:K125)</f>
        <v>#VALUE!</v>
      </c>
      <c r="M125" s="826" t="e">
        <f>L125*'He so chung'!$D$16/100</f>
        <v>#VALUE!</v>
      </c>
      <c r="N125" s="849" t="e">
        <f>M125+L125</f>
        <v>#VALUE!</v>
      </c>
      <c r="O125" s="849"/>
      <c r="P125" s="850">
        <f>'He so chung'!$D$18*S125</f>
        <v>150.36057692307691</v>
      </c>
      <c r="Q125" s="851">
        <f>'He so chung'!$D$19*S125</f>
        <v>120.28846153846152</v>
      </c>
      <c r="R125" s="852">
        <f>'He so chung'!$D$20*S125</f>
        <v>30.072115384615387</v>
      </c>
      <c r="S125" s="853">
        <f>'NC-CLBD'!J19/100</f>
        <v>2.2499999999999999E-2</v>
      </c>
      <c r="T125" s="849" t="e">
        <f>'[1]IV. DONGIA CHỈNH LÝ'!N123</f>
        <v>#VALUE!</v>
      </c>
      <c r="U125" s="849" t="e">
        <f t="shared" si="20"/>
        <v>#VALUE!</v>
      </c>
      <c r="W125" s="854"/>
    </row>
    <row r="126" spans="1:23" s="830" customFormat="1" ht="17.25" customHeight="1">
      <c r="A126" s="331"/>
      <c r="B126" s="848"/>
      <c r="C126" s="586"/>
      <c r="D126" s="331" t="s">
        <v>11</v>
      </c>
      <c r="E126" s="843" t="e">
        <f>'NC-CLBD'!K21/100</f>
        <v>#VALUE!</v>
      </c>
      <c r="F126" s="826"/>
      <c r="G126" s="826">
        <f>$R$1*10*Q126</f>
        <v>0</v>
      </c>
      <c r="H126" s="826">
        <f>'DCu-CLBD'!L69</f>
        <v>51.950264423076916</v>
      </c>
      <c r="I126" s="826">
        <f>$I$124</f>
        <v>58.549500000000002</v>
      </c>
      <c r="J126" s="826">
        <f>'TBI-CLBD'!M23</f>
        <v>242.28</v>
      </c>
      <c r="K126" s="826">
        <f>'NL-CLBD'!J15</f>
        <v>1.3985999999999998</v>
      </c>
      <c r="L126" s="826" t="e">
        <f>SUM(E126:K126)</f>
        <v>#VALUE!</v>
      </c>
      <c r="M126" s="826" t="e">
        <f>L126*'He so chung'!$D$16/100</f>
        <v>#VALUE!</v>
      </c>
      <c r="N126" s="849" t="e">
        <f>M126+L126</f>
        <v>#VALUE!</v>
      </c>
      <c r="O126" s="849"/>
      <c r="P126" s="850">
        <f>'He so chung'!$D$18*S126</f>
        <v>200.48076923076923</v>
      </c>
      <c r="Q126" s="851">
        <f>'He so chung'!$D$19*S126</f>
        <v>160.38461538461536</v>
      </c>
      <c r="R126" s="852">
        <f>'He so chung'!$D$20*S126</f>
        <v>40.096153846153847</v>
      </c>
      <c r="S126" s="853">
        <f>'NC-CLBD'!J21/100</f>
        <v>0.03</v>
      </c>
      <c r="T126" s="849" t="e">
        <f>'[1]IV. DONGIA CHỈNH LÝ'!N124</f>
        <v>#VALUE!</v>
      </c>
      <c r="U126" s="849" t="e">
        <f t="shared" si="20"/>
        <v>#VALUE!</v>
      </c>
      <c r="W126" s="854"/>
    </row>
    <row r="127" spans="1:23" s="830" customFormat="1" ht="17.25" customHeight="1">
      <c r="A127" s="331"/>
      <c r="B127" s="848"/>
      <c r="C127" s="586"/>
      <c r="D127" s="331" t="s">
        <v>12</v>
      </c>
      <c r="E127" s="843" t="e">
        <f>'NC-CLBD'!K23/100</f>
        <v>#VALUE!</v>
      </c>
      <c r="F127" s="826"/>
      <c r="G127" s="826">
        <f>$R$1*10*Q127</f>
        <v>0</v>
      </c>
      <c r="H127" s="826">
        <f>'DCu-CLBD'!L70</f>
        <v>70.132856971153842</v>
      </c>
      <c r="I127" s="826">
        <f>$I$124</f>
        <v>58.549500000000002</v>
      </c>
      <c r="J127" s="826">
        <f>'TBI-CLBD'!O23</f>
        <v>329.72</v>
      </c>
      <c r="K127" s="826">
        <f>'NL-CLBD'!L15</f>
        <v>1.8647999999999998</v>
      </c>
      <c r="L127" s="826" t="e">
        <f>SUM(E127:K127)</f>
        <v>#VALUE!</v>
      </c>
      <c r="M127" s="826" t="e">
        <f>L127*'He so chung'!$D$16/100</f>
        <v>#VALUE!</v>
      </c>
      <c r="N127" s="849" t="e">
        <f>M127+L127</f>
        <v>#VALUE!</v>
      </c>
      <c r="O127" s="849"/>
      <c r="P127" s="850">
        <f>'He so chung'!$D$18*S127</f>
        <v>270.64903846153851</v>
      </c>
      <c r="Q127" s="851">
        <f>'He so chung'!$D$19*S127</f>
        <v>216.5192307692308</v>
      </c>
      <c r="R127" s="852">
        <f>'He so chung'!$D$20*S127</f>
        <v>54.129807692307708</v>
      </c>
      <c r="S127" s="853">
        <f>'NC-CLBD'!J23/100</f>
        <v>4.0500000000000008E-2</v>
      </c>
      <c r="T127" s="849" t="e">
        <f>'[1]IV. DONGIA CHỈNH LÝ'!N125</f>
        <v>#VALUE!</v>
      </c>
      <c r="U127" s="849" t="e">
        <f t="shared" si="20"/>
        <v>#VALUE!</v>
      </c>
      <c r="W127" s="854"/>
    </row>
    <row r="128" spans="1:23" s="830" customFormat="1" ht="17.25" customHeight="1">
      <c r="A128" s="331"/>
      <c r="B128" s="848"/>
      <c r="C128" s="586"/>
      <c r="D128" s="331" t="s">
        <v>13</v>
      </c>
      <c r="E128" s="843" t="e">
        <f>'NC-CLBD'!K25/100</f>
        <v>#VALUE!</v>
      </c>
      <c r="F128" s="826"/>
      <c r="G128" s="826">
        <f>$R$1*10*Q128</f>
        <v>0</v>
      </c>
      <c r="H128" s="826">
        <f>'DCu-CLBD'!L71</f>
        <v>90.9129627403846</v>
      </c>
      <c r="I128" s="826">
        <f>$I$124</f>
        <v>58.549500000000002</v>
      </c>
      <c r="J128" s="826">
        <f>'TBI-CLBD'!Q23</f>
        <v>417.16</v>
      </c>
      <c r="K128" s="826">
        <f>'NL-CLBD'!N15</f>
        <v>2.331</v>
      </c>
      <c r="L128" s="826" t="e">
        <f>SUM(E128:K128)</f>
        <v>#VALUE!</v>
      </c>
      <c r="M128" s="826" t="e">
        <f>L128*'He so chung'!$D$16/100</f>
        <v>#VALUE!</v>
      </c>
      <c r="N128" s="849" t="e">
        <f>M128+L128</f>
        <v>#VALUE!</v>
      </c>
      <c r="O128" s="849"/>
      <c r="P128" s="850">
        <f>'He so chung'!$D$18*S128</f>
        <v>347.5</v>
      </c>
      <c r="Q128" s="851">
        <f>'He so chung'!$D$19*S128</f>
        <v>278</v>
      </c>
      <c r="R128" s="852">
        <f>'He so chung'!$D$20*S128</f>
        <v>69.500000000000014</v>
      </c>
      <c r="S128" s="853">
        <f>'NC-CLBD'!J25/100</f>
        <v>5.2000000000000005E-2</v>
      </c>
      <c r="T128" s="849" t="e">
        <f>'[1]IV. DONGIA CHỈNH LÝ'!N126</f>
        <v>#VALUE!</v>
      </c>
      <c r="U128" s="849" t="e">
        <f t="shared" si="20"/>
        <v>#VALUE!</v>
      </c>
      <c r="W128" s="854"/>
    </row>
    <row r="129" spans="1:23" s="830" customFormat="1" ht="17.25" customHeight="1">
      <c r="A129" s="848"/>
      <c r="B129" s="848"/>
      <c r="C129" s="848"/>
      <c r="D129" s="331"/>
      <c r="E129" s="843"/>
      <c r="F129" s="826"/>
      <c r="G129" s="826"/>
      <c r="H129" s="826"/>
      <c r="I129" s="826"/>
      <c r="J129" s="826"/>
      <c r="K129" s="826"/>
      <c r="L129" s="826"/>
      <c r="M129" s="826"/>
      <c r="N129" s="849"/>
      <c r="O129" s="849"/>
      <c r="P129" s="850"/>
      <c r="Q129" s="851"/>
      <c r="R129" s="852"/>
      <c r="S129" s="853"/>
      <c r="T129" s="849">
        <f>'[1]IV. DONGIA CHỈNH LÝ'!N127</f>
        <v>0</v>
      </c>
      <c r="U129" s="849">
        <f t="shared" si="20"/>
        <v>0</v>
      </c>
      <c r="W129" s="854"/>
    </row>
    <row r="130" spans="1:23" s="830" customFormat="1" ht="17.25" customHeight="1">
      <c r="A130" s="331" t="s">
        <v>11</v>
      </c>
      <c r="B130" s="848" t="s">
        <v>77</v>
      </c>
      <c r="C130" s="586" t="s">
        <v>278</v>
      </c>
      <c r="D130" s="331" t="s">
        <v>9</v>
      </c>
      <c r="E130" s="843" t="e">
        <f>'NC-CLBD'!K28/100</f>
        <v>#VALUE!</v>
      </c>
      <c r="F130" s="826">
        <f>'NC-CLBD'!K29/100</f>
        <v>5567.5</v>
      </c>
      <c r="G130" s="826">
        <f>$R$1*10*Q130</f>
        <v>0</v>
      </c>
      <c r="H130" s="826">
        <f>'DCu-CLBD'!L112</f>
        <v>554.38364423076905</v>
      </c>
      <c r="I130" s="826">
        <f>'VL-CLBD'!J39</f>
        <v>1170.99</v>
      </c>
      <c r="J130" s="826">
        <f>'TBI-CLBD'!I73</f>
        <v>2689.52</v>
      </c>
      <c r="K130" s="826">
        <f>'NL-CLBD'!F39</f>
        <v>14.763</v>
      </c>
      <c r="L130" s="826" t="e">
        <f>SUM(E130:K130)</f>
        <v>#VALUE!</v>
      </c>
      <c r="M130" s="826" t="e">
        <f>L130*'He so chung'!$D$16/100</f>
        <v>#VALUE!</v>
      </c>
      <c r="N130" s="849" t="e">
        <f>M130+L130</f>
        <v>#VALUE!</v>
      </c>
      <c r="O130" s="849">
        <v>850</v>
      </c>
      <c r="P130" s="850">
        <f>'He so chung'!$D$18*S130</f>
        <v>2034.8798076923076</v>
      </c>
      <c r="Q130" s="851">
        <f>'He so chung'!$D$19*S130</f>
        <v>1627.903846153846</v>
      </c>
      <c r="R130" s="852">
        <f>'He so chung'!$D$20*S130</f>
        <v>406.97596153846155</v>
      </c>
      <c r="S130" s="853">
        <f>'NC-CLBD'!J28/100</f>
        <v>0.30449999999999999</v>
      </c>
      <c r="T130" s="849" t="e">
        <f>'[1]IV. DONGIA CHỈNH LÝ'!N128</f>
        <v>#VALUE!</v>
      </c>
      <c r="U130" s="849" t="e">
        <f t="shared" si="20"/>
        <v>#VALUE!</v>
      </c>
      <c r="W130" s="854"/>
    </row>
    <row r="131" spans="1:23" s="830" customFormat="1" ht="17.25" customHeight="1">
      <c r="A131" s="331"/>
      <c r="B131" s="848"/>
      <c r="C131" s="586"/>
      <c r="D131" s="331" t="s">
        <v>10</v>
      </c>
      <c r="E131" s="843" t="e">
        <f>'NC-CLBD'!K32/100</f>
        <v>#VALUE!</v>
      </c>
      <c r="F131" s="826">
        <f>'NC-CLBD'!K33/100</f>
        <v>6694.1</v>
      </c>
      <c r="G131" s="826">
        <f>$R$1*10*Q131</f>
        <v>0</v>
      </c>
      <c r="H131" s="826">
        <f>'DCu-CLBD'!L113</f>
        <v>692.97955528846137</v>
      </c>
      <c r="I131" s="826">
        <f>$I$130</f>
        <v>1170.99</v>
      </c>
      <c r="J131" s="826">
        <f>'TBI-CLBD'!K73</f>
        <v>3361.56</v>
      </c>
      <c r="K131" s="826">
        <f>'NL-CLBD'!H39</f>
        <v>18.9588</v>
      </c>
      <c r="L131" s="826" t="e">
        <f>SUM(E131:K131)</f>
        <v>#VALUE!</v>
      </c>
      <c r="M131" s="826" t="e">
        <f>L131*'He so chung'!$D$16/100</f>
        <v>#VALUE!</v>
      </c>
      <c r="N131" s="849" t="e">
        <f>M131+L131</f>
        <v>#VALUE!</v>
      </c>
      <c r="O131" s="849">
        <v>1022</v>
      </c>
      <c r="P131" s="850">
        <f>'He so chung'!$D$18*S131</f>
        <v>2442.5240384615386</v>
      </c>
      <c r="Q131" s="851">
        <f>'He so chung'!$D$19*S131</f>
        <v>1954.0192307692305</v>
      </c>
      <c r="R131" s="852">
        <f>'He so chung'!$D$20*S131</f>
        <v>488.50480769230774</v>
      </c>
      <c r="S131" s="853">
        <f>'NC-CLBD'!J32/100</f>
        <v>0.36549999999999999</v>
      </c>
      <c r="T131" s="849" t="e">
        <f>'[1]IV. DONGIA CHỈNH LÝ'!N129</f>
        <v>#VALUE!</v>
      </c>
      <c r="U131" s="849" t="e">
        <f t="shared" si="20"/>
        <v>#VALUE!</v>
      </c>
      <c r="W131" s="854"/>
    </row>
    <row r="132" spans="1:23" s="830" customFormat="1" ht="17.25" customHeight="1">
      <c r="A132" s="331"/>
      <c r="B132" s="848"/>
      <c r="C132" s="586"/>
      <c r="D132" s="331" t="s">
        <v>11</v>
      </c>
      <c r="E132" s="843" t="e">
        <f>'NC-CLBD'!K36/100</f>
        <v>#VALUE!</v>
      </c>
      <c r="F132" s="826">
        <f>'NC-CLBD'!K37/100</f>
        <v>8017.2</v>
      </c>
      <c r="G132" s="826">
        <f>$R$1*10*Q132</f>
        <v>0</v>
      </c>
      <c r="H132" s="826">
        <f>'DCu-CLBD'!L114</f>
        <v>923.97274038461512</v>
      </c>
      <c r="I132" s="826">
        <f>$I$130</f>
        <v>1170.99</v>
      </c>
      <c r="J132" s="826">
        <f>'TBI-CLBD'!M73</f>
        <v>4473.96</v>
      </c>
      <c r="K132" s="826">
        <f>'NL-CLBD'!J39</f>
        <v>25.174800000000001</v>
      </c>
      <c r="L132" s="826" t="e">
        <f>SUM(E132:K132)</f>
        <v>#VALUE!</v>
      </c>
      <c r="M132" s="826" t="e">
        <f>L132*'He so chung'!$D$16/100</f>
        <v>#VALUE!</v>
      </c>
      <c r="N132" s="849" t="e">
        <f>M132+L132</f>
        <v>#VALUE!</v>
      </c>
      <c r="O132" s="849">
        <v>1224</v>
      </c>
      <c r="P132" s="850">
        <f>'He so chung'!$D$18*S132</f>
        <v>2927.0192307692305</v>
      </c>
      <c r="Q132" s="851">
        <f>'He so chung'!$D$19*S132</f>
        <v>2341.6153846153843</v>
      </c>
      <c r="R132" s="852">
        <f>'He so chung'!$D$20*S132</f>
        <v>585.40384615384619</v>
      </c>
      <c r="S132" s="853">
        <f>'NC-CLBD'!J36/100</f>
        <v>0.43799999999999994</v>
      </c>
      <c r="T132" s="849" t="e">
        <f>'[1]IV. DONGIA CHỈNH LÝ'!N130</f>
        <v>#VALUE!</v>
      </c>
      <c r="U132" s="849" t="e">
        <f t="shared" si="20"/>
        <v>#VALUE!</v>
      </c>
      <c r="W132" s="854"/>
    </row>
    <row r="133" spans="1:23" s="830" customFormat="1" ht="17.25" customHeight="1">
      <c r="A133" s="331"/>
      <c r="B133" s="848"/>
      <c r="C133" s="586"/>
      <c r="D133" s="331" t="s">
        <v>12</v>
      </c>
      <c r="E133" s="843" t="e">
        <f>'NC-CLBD'!K40/100</f>
        <v>#VALUE!</v>
      </c>
      <c r="F133" s="826">
        <f>'NC-CLBD'!K41/100</f>
        <v>9628.5</v>
      </c>
      <c r="G133" s="826">
        <f>$R$1*10*Q133</f>
        <v>0</v>
      </c>
      <c r="H133" s="826">
        <f>'DCu-CLBD'!L115</f>
        <v>1247.3631995192304</v>
      </c>
      <c r="I133" s="826">
        <f>$I$130</f>
        <v>1170.99</v>
      </c>
      <c r="J133" s="826">
        <f>'TBI-CLBD'!O73</f>
        <v>6051.08</v>
      </c>
      <c r="K133" s="826">
        <f>'NL-CLBD'!L39</f>
        <v>33.566400000000002</v>
      </c>
      <c r="L133" s="826" t="e">
        <f>SUM(E133:K133)</f>
        <v>#VALUE!</v>
      </c>
      <c r="M133" s="826" t="e">
        <f>L133*'He so chung'!$D$16/100</f>
        <v>#VALUE!</v>
      </c>
      <c r="N133" s="849" t="e">
        <f>M133+L133</f>
        <v>#VALUE!</v>
      </c>
      <c r="O133" s="849">
        <v>1470</v>
      </c>
      <c r="P133" s="850">
        <f>'He so chung'!$D$18*S133</f>
        <v>3515.0961538461534</v>
      </c>
      <c r="Q133" s="851">
        <f>'He so chung'!$D$19*S133</f>
        <v>2812.0769230769224</v>
      </c>
      <c r="R133" s="852">
        <f>'He so chung'!$D$20*S133</f>
        <v>703.01923076923072</v>
      </c>
      <c r="S133" s="853">
        <f>'NC-CLBD'!J40/100</f>
        <v>0.52599999999999991</v>
      </c>
      <c r="T133" s="849" t="e">
        <f>'[1]IV. DONGIA CHỈNH LÝ'!N131</f>
        <v>#VALUE!</v>
      </c>
      <c r="U133" s="849" t="e">
        <f t="shared" si="20"/>
        <v>#VALUE!</v>
      </c>
      <c r="W133" s="854"/>
    </row>
    <row r="134" spans="1:23" s="830" customFormat="1" ht="17.25" customHeight="1">
      <c r="A134" s="331"/>
      <c r="B134" s="848"/>
      <c r="C134" s="586"/>
      <c r="D134" s="331" t="s">
        <v>13</v>
      </c>
      <c r="E134" s="843" t="e">
        <f>'NC-CLBD'!K44/100</f>
        <v>#VALUE!</v>
      </c>
      <c r="F134" s="826">
        <f>'NC-CLBD'!K45/100</f>
        <v>11554.2</v>
      </c>
      <c r="G134" s="826">
        <f>$R$1*10*Q134</f>
        <v>0</v>
      </c>
      <c r="H134" s="826">
        <f>'DCu-CLBD'!L116</f>
        <v>1616.9522956730764</v>
      </c>
      <c r="I134" s="826">
        <f>$I$130</f>
        <v>1170.99</v>
      </c>
      <c r="J134" s="826">
        <f>'TBI-CLBD'!Q73</f>
        <v>7835.52</v>
      </c>
      <c r="K134" s="826">
        <f>'NL-CLBD'!N39</f>
        <v>44.133599999999994</v>
      </c>
      <c r="L134" s="826" t="e">
        <f>SUM(E134:K134)</f>
        <v>#VALUE!</v>
      </c>
      <c r="M134" s="826" t="e">
        <f>L134*'He so chung'!$D$16/100</f>
        <v>#VALUE!</v>
      </c>
      <c r="N134" s="849" t="e">
        <f>M134+L134</f>
        <v>#VALUE!</v>
      </c>
      <c r="O134" s="849">
        <v>1764</v>
      </c>
      <c r="P134" s="850">
        <f>'He so chung'!$D$18*S134</f>
        <v>4216.7788461538457</v>
      </c>
      <c r="Q134" s="851">
        <f>'He so chung'!$D$19*S134</f>
        <v>3373.4230769230762</v>
      </c>
      <c r="R134" s="852">
        <f>'He so chung'!$D$20*S134</f>
        <v>843.35576923076917</v>
      </c>
      <c r="S134" s="853">
        <f>'NC-CLBD'!J44/100</f>
        <v>0.63099999999999989</v>
      </c>
      <c r="T134" s="849" t="e">
        <f>'[1]IV. DONGIA CHỈNH LÝ'!N132</f>
        <v>#VALUE!</v>
      </c>
      <c r="U134" s="849" t="e">
        <f t="shared" si="20"/>
        <v>#VALUE!</v>
      </c>
      <c r="W134" s="854"/>
    </row>
    <row r="135" spans="1:23" s="830" customFormat="1" ht="17.25" customHeight="1">
      <c r="A135" s="331"/>
      <c r="B135" s="848"/>
      <c r="C135" s="586"/>
      <c r="D135" s="331"/>
      <c r="E135" s="843"/>
      <c r="F135" s="826"/>
      <c r="G135" s="826"/>
      <c r="H135" s="826"/>
      <c r="I135" s="826"/>
      <c r="J135" s="826"/>
      <c r="K135" s="826"/>
      <c r="L135" s="826"/>
      <c r="M135" s="826"/>
      <c r="N135" s="849"/>
      <c r="O135" s="849"/>
      <c r="P135" s="826"/>
      <c r="Q135" s="851"/>
      <c r="R135" s="852"/>
      <c r="S135" s="853"/>
      <c r="T135" s="849">
        <f>'[1]IV. DONGIA CHỈNH LÝ'!N133</f>
        <v>0</v>
      </c>
      <c r="U135" s="849">
        <f t="shared" si="20"/>
        <v>0</v>
      </c>
      <c r="W135" s="854"/>
    </row>
    <row r="136" spans="1:23" s="830" customFormat="1" ht="17.25" customHeight="1">
      <c r="A136" s="841" t="s">
        <v>4</v>
      </c>
      <c r="B136" s="842" t="s">
        <v>382</v>
      </c>
      <c r="C136" s="848"/>
      <c r="D136" s="331"/>
      <c r="E136" s="843"/>
      <c r="F136" s="826"/>
      <c r="G136" s="826"/>
      <c r="H136" s="826"/>
      <c r="I136" s="826"/>
      <c r="J136" s="826"/>
      <c r="K136" s="826"/>
      <c r="L136" s="826"/>
      <c r="M136" s="826"/>
      <c r="N136" s="849"/>
      <c r="O136" s="849"/>
      <c r="P136" s="826"/>
      <c r="Q136" s="851"/>
      <c r="R136" s="852"/>
      <c r="S136" s="853"/>
      <c r="T136" s="849">
        <f>'[1]IV. DONGIA CHỈNH LÝ'!N134</f>
        <v>0</v>
      </c>
      <c r="U136" s="849">
        <f t="shared" si="20"/>
        <v>0</v>
      </c>
      <c r="W136" s="854"/>
    </row>
    <row r="137" spans="1:23" s="830" customFormat="1" ht="17.25" customHeight="1">
      <c r="A137" s="331" t="s">
        <v>9</v>
      </c>
      <c r="B137" s="848" t="s">
        <v>383</v>
      </c>
      <c r="C137" s="586"/>
      <c r="D137" s="331"/>
      <c r="E137" s="843"/>
      <c r="F137" s="826"/>
      <c r="G137" s="826"/>
      <c r="H137" s="826"/>
      <c r="I137" s="826"/>
      <c r="J137" s="826"/>
      <c r="K137" s="826"/>
      <c r="L137" s="826"/>
      <c r="M137" s="826"/>
      <c r="N137" s="849"/>
      <c r="O137" s="849"/>
      <c r="P137" s="826"/>
      <c r="Q137" s="892"/>
      <c r="R137" s="893"/>
      <c r="S137" s="893"/>
      <c r="T137" s="849">
        <f>'[1]IV. DONGIA CHỈNH LÝ'!N135</f>
        <v>0</v>
      </c>
      <c r="U137" s="849">
        <f t="shared" si="20"/>
        <v>0</v>
      </c>
      <c r="W137" s="854"/>
    </row>
    <row r="138" spans="1:23" s="830" customFormat="1" ht="17.25" customHeight="1">
      <c r="A138" s="848"/>
      <c r="B138" s="848"/>
      <c r="C138" s="848"/>
      <c r="D138" s="331"/>
      <c r="E138" s="843"/>
      <c r="F138" s="826"/>
      <c r="G138" s="826"/>
      <c r="H138" s="826"/>
      <c r="I138" s="826"/>
      <c r="J138" s="826"/>
      <c r="K138" s="826"/>
      <c r="L138" s="826"/>
      <c r="M138" s="826"/>
      <c r="N138" s="849"/>
      <c r="O138" s="849"/>
      <c r="P138" s="826"/>
      <c r="Q138" s="851"/>
      <c r="R138" s="852"/>
      <c r="S138" s="853"/>
      <c r="T138" s="849">
        <f>'[1]IV. DONGIA CHỈNH LÝ'!N136</f>
        <v>0</v>
      </c>
      <c r="U138" s="849">
        <f t="shared" si="20"/>
        <v>0</v>
      </c>
      <c r="W138" s="854"/>
    </row>
    <row r="139" spans="1:23" s="830" customFormat="1" ht="17.25" customHeight="1">
      <c r="A139" s="331" t="s">
        <v>10</v>
      </c>
      <c r="B139" s="848" t="s">
        <v>490</v>
      </c>
      <c r="C139" s="586" t="s">
        <v>278</v>
      </c>
      <c r="D139" s="331" t="s">
        <v>9</v>
      </c>
      <c r="E139" s="843" t="e">
        <f>'NC-CLBD'!K54/100</f>
        <v>#VALUE!</v>
      </c>
      <c r="F139" s="826"/>
      <c r="G139" s="826">
        <f>$R$1*10*Q139</f>
        <v>0</v>
      </c>
      <c r="H139" s="826">
        <f>'DCu-CLBD'!L156</f>
        <v>109.57465400000005</v>
      </c>
      <c r="I139" s="826">
        <f>'VL-CLBD'!J71</f>
        <v>5611.8959999999997</v>
      </c>
      <c r="J139" s="826">
        <f>'TBI-CLBD'!I122</f>
        <v>144.35319999999999</v>
      </c>
      <c r="K139" s="826">
        <f>'NL-CLBD'!F65</f>
        <v>261.22739999999999</v>
      </c>
      <c r="L139" s="826" t="e">
        <f>SUM(E139:K139)</f>
        <v>#VALUE!</v>
      </c>
      <c r="M139" s="826" t="e">
        <f>L139*'He so chung'!$D$17/100</f>
        <v>#VALUE!</v>
      </c>
      <c r="N139" s="849" t="e">
        <f>M139+L139</f>
        <v>#VALUE!</v>
      </c>
      <c r="O139" s="849"/>
      <c r="P139" s="850">
        <f>'He so chung'!$D$21*S139</f>
        <v>67.628846153846155</v>
      </c>
      <c r="Q139" s="851">
        <f>'He so chung'!$D$22*S139</f>
        <v>58.807692307692307</v>
      </c>
      <c r="R139" s="852">
        <f>'He so chung'!$D$23*S139</f>
        <v>8.8211538461538463</v>
      </c>
      <c r="S139" s="853">
        <f>'NC-CLBD'!J54/100</f>
        <v>1.1000000000000001E-2</v>
      </c>
      <c r="T139" s="849" t="e">
        <f>'[1]IV. DONGIA CHỈNH LÝ'!N137</f>
        <v>#VALUE!</v>
      </c>
      <c r="U139" s="849" t="e">
        <f t="shared" si="20"/>
        <v>#VALUE!</v>
      </c>
      <c r="W139" s="854"/>
    </row>
    <row r="140" spans="1:23" s="830" customFormat="1" ht="17.25" customHeight="1">
      <c r="A140" s="331"/>
      <c r="B140" s="848"/>
      <c r="C140" s="586"/>
      <c r="D140" s="331" t="s">
        <v>10</v>
      </c>
      <c r="E140" s="843" t="e">
        <f>'NC-CLBD'!K56/100</f>
        <v>#VALUE!</v>
      </c>
      <c r="F140" s="826"/>
      <c r="G140" s="826">
        <f>$R$1*10*Q140</f>
        <v>0</v>
      </c>
      <c r="H140" s="826">
        <f>'DCu-CLBD'!L157</f>
        <v>136.96831750000007</v>
      </c>
      <c r="I140" s="826">
        <f>$I$139</f>
        <v>5611.8959999999997</v>
      </c>
      <c r="J140" s="826">
        <f>'TBI-CLBD'!K122</f>
        <v>149.7448</v>
      </c>
      <c r="K140" s="826">
        <f>'NL-CLBD'!H65</f>
        <v>270.5514</v>
      </c>
      <c r="L140" s="826" t="e">
        <f>SUM(E140:K140)</f>
        <v>#VALUE!</v>
      </c>
      <c r="M140" s="826" t="e">
        <f>L140*'He so chung'!$D$17/100</f>
        <v>#VALUE!</v>
      </c>
      <c r="N140" s="849" t="e">
        <f>M140+L140</f>
        <v>#VALUE!</v>
      </c>
      <c r="O140" s="849"/>
      <c r="P140" s="850">
        <f>'He so chung'!$D$21*S140</f>
        <v>84.84346153846154</v>
      </c>
      <c r="Q140" s="851">
        <f>'He so chung'!$D$22*S140</f>
        <v>73.776923076923069</v>
      </c>
      <c r="R140" s="852">
        <f>'He so chung'!$D$23*S140</f>
        <v>11.06653846153846</v>
      </c>
      <c r="S140" s="853">
        <f>'NC-CLBD'!J56/100</f>
        <v>1.38E-2</v>
      </c>
      <c r="T140" s="849" t="e">
        <f>'[1]IV. DONGIA CHỈNH LÝ'!N138</f>
        <v>#VALUE!</v>
      </c>
      <c r="U140" s="849" t="e">
        <f t="shared" si="20"/>
        <v>#VALUE!</v>
      </c>
      <c r="W140" s="854"/>
    </row>
    <row r="141" spans="1:23" s="830" customFormat="1" ht="17.25" customHeight="1">
      <c r="A141" s="331"/>
      <c r="B141" s="848"/>
      <c r="C141" s="586"/>
      <c r="D141" s="331" t="s">
        <v>11</v>
      </c>
      <c r="E141" s="843" t="e">
        <f>'NC-CLBD'!K58/100</f>
        <v>#VALUE!</v>
      </c>
      <c r="F141" s="826"/>
      <c r="G141" s="826">
        <f>$R$1*10*Q141</f>
        <v>0</v>
      </c>
      <c r="H141" s="826">
        <f>'DCu-CLBD'!L158</f>
        <v>182.62442333333343</v>
      </c>
      <c r="I141" s="826">
        <f>$I$139</f>
        <v>5611.8959999999997</v>
      </c>
      <c r="J141" s="826">
        <f>'TBI-CLBD'!M122</f>
        <v>159.31639999999999</v>
      </c>
      <c r="K141" s="826">
        <f>'NL-CLBD'!J65</f>
        <v>287.80079999999998</v>
      </c>
      <c r="L141" s="826" t="e">
        <f>SUM(E141:K141)</f>
        <v>#VALUE!</v>
      </c>
      <c r="M141" s="826" t="e">
        <f>L141*'He so chung'!$D$17/100</f>
        <v>#VALUE!</v>
      </c>
      <c r="N141" s="849" t="e">
        <f>M141+L141</f>
        <v>#VALUE!</v>
      </c>
      <c r="O141" s="849"/>
      <c r="P141" s="850">
        <f>'He so chung'!$D$21*S141</f>
        <v>113.12461538461538</v>
      </c>
      <c r="Q141" s="851">
        <f>'He so chung'!$D$22*S141</f>
        <v>98.369230769230754</v>
      </c>
      <c r="R141" s="852">
        <f>'He so chung'!$D$23*S141</f>
        <v>14.755384615384616</v>
      </c>
      <c r="S141" s="853">
        <f>'NC-CLBD'!J58/100</f>
        <v>1.84E-2</v>
      </c>
      <c r="T141" s="849" t="e">
        <f>'[1]IV. DONGIA CHỈNH LÝ'!N139</f>
        <v>#VALUE!</v>
      </c>
      <c r="U141" s="849" t="e">
        <f t="shared" si="20"/>
        <v>#VALUE!</v>
      </c>
      <c r="W141" s="854"/>
    </row>
    <row r="142" spans="1:23" s="830" customFormat="1" ht="17.25" customHeight="1">
      <c r="A142" s="331"/>
      <c r="B142" s="848"/>
      <c r="C142" s="586"/>
      <c r="D142" s="331" t="s">
        <v>12</v>
      </c>
      <c r="E142" s="843" t="e">
        <f>'NC-CLBD'!K60/100</f>
        <v>#VALUE!</v>
      </c>
      <c r="F142" s="826"/>
      <c r="G142" s="826">
        <f>$R$1*10*Q142</f>
        <v>0</v>
      </c>
      <c r="H142" s="826">
        <f>'DCu-CLBD'!L159</f>
        <v>246.54297150000014</v>
      </c>
      <c r="I142" s="826">
        <f>$I$139</f>
        <v>5611.8959999999997</v>
      </c>
      <c r="J142" s="826">
        <f>'TBI-CLBD'!O122</f>
        <v>172.178</v>
      </c>
      <c r="K142" s="826">
        <f>'NL-CLBD'!L65</f>
        <v>311.11079999999998</v>
      </c>
      <c r="L142" s="826" t="e">
        <f>SUM(E142:K142)</f>
        <v>#VALUE!</v>
      </c>
      <c r="M142" s="826" t="e">
        <f>L142*'He so chung'!$D$17/100</f>
        <v>#VALUE!</v>
      </c>
      <c r="N142" s="849" t="e">
        <f>M142+L142</f>
        <v>#VALUE!</v>
      </c>
      <c r="O142" s="849"/>
      <c r="P142" s="850">
        <f>'He so chung'!$D$21*S142</f>
        <v>152.47230769230768</v>
      </c>
      <c r="Q142" s="851">
        <f>'He so chung'!$D$22*S142</f>
        <v>132.58461538461538</v>
      </c>
      <c r="R142" s="852">
        <f>'He so chung'!$D$23*S142</f>
        <v>19.887692307692305</v>
      </c>
      <c r="S142" s="853">
        <f>'NC-CLBD'!J60/100</f>
        <v>2.4799999999999999E-2</v>
      </c>
      <c r="T142" s="849" t="e">
        <f>'[1]IV. DONGIA CHỈNH LÝ'!N140</f>
        <v>#VALUE!</v>
      </c>
      <c r="U142" s="849" t="e">
        <f t="shared" si="20"/>
        <v>#VALUE!</v>
      </c>
      <c r="W142" s="854"/>
    </row>
    <row r="143" spans="1:23" s="830" customFormat="1" ht="17.25" customHeight="1">
      <c r="A143" s="331"/>
      <c r="B143" s="848"/>
      <c r="C143" s="586"/>
      <c r="D143" s="331" t="s">
        <v>13</v>
      </c>
      <c r="E143" s="843" t="e">
        <f>'NC-CLBD'!K62/100</f>
        <v>#VALUE!</v>
      </c>
      <c r="F143" s="826"/>
      <c r="G143" s="826">
        <f>$R$1*10*Q143</f>
        <v>0</v>
      </c>
      <c r="H143" s="826">
        <f>'DCu-CLBD'!L160</f>
        <v>319.59274083333349</v>
      </c>
      <c r="I143" s="826">
        <f>$I$139</f>
        <v>5611.8959999999997</v>
      </c>
      <c r="J143" s="826">
        <f>'TBI-CLBD'!Q122</f>
        <v>187.7296</v>
      </c>
      <c r="K143" s="826">
        <f>'NL-CLBD'!N65</f>
        <v>339.23820000000001</v>
      </c>
      <c r="L143" s="826" t="e">
        <f>SUM(E143:K143)</f>
        <v>#VALUE!</v>
      </c>
      <c r="M143" s="826" t="e">
        <f>L143*'He so chung'!$D$17/100</f>
        <v>#VALUE!</v>
      </c>
      <c r="N143" s="849" t="e">
        <f>M143+L143</f>
        <v>#VALUE!</v>
      </c>
      <c r="O143" s="849"/>
      <c r="P143" s="850">
        <f>'He so chung'!$D$21*S143</f>
        <v>197.96807692307692</v>
      </c>
      <c r="Q143" s="851">
        <f>'He so chung'!$D$22*S143</f>
        <v>172.14615384615382</v>
      </c>
      <c r="R143" s="852">
        <f>'He so chung'!$D$23*S143</f>
        <v>25.821923076923078</v>
      </c>
      <c r="S143" s="853">
        <f>'NC-CLBD'!J62/100</f>
        <v>3.2199999999999999E-2</v>
      </c>
      <c r="T143" s="849" t="e">
        <f>'[1]IV. DONGIA CHỈNH LÝ'!N141</f>
        <v>#VALUE!</v>
      </c>
      <c r="U143" s="849" t="e">
        <f t="shared" si="20"/>
        <v>#VALUE!</v>
      </c>
      <c r="W143" s="854"/>
    </row>
    <row r="144" spans="1:23" s="830" customFormat="1" ht="17.25" customHeight="1">
      <c r="A144" s="848"/>
      <c r="B144" s="848"/>
      <c r="C144" s="848"/>
      <c r="D144" s="331"/>
      <c r="E144" s="843"/>
      <c r="F144" s="826"/>
      <c r="G144" s="826"/>
      <c r="H144" s="826"/>
      <c r="I144" s="826"/>
      <c r="J144" s="826"/>
      <c r="K144" s="826"/>
      <c r="L144" s="826"/>
      <c r="M144" s="826"/>
      <c r="N144" s="849"/>
      <c r="O144" s="849"/>
      <c r="P144" s="850"/>
      <c r="Q144" s="851"/>
      <c r="R144" s="852"/>
      <c r="S144" s="853"/>
      <c r="T144" s="849">
        <f>'[1]IV. DONGIA CHỈNH LÝ'!N142</f>
        <v>0</v>
      </c>
      <c r="U144" s="849">
        <f t="shared" si="20"/>
        <v>0</v>
      </c>
      <c r="W144" s="854"/>
    </row>
    <row r="145" spans="1:23" s="830" customFormat="1" ht="17.25" customHeight="1">
      <c r="A145" s="331" t="s">
        <v>11</v>
      </c>
      <c r="B145" s="848" t="s">
        <v>384</v>
      </c>
      <c r="C145" s="586" t="s">
        <v>278</v>
      </c>
      <c r="D145" s="331" t="s">
        <v>8</v>
      </c>
      <c r="E145" s="843" t="e">
        <f>'NC-CLBD'!K64/100</f>
        <v>#VALUE!</v>
      </c>
      <c r="F145" s="826"/>
      <c r="G145" s="826">
        <f>$R$1*10*Q145</f>
        <v>0</v>
      </c>
      <c r="H145" s="826"/>
      <c r="I145" s="826"/>
      <c r="J145" s="826"/>
      <c r="K145" s="826"/>
      <c r="L145" s="826" t="e">
        <f>SUM(E145:K145)</f>
        <v>#VALUE!</v>
      </c>
      <c r="M145" s="826" t="e">
        <f>L145*'He so chung'!$D$17/100</f>
        <v>#VALUE!</v>
      </c>
      <c r="N145" s="849" t="e">
        <f>M145+L145</f>
        <v>#VALUE!</v>
      </c>
      <c r="O145" s="849"/>
      <c r="P145" s="850">
        <f>'He so chung'!$D$21*S145</f>
        <v>184.44230769230768</v>
      </c>
      <c r="Q145" s="851">
        <f>'He so chung'!$D$22*S145</f>
        <v>160.38461538461536</v>
      </c>
      <c r="R145" s="852">
        <f>'He so chung'!$D$23*S145</f>
        <v>24.057692307692307</v>
      </c>
      <c r="S145" s="853">
        <f>'NC-CLBD'!J64/100</f>
        <v>0.03</v>
      </c>
      <c r="T145" s="849" t="e">
        <f>'[1]IV. DONGIA CHỈNH LÝ'!N143</f>
        <v>#VALUE!</v>
      </c>
      <c r="U145" s="849" t="e">
        <f t="shared" si="20"/>
        <v>#VALUE!</v>
      </c>
      <c r="W145" s="854"/>
    </row>
    <row r="146" spans="1:23" s="830" customFormat="1" ht="17.25" customHeight="1">
      <c r="A146" s="331"/>
      <c r="B146" s="848" t="s">
        <v>387</v>
      </c>
      <c r="C146" s="586"/>
      <c r="D146" s="331"/>
      <c r="E146" s="843"/>
      <c r="F146" s="826"/>
      <c r="G146" s="826"/>
      <c r="H146" s="826"/>
      <c r="I146" s="826"/>
      <c r="J146" s="826"/>
      <c r="K146" s="826"/>
      <c r="L146" s="826"/>
      <c r="M146" s="826"/>
      <c r="N146" s="849"/>
      <c r="O146" s="849"/>
      <c r="P146" s="850"/>
      <c r="Q146" s="851"/>
      <c r="R146" s="852"/>
      <c r="S146" s="853"/>
      <c r="T146" s="849">
        <f>'[1]IV. DONGIA CHỈNH LÝ'!N144</f>
        <v>0</v>
      </c>
      <c r="U146" s="849">
        <f t="shared" si="20"/>
        <v>0</v>
      </c>
      <c r="W146" s="854"/>
    </row>
    <row r="147" spans="1:23" s="830" customFormat="1" ht="17.25" customHeight="1">
      <c r="A147" s="331"/>
      <c r="B147" s="848"/>
      <c r="C147" s="586"/>
      <c r="D147" s="331"/>
      <c r="E147" s="843"/>
      <c r="F147" s="826"/>
      <c r="G147" s="826"/>
      <c r="H147" s="826"/>
      <c r="I147" s="826"/>
      <c r="J147" s="826"/>
      <c r="K147" s="826"/>
      <c r="L147" s="826"/>
      <c r="M147" s="826"/>
      <c r="N147" s="849"/>
      <c r="O147" s="849"/>
      <c r="P147" s="850"/>
      <c r="Q147" s="851"/>
      <c r="R147" s="852"/>
      <c r="S147" s="856"/>
      <c r="T147" s="849">
        <f>'[1]IV. DONGIA CHỈNH LÝ'!N145</f>
        <v>0</v>
      </c>
      <c r="U147" s="849">
        <f t="shared" si="20"/>
        <v>0</v>
      </c>
      <c r="W147" s="854"/>
    </row>
    <row r="148" spans="1:23" s="830" customFormat="1" ht="17.25" customHeight="1">
      <c r="A148" s="331" t="s">
        <v>12</v>
      </c>
      <c r="B148" s="848" t="s">
        <v>363</v>
      </c>
      <c r="C148" s="586" t="s">
        <v>278</v>
      </c>
      <c r="D148" s="331" t="s">
        <v>8</v>
      </c>
      <c r="E148" s="843" t="e">
        <f>'NC-CLBD'!K67/100</f>
        <v>#VALUE!</v>
      </c>
      <c r="F148" s="826"/>
      <c r="G148" s="826">
        <f>$R$1*10*Q148</f>
        <v>0</v>
      </c>
      <c r="H148" s="826">
        <f>'DCu-CLBD'!L186</f>
        <v>184.59746666666666</v>
      </c>
      <c r="I148" s="826">
        <f>'VL-CLBD'!J92</f>
        <v>1232.28</v>
      </c>
      <c r="J148" s="826">
        <f>'TBI-CLBD'!I155</f>
        <v>105.78</v>
      </c>
      <c r="K148" s="826">
        <f>'NL-CLBD'!F86</f>
        <v>191.142</v>
      </c>
      <c r="L148" s="826" t="e">
        <f>SUM(E148:K148)</f>
        <v>#VALUE!</v>
      </c>
      <c r="M148" s="826" t="e">
        <f>L148*'He so chung'!$D$17/100</f>
        <v>#VALUE!</v>
      </c>
      <c r="N148" s="849" t="e">
        <f>M148+L148</f>
        <v>#VALUE!</v>
      </c>
      <c r="O148" s="849"/>
      <c r="P148" s="850">
        <f>'He so chung'!$D$21*S148</f>
        <v>159.85000000000002</v>
      </c>
      <c r="Q148" s="851">
        <f>'He so chung'!$D$22*S148</f>
        <v>139</v>
      </c>
      <c r="R148" s="852">
        <f>'He so chung'!$D$23*S148</f>
        <v>20.85</v>
      </c>
      <c r="S148" s="853">
        <f>'NC-CLBD'!J67/100</f>
        <v>2.6000000000000002E-2</v>
      </c>
      <c r="T148" s="849" t="e">
        <f>'[1]IV. DONGIA CHỈNH LÝ'!N146</f>
        <v>#VALUE!</v>
      </c>
      <c r="U148" s="849" t="e">
        <f t="shared" si="20"/>
        <v>#VALUE!</v>
      </c>
      <c r="W148" s="854"/>
    </row>
    <row r="149" spans="1:23" s="830" customFormat="1" ht="17.25" customHeight="1">
      <c r="A149" s="331"/>
      <c r="B149" s="848"/>
      <c r="C149" s="855"/>
      <c r="D149" s="331"/>
      <c r="E149" s="843"/>
      <c r="F149" s="826"/>
      <c r="G149" s="826"/>
      <c r="H149" s="826"/>
      <c r="I149" s="826"/>
      <c r="J149" s="826"/>
      <c r="K149" s="826"/>
      <c r="L149" s="826"/>
      <c r="M149" s="826"/>
      <c r="N149" s="849"/>
      <c r="O149" s="849"/>
      <c r="P149" s="850"/>
      <c r="Q149" s="851"/>
      <c r="R149" s="852"/>
      <c r="S149" s="856"/>
      <c r="T149" s="849">
        <f>'[1]IV. DONGIA CHỈNH LÝ'!N147</f>
        <v>0</v>
      </c>
      <c r="U149" s="849">
        <f t="shared" ref="U149:U170" si="21">T149-N149</f>
        <v>0</v>
      </c>
      <c r="W149" s="854"/>
    </row>
    <row r="150" spans="1:23" s="830" customFormat="1" ht="17.25" customHeight="1">
      <c r="A150" s="331" t="s">
        <v>13</v>
      </c>
      <c r="B150" s="848" t="s">
        <v>491</v>
      </c>
      <c r="C150" s="586" t="s">
        <v>1</v>
      </c>
      <c r="D150" s="331" t="s">
        <v>8</v>
      </c>
      <c r="E150" s="843" t="e">
        <f>'NC-CLBD'!K69/25</f>
        <v>#VALUE!</v>
      </c>
      <c r="F150" s="826"/>
      <c r="G150" s="826">
        <f>$R$1*10*Q150</f>
        <v>0</v>
      </c>
      <c r="H150" s="826">
        <f>'DCu-CLBD'!L209</f>
        <v>459.65483846153847</v>
      </c>
      <c r="I150" s="826">
        <f>'VL-CLBD'!J112</f>
        <v>4974.4799999999996</v>
      </c>
      <c r="J150" s="826">
        <f>'TBI-CLBD'!I180</f>
        <v>153.16</v>
      </c>
      <c r="K150" s="826">
        <f>'NL-CLBD'!F104</f>
        <v>211.34399999999997</v>
      </c>
      <c r="L150" s="826" t="e">
        <f>SUM(E150:K150)</f>
        <v>#VALUE!</v>
      </c>
      <c r="M150" s="826" t="e">
        <f>L150*'He so chung'!$D$17/100</f>
        <v>#VALUE!</v>
      </c>
      <c r="N150" s="849" t="e">
        <f>M150+L150</f>
        <v>#VALUE!</v>
      </c>
      <c r="O150" s="849"/>
      <c r="P150" s="850">
        <f>'He so chung'!$D$21*S150</f>
        <v>167.22769230769231</v>
      </c>
      <c r="Q150" s="851">
        <f>'He so chung'!$D$22*S150</f>
        <v>145.41538461538462</v>
      </c>
      <c r="R150" s="852">
        <f>'He so chung'!$D$23*S150</f>
        <v>21.812307692307694</v>
      </c>
      <c r="S150" s="856">
        <f>'NC-CLBD'!J69/25</f>
        <v>2.7200000000000002E-2</v>
      </c>
      <c r="T150" s="849" t="e">
        <f>'[1]IV. DONGIA CHỈNH LÝ'!N148</f>
        <v>#VALUE!</v>
      </c>
      <c r="U150" s="849" t="e">
        <f t="shared" si="21"/>
        <v>#VALUE!</v>
      </c>
      <c r="W150" s="854"/>
    </row>
    <row r="151" spans="1:23" s="830" customFormat="1" ht="17.25" customHeight="1">
      <c r="A151" s="857"/>
      <c r="B151" s="858"/>
      <c r="C151" s="855"/>
      <c r="D151" s="331"/>
      <c r="E151" s="843"/>
      <c r="F151" s="826"/>
      <c r="G151" s="826"/>
      <c r="H151" s="826"/>
      <c r="I151" s="826"/>
      <c r="J151" s="826"/>
      <c r="K151" s="826"/>
      <c r="L151" s="826"/>
      <c r="M151" s="826"/>
      <c r="N151" s="849"/>
      <c r="O151" s="849"/>
      <c r="P151" s="850"/>
      <c r="Q151" s="851"/>
      <c r="R151" s="852"/>
      <c r="S151" s="856"/>
      <c r="T151" s="849">
        <f>'[1]IV. DONGIA CHỈNH LÝ'!N149</f>
        <v>0</v>
      </c>
      <c r="U151" s="849">
        <f t="shared" si="21"/>
        <v>0</v>
      </c>
      <c r="W151" s="854"/>
    </row>
    <row r="152" spans="1:23" s="830" customFormat="1" ht="17.25" customHeight="1">
      <c r="A152" s="331" t="s">
        <v>14</v>
      </c>
      <c r="B152" s="848" t="s">
        <v>365</v>
      </c>
      <c r="C152" s="586" t="s">
        <v>1</v>
      </c>
      <c r="D152" s="331" t="s">
        <v>8</v>
      </c>
      <c r="E152" s="843" t="e">
        <f>'NC-CLBD'!K71/25</f>
        <v>#VALUE!</v>
      </c>
      <c r="F152" s="826"/>
      <c r="G152" s="826">
        <f>$R$1*10*Q152</f>
        <v>0</v>
      </c>
      <c r="H152" s="826">
        <f>'DCu-CLBD'!L209</f>
        <v>459.65483846153847</v>
      </c>
      <c r="I152" s="826">
        <f>'VL-CLBD'!J112</f>
        <v>4974.4799999999996</v>
      </c>
      <c r="J152" s="826"/>
      <c r="K152" s="826"/>
      <c r="L152" s="826" t="e">
        <f>SUM(E152:K152)</f>
        <v>#VALUE!</v>
      </c>
      <c r="M152" s="826" t="e">
        <f>L152*'He so chung'!$D$17/100</f>
        <v>#VALUE!</v>
      </c>
      <c r="N152" s="849" t="e">
        <f>M152+L152</f>
        <v>#VALUE!</v>
      </c>
      <c r="O152" s="849"/>
      <c r="P152" s="850">
        <f>'He so chung'!$D$21*S152</f>
        <v>196.73846153846154</v>
      </c>
      <c r="Q152" s="851">
        <f>'He so chung'!$D$22*S152</f>
        <v>171.07692307692307</v>
      </c>
      <c r="R152" s="852">
        <f>'He so chung'!$D$23*S152</f>
        <v>25.661538461538463</v>
      </c>
      <c r="S152" s="856">
        <f>'NC-CLBD'!J71/25</f>
        <v>3.2000000000000001E-2</v>
      </c>
      <c r="T152" s="849" t="e">
        <f>'[1]IV. DONGIA CHỈNH LÝ'!N150</f>
        <v>#VALUE!</v>
      </c>
      <c r="U152" s="849" t="e">
        <f t="shared" si="21"/>
        <v>#VALUE!</v>
      </c>
      <c r="W152" s="854"/>
    </row>
    <row r="153" spans="1:23" s="830" customFormat="1" ht="17.25" customHeight="1">
      <c r="A153" s="331"/>
      <c r="B153" s="848"/>
      <c r="C153" s="855"/>
      <c r="D153" s="331"/>
      <c r="E153" s="843"/>
      <c r="F153" s="826"/>
      <c r="G153" s="826"/>
      <c r="H153" s="826"/>
      <c r="I153" s="826"/>
      <c r="J153" s="826"/>
      <c r="K153" s="826"/>
      <c r="L153" s="826"/>
      <c r="M153" s="826"/>
      <c r="N153" s="849"/>
      <c r="O153" s="849"/>
      <c r="P153" s="850"/>
      <c r="Q153" s="851"/>
      <c r="R153" s="852"/>
      <c r="S153" s="856"/>
      <c r="T153" s="849">
        <f>'[1]IV. DONGIA CHỈNH LÝ'!N151</f>
        <v>0</v>
      </c>
      <c r="U153" s="849">
        <f t="shared" si="21"/>
        <v>0</v>
      </c>
      <c r="W153" s="854"/>
    </row>
    <row r="154" spans="1:23" s="830" customFormat="1" ht="17.25" customHeight="1">
      <c r="A154" s="331" t="s">
        <v>85</v>
      </c>
      <c r="B154" s="848" t="s">
        <v>366</v>
      </c>
      <c r="C154" s="586" t="s">
        <v>1</v>
      </c>
      <c r="D154" s="331" t="s">
        <v>8</v>
      </c>
      <c r="E154" s="843" t="e">
        <f>'NC-CLBD'!K73/25</f>
        <v>#VALUE!</v>
      </c>
      <c r="F154" s="826"/>
      <c r="G154" s="826">
        <f>$R$1*10*Q154</f>
        <v>0</v>
      </c>
      <c r="H154" s="826">
        <f>'DCu-CLBD'!L209</f>
        <v>459.65483846153847</v>
      </c>
      <c r="I154" s="826">
        <f>'VL-CLBD'!J112</f>
        <v>4974.4799999999996</v>
      </c>
      <c r="J154" s="826"/>
      <c r="K154" s="826"/>
      <c r="L154" s="826" t="e">
        <f>SUM(E154:K154)</f>
        <v>#VALUE!</v>
      </c>
      <c r="M154" s="826" t="e">
        <f>L154*'He so chung'!$D$17/100</f>
        <v>#VALUE!</v>
      </c>
      <c r="N154" s="849" t="e">
        <f>M154+L154</f>
        <v>#VALUE!</v>
      </c>
      <c r="O154" s="849"/>
      <c r="P154" s="850">
        <f>'He so chung'!$D$21*S154</f>
        <v>418.06923076923078</v>
      </c>
      <c r="Q154" s="851">
        <f>'He so chung'!$D$22*S154</f>
        <v>363.53846153846155</v>
      </c>
      <c r="R154" s="852">
        <f>'He so chung'!$D$23*S154</f>
        <v>54.530769230769231</v>
      </c>
      <c r="S154" s="853">
        <f>'NC-CLBD'!J73/25</f>
        <v>6.8000000000000005E-2</v>
      </c>
      <c r="T154" s="849" t="e">
        <f>'[1]IV. DONGIA CHỈNH LÝ'!N152</f>
        <v>#VALUE!</v>
      </c>
      <c r="U154" s="849" t="e">
        <f t="shared" si="21"/>
        <v>#VALUE!</v>
      </c>
      <c r="W154" s="854"/>
    </row>
    <row r="155" spans="1:23" s="830" customFormat="1" ht="17.25" customHeight="1">
      <c r="A155" s="331"/>
      <c r="B155" s="848"/>
      <c r="C155" s="586"/>
      <c r="D155" s="331"/>
      <c r="E155" s="843"/>
      <c r="F155" s="826"/>
      <c r="G155" s="826"/>
      <c r="H155" s="826"/>
      <c r="I155" s="826"/>
      <c r="J155" s="826"/>
      <c r="K155" s="826"/>
      <c r="L155" s="826"/>
      <c r="M155" s="826"/>
      <c r="N155" s="849"/>
      <c r="O155" s="849"/>
      <c r="P155" s="850"/>
      <c r="Q155" s="859"/>
      <c r="R155" s="860"/>
      <c r="S155" s="901"/>
      <c r="T155" s="849">
        <f>'[1]IV. DONGIA CHỈNH LÝ'!N153</f>
        <v>0</v>
      </c>
      <c r="U155" s="849">
        <f t="shared" si="21"/>
        <v>0</v>
      </c>
      <c r="W155" s="854"/>
    </row>
    <row r="156" spans="1:23" s="830" customFormat="1" ht="17.25" customHeight="1">
      <c r="A156" s="857"/>
      <c r="B156" s="858"/>
      <c r="C156" s="855"/>
      <c r="D156" s="857"/>
      <c r="E156" s="843"/>
      <c r="F156" s="826"/>
      <c r="G156" s="826"/>
      <c r="H156" s="826"/>
      <c r="I156" s="826"/>
      <c r="J156" s="826"/>
      <c r="K156" s="826"/>
      <c r="L156" s="826"/>
      <c r="M156" s="826"/>
      <c r="N156" s="826"/>
      <c r="O156" s="826"/>
      <c r="P156" s="850"/>
      <c r="Q156" s="902"/>
      <c r="R156" s="902"/>
      <c r="S156" s="903"/>
      <c r="T156" s="849">
        <f>'[1]IV. DONGIA CHỈNH LÝ'!N154</f>
        <v>0</v>
      </c>
      <c r="U156" s="849">
        <f t="shared" si="21"/>
        <v>0</v>
      </c>
      <c r="W156" s="854"/>
    </row>
    <row r="157" spans="1:23" s="830" customFormat="1" ht="17.25" customHeight="1">
      <c r="A157" s="896"/>
      <c r="B157" s="842" t="s">
        <v>389</v>
      </c>
      <c r="C157" s="897"/>
      <c r="D157" s="904"/>
      <c r="E157" s="862"/>
      <c r="F157" s="842"/>
      <c r="G157" s="842"/>
      <c r="H157" s="842"/>
      <c r="I157" s="842"/>
      <c r="J157" s="842"/>
      <c r="K157" s="842"/>
      <c r="L157" s="842"/>
      <c r="M157" s="842"/>
      <c r="N157" s="842"/>
      <c r="O157" s="842"/>
      <c r="P157" s="863"/>
      <c r="Q157" s="864"/>
      <c r="R157" s="865"/>
      <c r="S157" s="866"/>
      <c r="T157" s="849">
        <f>'[1]IV. DONGIA CHỈNH LÝ'!N155</f>
        <v>0</v>
      </c>
      <c r="U157" s="849">
        <f t="shared" si="21"/>
        <v>0</v>
      </c>
      <c r="W157" s="854"/>
    </row>
    <row r="158" spans="1:23" s="830" customFormat="1" ht="18" customHeight="1">
      <c r="A158" s="1006" t="s">
        <v>3</v>
      </c>
      <c r="B158" s="1009" t="s">
        <v>492</v>
      </c>
      <c r="C158" s="1007" t="s">
        <v>1</v>
      </c>
      <c r="D158" s="868" t="s">
        <v>9</v>
      </c>
      <c r="E158" s="869" t="e">
        <f t="shared" ref="E158:R158" si="22">E118+E$150+E$152+E$154</f>
        <v>#VALUE!</v>
      </c>
      <c r="F158" s="849">
        <f t="shared" si="22"/>
        <v>0</v>
      </c>
      <c r="G158" s="849">
        <f t="shared" si="22"/>
        <v>0</v>
      </c>
      <c r="H158" s="849">
        <f t="shared" si="22"/>
        <v>2930.7662461538462</v>
      </c>
      <c r="I158" s="849">
        <f t="shared" si="22"/>
        <v>17925.839999999997</v>
      </c>
      <c r="J158" s="849">
        <f t="shared" si="22"/>
        <v>153.16</v>
      </c>
      <c r="K158" s="849">
        <f t="shared" si="22"/>
        <v>211.34399999999997</v>
      </c>
      <c r="L158" s="849" t="e">
        <f t="shared" si="22"/>
        <v>#VALUE!</v>
      </c>
      <c r="M158" s="849" t="e">
        <f t="shared" si="22"/>
        <v>#VALUE!</v>
      </c>
      <c r="N158" s="849" t="e">
        <f t="shared" si="22"/>
        <v>#VALUE!</v>
      </c>
      <c r="O158" s="849"/>
      <c r="P158" s="849">
        <f t="shared" si="22"/>
        <v>4326.5353846153848</v>
      </c>
      <c r="Q158" s="870">
        <f t="shared" si="22"/>
        <v>3515.6307692307687</v>
      </c>
      <c r="R158" s="870">
        <f t="shared" si="22"/>
        <v>810.90461538461557</v>
      </c>
      <c r="S158" s="870"/>
      <c r="T158" s="849" t="e">
        <f>'[1]IV. DONGIA CHỈNH LÝ'!N156</f>
        <v>#VALUE!</v>
      </c>
      <c r="U158" s="849" t="e">
        <f t="shared" si="21"/>
        <v>#VALUE!</v>
      </c>
      <c r="W158" s="854"/>
    </row>
    <row r="159" spans="1:23" s="830" customFormat="1" ht="18" customHeight="1">
      <c r="A159" s="1006"/>
      <c r="B159" s="1009"/>
      <c r="C159" s="1007"/>
      <c r="D159" s="868" t="s">
        <v>10</v>
      </c>
      <c r="E159" s="869" t="e">
        <f t="shared" ref="E159:R159" si="23">E119+E$150+E$152+E$154</f>
        <v>#VALUE!</v>
      </c>
      <c r="F159" s="849">
        <f t="shared" si="23"/>
        <v>0</v>
      </c>
      <c r="G159" s="849">
        <f t="shared" si="23"/>
        <v>0</v>
      </c>
      <c r="H159" s="849">
        <f t="shared" si="23"/>
        <v>3318.7166788461536</v>
      </c>
      <c r="I159" s="849">
        <f t="shared" si="23"/>
        <v>17925.839999999997</v>
      </c>
      <c r="J159" s="849">
        <f t="shared" si="23"/>
        <v>153.16</v>
      </c>
      <c r="K159" s="849">
        <f t="shared" si="23"/>
        <v>211.34399999999997</v>
      </c>
      <c r="L159" s="849" t="e">
        <f t="shared" si="23"/>
        <v>#VALUE!</v>
      </c>
      <c r="M159" s="849" t="e">
        <f t="shared" si="23"/>
        <v>#VALUE!</v>
      </c>
      <c r="N159" s="849" t="e">
        <f t="shared" si="23"/>
        <v>#VALUE!</v>
      </c>
      <c r="O159" s="849"/>
      <c r="P159" s="849">
        <f t="shared" si="23"/>
        <v>5390.42</v>
      </c>
      <c r="Q159" s="870">
        <f t="shared" si="23"/>
        <v>4366.7384615384608</v>
      </c>
      <c r="R159" s="870">
        <f t="shared" si="23"/>
        <v>1023.6815384615386</v>
      </c>
      <c r="S159" s="870"/>
      <c r="T159" s="849" t="e">
        <f>'[1]IV. DONGIA CHỈNH LÝ'!N157</f>
        <v>#VALUE!</v>
      </c>
      <c r="U159" s="849" t="e">
        <f t="shared" si="21"/>
        <v>#VALUE!</v>
      </c>
      <c r="W159" s="854"/>
    </row>
    <row r="160" spans="1:23" s="830" customFormat="1" ht="18" customHeight="1">
      <c r="A160" s="1006"/>
      <c r="B160" s="1009"/>
      <c r="C160" s="1007"/>
      <c r="D160" s="868" t="s">
        <v>11</v>
      </c>
      <c r="E160" s="869" t="e">
        <f t="shared" ref="E160:R160" si="24">E120+E$150+E$152+E$154</f>
        <v>#VALUE!</v>
      </c>
      <c r="F160" s="849">
        <f t="shared" si="24"/>
        <v>0</v>
      </c>
      <c r="G160" s="849">
        <f t="shared" si="24"/>
        <v>0</v>
      </c>
      <c r="H160" s="849">
        <f t="shared" si="24"/>
        <v>3965.300733333333</v>
      </c>
      <c r="I160" s="849">
        <f t="shared" si="24"/>
        <v>17925.839999999997</v>
      </c>
      <c r="J160" s="849">
        <f t="shared" si="24"/>
        <v>153.16</v>
      </c>
      <c r="K160" s="849">
        <f t="shared" si="24"/>
        <v>211.34399999999997</v>
      </c>
      <c r="L160" s="849" t="e">
        <f t="shared" si="24"/>
        <v>#VALUE!</v>
      </c>
      <c r="M160" s="849" t="e">
        <f t="shared" si="24"/>
        <v>#VALUE!</v>
      </c>
      <c r="N160" s="849" t="e">
        <f t="shared" si="24"/>
        <v>#VALUE!</v>
      </c>
      <c r="O160" s="849"/>
      <c r="P160" s="849">
        <f t="shared" si="24"/>
        <v>6769.7276923076915</v>
      </c>
      <c r="Q160" s="870">
        <f t="shared" si="24"/>
        <v>5470.1846153846154</v>
      </c>
      <c r="R160" s="870">
        <f t="shared" si="24"/>
        <v>1299.5430769230768</v>
      </c>
      <c r="S160" s="870"/>
      <c r="T160" s="849" t="e">
        <f>'[1]IV. DONGIA CHỈNH LÝ'!N158</f>
        <v>#VALUE!</v>
      </c>
      <c r="U160" s="849" t="e">
        <f t="shared" si="21"/>
        <v>#VALUE!</v>
      </c>
      <c r="W160" s="854"/>
    </row>
    <row r="161" spans="1:23" s="830" customFormat="1" ht="18" customHeight="1">
      <c r="A161" s="1006"/>
      <c r="B161" s="1009"/>
      <c r="C161" s="1007"/>
      <c r="D161" s="868" t="s">
        <v>12</v>
      </c>
      <c r="E161" s="869" t="e">
        <f t="shared" ref="E161:R161" si="25">E121+E$150+E$152+E$154</f>
        <v>#VALUE!</v>
      </c>
      <c r="F161" s="849">
        <f t="shared" si="25"/>
        <v>0</v>
      </c>
      <c r="G161" s="849">
        <f t="shared" si="25"/>
        <v>0</v>
      </c>
      <c r="H161" s="849">
        <f t="shared" si="25"/>
        <v>4870.5184096153844</v>
      </c>
      <c r="I161" s="849">
        <f t="shared" si="25"/>
        <v>17925.839999999997</v>
      </c>
      <c r="J161" s="849">
        <f t="shared" si="25"/>
        <v>153.16</v>
      </c>
      <c r="K161" s="849">
        <f t="shared" si="25"/>
        <v>211.34399999999997</v>
      </c>
      <c r="L161" s="849" t="e">
        <f t="shared" si="25"/>
        <v>#VALUE!</v>
      </c>
      <c r="M161" s="849" t="e">
        <f t="shared" si="25"/>
        <v>#VALUE!</v>
      </c>
      <c r="N161" s="849" t="e">
        <f t="shared" si="25"/>
        <v>#VALUE!</v>
      </c>
      <c r="O161" s="849"/>
      <c r="P161" s="849">
        <f t="shared" si="25"/>
        <v>8566.0353846153848</v>
      </c>
      <c r="Q161" s="870">
        <f t="shared" si="25"/>
        <v>6907.2307692307695</v>
      </c>
      <c r="R161" s="870">
        <f t="shared" si="25"/>
        <v>1658.8046153846155</v>
      </c>
      <c r="S161" s="870"/>
      <c r="T161" s="849" t="e">
        <f>'[1]IV. DONGIA CHỈNH LÝ'!N159</f>
        <v>#VALUE!</v>
      </c>
      <c r="U161" s="849" t="e">
        <f t="shared" si="21"/>
        <v>#VALUE!</v>
      </c>
      <c r="W161" s="854"/>
    </row>
    <row r="162" spans="1:23" s="830" customFormat="1" ht="18" customHeight="1">
      <c r="A162" s="1006"/>
      <c r="B162" s="1009"/>
      <c r="C162" s="1007"/>
      <c r="D162" s="868" t="s">
        <v>13</v>
      </c>
      <c r="E162" s="869" t="e">
        <f t="shared" ref="E162:R162" si="26">E122+E$150+E$152+E$154</f>
        <v>#VALUE!</v>
      </c>
      <c r="F162" s="849">
        <f t="shared" si="26"/>
        <v>0</v>
      </c>
      <c r="G162" s="849">
        <f t="shared" si="26"/>
        <v>0</v>
      </c>
      <c r="H162" s="849">
        <f t="shared" si="26"/>
        <v>5905.0528967948703</v>
      </c>
      <c r="I162" s="849">
        <f t="shared" si="26"/>
        <v>17925.839999999997</v>
      </c>
      <c r="J162" s="849">
        <f t="shared" si="26"/>
        <v>153.16</v>
      </c>
      <c r="K162" s="849">
        <f t="shared" si="26"/>
        <v>211.34399999999997</v>
      </c>
      <c r="L162" s="849" t="e">
        <f t="shared" si="26"/>
        <v>#VALUE!</v>
      </c>
      <c r="M162" s="849" t="e">
        <f t="shared" si="26"/>
        <v>#VALUE!</v>
      </c>
      <c r="N162" s="849" t="e">
        <f t="shared" si="26"/>
        <v>#VALUE!</v>
      </c>
      <c r="O162" s="849"/>
      <c r="P162" s="849">
        <f t="shared" si="26"/>
        <v>10902.304615384615</v>
      </c>
      <c r="Q162" s="870">
        <f t="shared" si="26"/>
        <v>8776.2461538461539</v>
      </c>
      <c r="R162" s="870">
        <f t="shared" si="26"/>
        <v>2126.0584615384619</v>
      </c>
      <c r="S162" s="870"/>
      <c r="T162" s="849" t="e">
        <f>'[1]IV. DONGIA CHỈNH LÝ'!N160</f>
        <v>#VALUE!</v>
      </c>
      <c r="U162" s="849" t="e">
        <f t="shared" si="21"/>
        <v>#VALUE!</v>
      </c>
      <c r="W162" s="854"/>
    </row>
    <row r="163" spans="1:23" s="830" customFormat="1" ht="13.5" customHeight="1">
      <c r="A163" s="841"/>
      <c r="B163" s="871"/>
      <c r="C163" s="867"/>
      <c r="D163" s="868"/>
      <c r="E163" s="869"/>
      <c r="F163" s="849"/>
      <c r="G163" s="849"/>
      <c r="H163" s="849"/>
      <c r="I163" s="849"/>
      <c r="J163" s="849"/>
      <c r="K163" s="849"/>
      <c r="L163" s="849"/>
      <c r="M163" s="849"/>
      <c r="N163" s="849"/>
      <c r="O163" s="849">
        <v>0</v>
      </c>
      <c r="P163" s="849"/>
      <c r="Q163" s="872"/>
      <c r="R163" s="872"/>
      <c r="S163" s="873"/>
      <c r="T163" s="849">
        <f>'[1]IV. DONGIA CHỈNH LÝ'!N161</f>
        <v>0</v>
      </c>
      <c r="U163" s="849">
        <f t="shared" si="21"/>
        <v>0</v>
      </c>
      <c r="W163" s="854"/>
    </row>
    <row r="164" spans="1:23" s="830" customFormat="1" ht="18" customHeight="1">
      <c r="A164" s="1006" t="s">
        <v>4</v>
      </c>
      <c r="B164" s="1009" t="s">
        <v>516</v>
      </c>
      <c r="C164" s="1007" t="s">
        <v>278</v>
      </c>
      <c r="D164" s="868" t="s">
        <v>9</v>
      </c>
      <c r="E164" s="869" t="e">
        <f t="shared" ref="E164:R164" si="27">E124+E130+E139+E$145+E$148</f>
        <v>#VALUE!</v>
      </c>
      <c r="F164" s="849">
        <f t="shared" si="27"/>
        <v>5567.5</v>
      </c>
      <c r="G164" s="849">
        <f t="shared" si="27"/>
        <v>0</v>
      </c>
      <c r="H164" s="849">
        <f t="shared" si="27"/>
        <v>879.72592355128177</v>
      </c>
      <c r="I164" s="849">
        <f t="shared" si="27"/>
        <v>8073.7154999999993</v>
      </c>
      <c r="J164" s="849">
        <f t="shared" si="27"/>
        <v>3087.8132000000001</v>
      </c>
      <c r="K164" s="849">
        <f t="shared" si="27"/>
        <v>468.06479999999999</v>
      </c>
      <c r="L164" s="849" t="e">
        <f t="shared" si="27"/>
        <v>#VALUE!</v>
      </c>
      <c r="M164" s="849" t="e">
        <f t="shared" si="27"/>
        <v>#VALUE!</v>
      </c>
      <c r="N164" s="849" t="e">
        <f t="shared" si="27"/>
        <v>#VALUE!</v>
      </c>
      <c r="O164" s="849">
        <v>850</v>
      </c>
      <c r="P164" s="849">
        <f t="shared" si="27"/>
        <v>2567.0894230769227</v>
      </c>
      <c r="Q164" s="898">
        <f t="shared" si="27"/>
        <v>2082.3269230769229</v>
      </c>
      <c r="R164" s="899">
        <f t="shared" si="27"/>
        <v>484.76250000000005</v>
      </c>
      <c r="S164" s="899"/>
      <c r="T164" s="849" t="e">
        <f>'[1]IV. DONGIA CHỈNH LÝ'!N162</f>
        <v>#VALUE!</v>
      </c>
      <c r="U164" s="849" t="e">
        <f t="shared" si="21"/>
        <v>#VALUE!</v>
      </c>
      <c r="W164" s="854"/>
    </row>
    <row r="165" spans="1:23" s="830" customFormat="1" ht="18" customHeight="1">
      <c r="A165" s="1006"/>
      <c r="B165" s="1009"/>
      <c r="C165" s="1007"/>
      <c r="D165" s="868" t="s">
        <v>10</v>
      </c>
      <c r="E165" s="869" t="e">
        <f t="shared" ref="E165:R165" si="28">E125+E131+E140+E$145+E$148</f>
        <v>#VALUE!</v>
      </c>
      <c r="F165" s="849">
        <f t="shared" si="28"/>
        <v>6694.1</v>
      </c>
      <c r="G165" s="849">
        <f t="shared" si="28"/>
        <v>0</v>
      </c>
      <c r="H165" s="849">
        <f t="shared" si="28"/>
        <v>1053.5080377724357</v>
      </c>
      <c r="I165" s="849">
        <f t="shared" si="28"/>
        <v>8073.7154999999993</v>
      </c>
      <c r="J165" s="849">
        <f t="shared" si="28"/>
        <v>3798.6448</v>
      </c>
      <c r="K165" s="849">
        <f t="shared" si="28"/>
        <v>481.58460000000002</v>
      </c>
      <c r="L165" s="849" t="e">
        <f t="shared" si="28"/>
        <v>#VALUE!</v>
      </c>
      <c r="M165" s="849" t="e">
        <f t="shared" si="28"/>
        <v>#VALUE!</v>
      </c>
      <c r="N165" s="849" t="e">
        <f t="shared" si="28"/>
        <v>#VALUE!</v>
      </c>
      <c r="O165" s="849">
        <v>1022</v>
      </c>
      <c r="P165" s="849">
        <f t="shared" si="28"/>
        <v>3022.0203846153845</v>
      </c>
      <c r="Q165" s="898">
        <f t="shared" si="28"/>
        <v>2447.4692307692303</v>
      </c>
      <c r="R165" s="899">
        <f t="shared" si="28"/>
        <v>574.55115384615385</v>
      </c>
      <c r="S165" s="899"/>
      <c r="T165" s="849" t="e">
        <f>'[1]IV. DONGIA CHỈNH LÝ'!N163</f>
        <v>#VALUE!</v>
      </c>
      <c r="U165" s="849" t="e">
        <f t="shared" si="21"/>
        <v>#VALUE!</v>
      </c>
      <c r="W165" s="854"/>
    </row>
    <row r="166" spans="1:23" s="830" customFormat="1" ht="18" customHeight="1">
      <c r="A166" s="1006"/>
      <c r="B166" s="1009"/>
      <c r="C166" s="1007"/>
      <c r="D166" s="868" t="s">
        <v>11</v>
      </c>
      <c r="E166" s="869" t="e">
        <f t="shared" ref="E166:R166" si="29">E126+E132+E141+E$145+E$148</f>
        <v>#VALUE!</v>
      </c>
      <c r="F166" s="849">
        <f t="shared" si="29"/>
        <v>8017.2</v>
      </c>
      <c r="G166" s="849">
        <f t="shared" si="29"/>
        <v>0</v>
      </c>
      <c r="H166" s="849">
        <f t="shared" si="29"/>
        <v>1343.144894807692</v>
      </c>
      <c r="I166" s="849">
        <f t="shared" si="29"/>
        <v>8073.7154999999993</v>
      </c>
      <c r="J166" s="849">
        <f t="shared" si="29"/>
        <v>4981.3363999999992</v>
      </c>
      <c r="K166" s="849">
        <f t="shared" si="29"/>
        <v>505.51619999999997</v>
      </c>
      <c r="L166" s="849" t="e">
        <f t="shared" si="29"/>
        <v>#VALUE!</v>
      </c>
      <c r="M166" s="849" t="e">
        <f t="shared" si="29"/>
        <v>#VALUE!</v>
      </c>
      <c r="N166" s="849" t="e">
        <f t="shared" si="29"/>
        <v>#VALUE!</v>
      </c>
      <c r="O166" s="849">
        <v>1224</v>
      </c>
      <c r="P166" s="849">
        <f t="shared" si="29"/>
        <v>3584.9169230769226</v>
      </c>
      <c r="Q166" s="898">
        <f t="shared" si="29"/>
        <v>2899.7538461538456</v>
      </c>
      <c r="R166" s="899">
        <f t="shared" si="29"/>
        <v>685.16307692307691</v>
      </c>
      <c r="S166" s="899"/>
      <c r="T166" s="849" t="e">
        <f>'[1]IV. DONGIA CHỈNH LÝ'!N164</f>
        <v>#VALUE!</v>
      </c>
      <c r="U166" s="849" t="e">
        <f t="shared" si="21"/>
        <v>#VALUE!</v>
      </c>
      <c r="W166" s="854"/>
    </row>
    <row r="167" spans="1:23" s="830" customFormat="1" ht="18" customHeight="1">
      <c r="A167" s="1006"/>
      <c r="B167" s="1009"/>
      <c r="C167" s="1007"/>
      <c r="D167" s="868" t="s">
        <v>12</v>
      </c>
      <c r="E167" s="869" t="e">
        <f t="shared" ref="E167:R167" si="30">E127+E133+E142+E$145+E$148</f>
        <v>#VALUE!</v>
      </c>
      <c r="F167" s="849">
        <f t="shared" si="30"/>
        <v>9628.5</v>
      </c>
      <c r="G167" s="849">
        <f t="shared" si="30"/>
        <v>0</v>
      </c>
      <c r="H167" s="849">
        <f t="shared" si="30"/>
        <v>1748.6364946570511</v>
      </c>
      <c r="I167" s="849">
        <f t="shared" si="30"/>
        <v>8073.7154999999993</v>
      </c>
      <c r="J167" s="849">
        <f t="shared" si="30"/>
        <v>6658.7579999999998</v>
      </c>
      <c r="K167" s="849">
        <f t="shared" si="30"/>
        <v>537.68399999999997</v>
      </c>
      <c r="L167" s="849" t="e">
        <f t="shared" si="30"/>
        <v>#VALUE!</v>
      </c>
      <c r="M167" s="849" t="e">
        <f t="shared" si="30"/>
        <v>#VALUE!</v>
      </c>
      <c r="N167" s="849" t="e">
        <f t="shared" si="30"/>
        <v>#VALUE!</v>
      </c>
      <c r="O167" s="849">
        <v>1470</v>
      </c>
      <c r="P167" s="849">
        <f t="shared" si="30"/>
        <v>4282.5098076923077</v>
      </c>
      <c r="Q167" s="898">
        <f t="shared" si="30"/>
        <v>3460.5653846153841</v>
      </c>
      <c r="R167" s="899">
        <f t="shared" si="30"/>
        <v>821.94442307692304</v>
      </c>
      <c r="S167" s="899"/>
      <c r="T167" s="849" t="e">
        <f>'[1]IV. DONGIA CHỈNH LÝ'!N165</f>
        <v>#VALUE!</v>
      </c>
      <c r="U167" s="849" t="e">
        <f t="shared" si="21"/>
        <v>#VALUE!</v>
      </c>
      <c r="W167" s="854"/>
    </row>
    <row r="168" spans="1:23" s="830" customFormat="1" ht="18" customHeight="1">
      <c r="A168" s="1006"/>
      <c r="B168" s="1009"/>
      <c r="C168" s="1007"/>
      <c r="D168" s="868" t="s">
        <v>13</v>
      </c>
      <c r="E168" s="869" t="e">
        <f t="shared" ref="E168:R168" si="31">E128+E134+E143+E$145+E$148</f>
        <v>#VALUE!</v>
      </c>
      <c r="F168" s="849">
        <f t="shared" si="31"/>
        <v>11554.2</v>
      </c>
      <c r="G168" s="849">
        <f t="shared" si="31"/>
        <v>0</v>
      </c>
      <c r="H168" s="849">
        <f t="shared" si="31"/>
        <v>2212.0554659134609</v>
      </c>
      <c r="I168" s="849">
        <f t="shared" si="31"/>
        <v>8073.7154999999993</v>
      </c>
      <c r="J168" s="849">
        <f t="shared" si="31"/>
        <v>8546.1896000000015</v>
      </c>
      <c r="K168" s="849">
        <f t="shared" si="31"/>
        <v>576.84480000000008</v>
      </c>
      <c r="L168" s="849" t="e">
        <f t="shared" si="31"/>
        <v>#VALUE!</v>
      </c>
      <c r="M168" s="849" t="e">
        <f t="shared" si="31"/>
        <v>#VALUE!</v>
      </c>
      <c r="N168" s="849" t="e">
        <f t="shared" si="31"/>
        <v>#VALUE!</v>
      </c>
      <c r="O168" s="849">
        <v>1764</v>
      </c>
      <c r="P168" s="849">
        <f t="shared" si="31"/>
        <v>5106.5392307692309</v>
      </c>
      <c r="Q168" s="874">
        <f t="shared" si="31"/>
        <v>4122.953846153845</v>
      </c>
      <c r="R168" s="900">
        <f t="shared" si="31"/>
        <v>983.58538461538456</v>
      </c>
      <c r="S168" s="900"/>
      <c r="T168" s="849" t="e">
        <f>'[1]IV. DONGIA CHỈNH LÝ'!N166</f>
        <v>#VALUE!</v>
      </c>
      <c r="U168" s="849" t="e">
        <f t="shared" si="21"/>
        <v>#VALUE!</v>
      </c>
      <c r="W168" s="854"/>
    </row>
    <row r="169" spans="1:23" s="830" customFormat="1" ht="30" customHeight="1">
      <c r="A169" s="875"/>
      <c r="B169" s="876"/>
      <c r="C169" s="876"/>
      <c r="D169" s="875"/>
      <c r="E169" s="877"/>
      <c r="F169" s="878"/>
      <c r="G169" s="878"/>
      <c r="H169" s="878"/>
      <c r="I169" s="878"/>
      <c r="J169" s="878"/>
      <c r="K169" s="878"/>
      <c r="L169" s="878"/>
      <c r="M169" s="878"/>
      <c r="N169" s="878"/>
      <c r="O169" s="878"/>
      <c r="P169" s="879"/>
      <c r="Q169" s="905"/>
      <c r="R169" s="905"/>
      <c r="S169" s="906"/>
      <c r="T169" s="849">
        <f>'[1]IV. DONGIA CHỈNH LÝ'!N167</f>
        <v>0</v>
      </c>
      <c r="U169" s="849">
        <f t="shared" si="21"/>
        <v>0</v>
      </c>
      <c r="W169" s="854"/>
    </row>
    <row r="170" spans="1:23" s="830" customFormat="1" ht="21.75" customHeight="1">
      <c r="A170" s="999" t="s">
        <v>520</v>
      </c>
      <c r="B170" s="999"/>
      <c r="C170" s="999"/>
      <c r="D170" s="999"/>
      <c r="E170" s="999"/>
      <c r="F170" s="999"/>
      <c r="G170" s="999"/>
      <c r="H170" s="999"/>
      <c r="I170" s="999"/>
      <c r="J170" s="999"/>
      <c r="K170" s="999"/>
      <c r="L170" s="999"/>
      <c r="M170" s="999"/>
      <c r="N170" s="999"/>
      <c r="O170" s="999"/>
      <c r="P170" s="999"/>
      <c r="Q170" s="907"/>
      <c r="R170" s="905"/>
      <c r="S170" s="906"/>
      <c r="T170" s="849">
        <f>'[1]IV. DONGIA CHỈNH LÝ'!N168</f>
        <v>0</v>
      </c>
      <c r="U170" s="849">
        <f t="shared" si="21"/>
        <v>0</v>
      </c>
      <c r="W170" s="854"/>
    </row>
    <row r="171" spans="1:23" s="830" customFormat="1" ht="13.5" customHeight="1">
      <c r="A171" s="1001" t="s">
        <v>574</v>
      </c>
      <c r="B171" s="1001"/>
      <c r="C171" s="1001"/>
      <c r="D171" s="1001"/>
      <c r="E171" s="1001"/>
      <c r="F171" s="1001"/>
      <c r="G171" s="1001"/>
      <c r="H171" s="1001"/>
      <c r="I171" s="1001"/>
      <c r="J171" s="1001"/>
      <c r="K171" s="1001"/>
      <c r="L171" s="1001"/>
      <c r="M171" s="1001"/>
      <c r="N171" s="1001"/>
      <c r="O171" s="1001"/>
      <c r="P171" s="1001"/>
      <c r="Q171" s="907"/>
      <c r="R171" s="905"/>
      <c r="S171" s="906"/>
      <c r="T171" s="849"/>
      <c r="U171" s="849"/>
      <c r="W171" s="854"/>
    </row>
    <row r="172" spans="1:23" s="830" customFormat="1" ht="16.5" customHeight="1">
      <c r="A172" s="908"/>
      <c r="B172" s="909"/>
      <c r="C172" s="910"/>
      <c r="D172" s="911"/>
      <c r="E172" s="912"/>
      <c r="F172" s="913"/>
      <c r="G172" s="913"/>
      <c r="H172" s="913"/>
      <c r="I172" s="913"/>
      <c r="J172" s="913"/>
      <c r="K172" s="913"/>
      <c r="L172" s="913"/>
      <c r="M172" s="914"/>
      <c r="N172" s="1008" t="s">
        <v>428</v>
      </c>
      <c r="O172" s="1008"/>
      <c r="P172" s="1008"/>
      <c r="Q172" s="879"/>
      <c r="R172" s="915"/>
      <c r="S172" s="916"/>
      <c r="T172" s="849" t="str">
        <f>'[1]IV. DONGIA CHỈNH LÝ'!N169</f>
        <v>Đơn vị tính: đồng</v>
      </c>
      <c r="U172" s="849"/>
      <c r="W172" s="854"/>
    </row>
    <row r="173" spans="1:23" s="830" customFormat="1" ht="19.149999999999999" customHeight="1">
      <c r="A173" s="1004" t="s">
        <v>376</v>
      </c>
      <c r="B173" s="1013" t="s">
        <v>377</v>
      </c>
      <c r="C173" s="1002" t="s">
        <v>378</v>
      </c>
      <c r="D173" s="1004" t="s">
        <v>91</v>
      </c>
      <c r="E173" s="1010" t="s">
        <v>368</v>
      </c>
      <c r="F173" s="1011"/>
      <c r="G173" s="1011"/>
      <c r="H173" s="1011"/>
      <c r="I173" s="1011"/>
      <c r="J173" s="1011"/>
      <c r="K173" s="1011"/>
      <c r="L173" s="1012"/>
      <c r="M173" s="1002" t="s">
        <v>427</v>
      </c>
      <c r="N173" s="1002" t="s">
        <v>379</v>
      </c>
      <c r="O173" s="1002" t="s">
        <v>562</v>
      </c>
      <c r="P173" s="888" t="s">
        <v>18</v>
      </c>
      <c r="Q173" s="828" t="s">
        <v>19</v>
      </c>
      <c r="R173" s="828" t="s">
        <v>19</v>
      </c>
      <c r="S173" s="829" t="s">
        <v>16</v>
      </c>
      <c r="T173" s="849"/>
      <c r="U173" s="849"/>
      <c r="W173" s="854"/>
    </row>
    <row r="174" spans="1:23" s="830" customFormat="1" ht="33" customHeight="1">
      <c r="A174" s="1005"/>
      <c r="B174" s="1014"/>
      <c r="C174" s="1003"/>
      <c r="D174" s="1005"/>
      <c r="E174" s="837" t="s">
        <v>369</v>
      </c>
      <c r="F174" s="831" t="s">
        <v>370</v>
      </c>
      <c r="G174" s="833">
        <v>0</v>
      </c>
      <c r="H174" s="831" t="s">
        <v>257</v>
      </c>
      <c r="I174" s="831" t="s">
        <v>280</v>
      </c>
      <c r="J174" s="831" t="s">
        <v>261</v>
      </c>
      <c r="K174" s="831" t="s">
        <v>371</v>
      </c>
      <c r="L174" s="831" t="s">
        <v>372</v>
      </c>
      <c r="M174" s="1003"/>
      <c r="N174" s="1003"/>
      <c r="O174" s="1003"/>
      <c r="P174" s="889" t="s">
        <v>20</v>
      </c>
      <c r="Q174" s="834" t="s">
        <v>21</v>
      </c>
      <c r="R174" s="834" t="s">
        <v>22</v>
      </c>
      <c r="S174" s="835" t="s">
        <v>17</v>
      </c>
      <c r="T174" s="849">
        <f>'[1]IV. DONGIA CHỈNH LÝ'!N171</f>
        <v>0</v>
      </c>
      <c r="U174" s="849"/>
      <c r="W174" s="854"/>
    </row>
    <row r="175" spans="1:23" s="830" customFormat="1" ht="19.149999999999999" customHeight="1">
      <c r="A175" s="331" t="s">
        <v>52</v>
      </c>
      <c r="B175" s="586" t="s">
        <v>53</v>
      </c>
      <c r="C175" s="586" t="s">
        <v>54</v>
      </c>
      <c r="D175" s="331" t="s">
        <v>55</v>
      </c>
      <c r="E175" s="332" t="s">
        <v>56</v>
      </c>
      <c r="F175" s="332" t="s">
        <v>57</v>
      </c>
      <c r="G175" s="332"/>
      <c r="H175" s="332" t="s">
        <v>58</v>
      </c>
      <c r="I175" s="332" t="s">
        <v>59</v>
      </c>
      <c r="J175" s="332" t="s">
        <v>60</v>
      </c>
      <c r="K175" s="332" t="s">
        <v>61</v>
      </c>
      <c r="L175" s="334" t="s">
        <v>373</v>
      </c>
      <c r="M175" s="334" t="s">
        <v>374</v>
      </c>
      <c r="N175" s="334" t="s">
        <v>375</v>
      </c>
      <c r="O175" s="334">
        <v>-10</v>
      </c>
      <c r="P175" s="332" t="s">
        <v>561</v>
      </c>
      <c r="Q175" s="890"/>
      <c r="R175" s="890"/>
      <c r="S175" s="891"/>
      <c r="T175" s="849" t="str">
        <f>'[1]IV. DONGIA CHỈNH LÝ'!N172</f>
        <v xml:space="preserve"> (9)=(7)+(8) </v>
      </c>
      <c r="U175" s="849"/>
      <c r="W175" s="854"/>
    </row>
    <row r="176" spans="1:23" s="830" customFormat="1" ht="18" customHeight="1">
      <c r="A176" s="841" t="s">
        <v>3</v>
      </c>
      <c r="B176" s="842" t="s">
        <v>380</v>
      </c>
      <c r="C176" s="586"/>
      <c r="D176" s="331"/>
      <c r="E176" s="843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844"/>
      <c r="Q176" s="917"/>
      <c r="R176" s="890"/>
      <c r="S176" s="891"/>
      <c r="T176" s="849">
        <f>'[1]IV. DONGIA CHỈNH LÝ'!N173</f>
        <v>0</v>
      </c>
      <c r="U176" s="849">
        <f t="shared" ref="U176:U207" si="32">T176-N176</f>
        <v>0</v>
      </c>
      <c r="W176" s="854"/>
    </row>
    <row r="177" spans="1:23" s="830" customFormat="1" ht="18" customHeight="1">
      <c r="A177" s="331" t="s">
        <v>9</v>
      </c>
      <c r="B177" s="848" t="s">
        <v>73</v>
      </c>
      <c r="C177" s="586" t="s">
        <v>1</v>
      </c>
      <c r="D177" s="331">
        <v>1</v>
      </c>
      <c r="E177" s="843" t="e">
        <f>'NC-CLBD'!M5/100</f>
        <v>#VALUE!</v>
      </c>
      <c r="F177" s="826"/>
      <c r="G177" s="826">
        <f>$R$1*10*Q177</f>
        <v>0</v>
      </c>
      <c r="H177" s="826">
        <f>'DCu-CLBD'!N23</f>
        <v>581.97528846153864</v>
      </c>
      <c r="I177" s="826">
        <f>'VL-CLBD'!L16</f>
        <v>750.6</v>
      </c>
      <c r="J177" s="826"/>
      <c r="K177" s="826"/>
      <c r="L177" s="826" t="e">
        <f>SUM(E177:K177)</f>
        <v>#VALUE!</v>
      </c>
      <c r="M177" s="826" t="e">
        <f>L177*'He so chung'!$D$16/100</f>
        <v>#VALUE!</v>
      </c>
      <c r="N177" s="849" t="e">
        <f>M177+L177</f>
        <v>#VALUE!</v>
      </c>
      <c r="O177" s="849"/>
      <c r="P177" s="850">
        <f>'He so chung'!$D$18*S177</f>
        <v>1558.403846153846</v>
      </c>
      <c r="Q177" s="851">
        <f>'He so chung'!$D$19*S177</f>
        <v>1246.7230769230769</v>
      </c>
      <c r="R177" s="852">
        <f>'He so chung'!$D$20*S177</f>
        <v>311.68076923076927</v>
      </c>
      <c r="S177" s="918">
        <f>'NC-CLBD'!L5/100</f>
        <v>0.23319999999999999</v>
      </c>
      <c r="T177" s="849" t="e">
        <f>'[1]IV. DONGIA CHỈNH LÝ'!N174</f>
        <v>#VALUE!</v>
      </c>
      <c r="U177" s="849" t="e">
        <f t="shared" si="32"/>
        <v>#VALUE!</v>
      </c>
      <c r="W177" s="854"/>
    </row>
    <row r="178" spans="1:23" s="830" customFormat="1" ht="18" customHeight="1">
      <c r="A178" s="848"/>
      <c r="B178" s="848"/>
      <c r="C178" s="586"/>
      <c r="D178" s="331">
        <v>2</v>
      </c>
      <c r="E178" s="843" t="e">
        <f>'NC-CLBD'!M7/100</f>
        <v>#VALUE!</v>
      </c>
      <c r="F178" s="826"/>
      <c r="G178" s="826">
        <f>$R$1*10*Q178</f>
        <v>0</v>
      </c>
      <c r="H178" s="826">
        <f>'DCu-CLBD'!N24</f>
        <v>727.4691105769233</v>
      </c>
      <c r="I178" s="826">
        <f>$I$177</f>
        <v>750.6</v>
      </c>
      <c r="J178" s="826"/>
      <c r="K178" s="826"/>
      <c r="L178" s="826" t="e">
        <f>SUM(E178:K178)</f>
        <v>#VALUE!</v>
      </c>
      <c r="M178" s="826" t="e">
        <f>L178*'He so chung'!$D$16/100</f>
        <v>#VALUE!</v>
      </c>
      <c r="N178" s="849" t="e">
        <f>M178+L178</f>
        <v>#VALUE!</v>
      </c>
      <c r="O178" s="849"/>
      <c r="P178" s="850">
        <f>'He so chung'!$D$18*S178</f>
        <v>1871.1538461538464</v>
      </c>
      <c r="Q178" s="851">
        <f>'He so chung'!$D$19*S178</f>
        <v>1496.9230769230769</v>
      </c>
      <c r="R178" s="852">
        <f>'He so chung'!$D$20*S178</f>
        <v>374.23076923076928</v>
      </c>
      <c r="S178" s="918">
        <f>'NC-CLBD'!L7/100</f>
        <v>0.28000000000000003</v>
      </c>
      <c r="T178" s="849" t="e">
        <f>'[1]IV. DONGIA CHỈNH LÝ'!N175</f>
        <v>#VALUE!</v>
      </c>
      <c r="U178" s="849" t="e">
        <f t="shared" si="32"/>
        <v>#VALUE!</v>
      </c>
      <c r="W178" s="854"/>
    </row>
    <row r="179" spans="1:23" s="830" customFormat="1" ht="18" customHeight="1">
      <c r="A179" s="331"/>
      <c r="B179" s="848"/>
      <c r="C179" s="586"/>
      <c r="D179" s="331">
        <v>3</v>
      </c>
      <c r="E179" s="843" t="e">
        <f>'NC-CLBD'!M9/100</f>
        <v>#VALUE!</v>
      </c>
      <c r="F179" s="826"/>
      <c r="G179" s="826">
        <f>$R$1*10*Q179</f>
        <v>0</v>
      </c>
      <c r="H179" s="826">
        <f>'DCu-CLBD'!N25</f>
        <v>969.95881410256436</v>
      </c>
      <c r="I179" s="826">
        <f>$I$177</f>
        <v>750.6</v>
      </c>
      <c r="J179" s="826"/>
      <c r="K179" s="826"/>
      <c r="L179" s="826" t="e">
        <f>SUM(E179:K179)</f>
        <v>#VALUE!</v>
      </c>
      <c r="M179" s="826" t="e">
        <f>L179*'He so chung'!$D$16/100</f>
        <v>#VALUE!</v>
      </c>
      <c r="N179" s="849" t="e">
        <f>M179+L179</f>
        <v>#VALUE!</v>
      </c>
      <c r="O179" s="849"/>
      <c r="P179" s="850">
        <f>'He so chung'!$D$18*S179</f>
        <v>2245.3846153846157</v>
      </c>
      <c r="Q179" s="851">
        <f>'He so chung'!$D$19*S179</f>
        <v>1796.3076923076924</v>
      </c>
      <c r="R179" s="852">
        <f>'He so chung'!$D$20*S179</f>
        <v>449.07692307692315</v>
      </c>
      <c r="S179" s="918">
        <f>'NC-CLBD'!L9/100</f>
        <v>0.33600000000000002</v>
      </c>
      <c r="T179" s="849" t="e">
        <f>'[1]IV. DONGIA CHỈNH LÝ'!N176</f>
        <v>#VALUE!</v>
      </c>
      <c r="U179" s="849" t="e">
        <f t="shared" si="32"/>
        <v>#VALUE!</v>
      </c>
      <c r="W179" s="854"/>
    </row>
    <row r="180" spans="1:23" s="830" customFormat="1" ht="18" customHeight="1">
      <c r="A180" s="331"/>
      <c r="B180" s="848"/>
      <c r="C180" s="586"/>
      <c r="D180" s="331">
        <v>4</v>
      </c>
      <c r="E180" s="843" t="e">
        <f>'NC-CLBD'!M11/100</f>
        <v>#VALUE!</v>
      </c>
      <c r="F180" s="826"/>
      <c r="G180" s="826">
        <f>$R$1*10*Q180</f>
        <v>0</v>
      </c>
      <c r="H180" s="826">
        <f>'DCu-CLBD'!N26</f>
        <v>1309.4443990384621</v>
      </c>
      <c r="I180" s="826">
        <f>$I$177</f>
        <v>750.6</v>
      </c>
      <c r="J180" s="826"/>
      <c r="K180" s="826"/>
      <c r="L180" s="826" t="e">
        <f>SUM(E180:K180)</f>
        <v>#VALUE!</v>
      </c>
      <c r="M180" s="826" t="e">
        <f>L180*'He so chung'!$D$16/100</f>
        <v>#VALUE!</v>
      </c>
      <c r="N180" s="849" t="e">
        <f>M180+L180</f>
        <v>#VALUE!</v>
      </c>
      <c r="O180" s="849"/>
      <c r="P180" s="850">
        <f>'He so chung'!$D$18*S180</f>
        <v>2694.4615384615386</v>
      </c>
      <c r="Q180" s="851">
        <f>'He so chung'!$D$19*S180</f>
        <v>2155.5692307692307</v>
      </c>
      <c r="R180" s="852">
        <f>'He so chung'!$D$20*S180</f>
        <v>538.89230769230778</v>
      </c>
      <c r="S180" s="918">
        <f>'NC-CLBD'!L11/100</f>
        <v>0.4032</v>
      </c>
      <c r="T180" s="849" t="e">
        <f>'[1]IV. DONGIA CHỈNH LÝ'!N177</f>
        <v>#VALUE!</v>
      </c>
      <c r="U180" s="849" t="e">
        <f t="shared" si="32"/>
        <v>#VALUE!</v>
      </c>
      <c r="W180" s="854"/>
    </row>
    <row r="181" spans="1:23" s="830" customFormat="1" ht="18" customHeight="1">
      <c r="A181" s="331"/>
      <c r="B181" s="848"/>
      <c r="C181" s="586"/>
      <c r="D181" s="331" t="s">
        <v>13</v>
      </c>
      <c r="E181" s="843" t="e">
        <f>'NC-CLBD'!M13/100</f>
        <v>#VALUE!</v>
      </c>
      <c r="F181" s="826"/>
      <c r="G181" s="826">
        <f>$R$1*10*Q181</f>
        <v>0</v>
      </c>
      <c r="H181" s="826">
        <f>'DCu-CLBD'!N27</f>
        <v>1697.4279246794877</v>
      </c>
      <c r="I181" s="826">
        <f>'VL-CLBD'!L16</f>
        <v>750.6</v>
      </c>
      <c r="J181" s="826"/>
      <c r="K181" s="826"/>
      <c r="L181" s="826" t="e">
        <f>SUM(E181:K181)</f>
        <v>#VALUE!</v>
      </c>
      <c r="M181" s="826" t="e">
        <f>L181*'He so chung'!$D$16/100</f>
        <v>#VALUE!</v>
      </c>
      <c r="N181" s="849" t="e">
        <f>M181+L181</f>
        <v>#VALUE!</v>
      </c>
      <c r="O181" s="849"/>
      <c r="P181" s="850">
        <f>'He so chung'!$D$18*S181</f>
        <v>3233.0865384615386</v>
      </c>
      <c r="Q181" s="851">
        <f>'He so chung'!$D$19*S181</f>
        <v>2586.4692307692308</v>
      </c>
      <c r="R181" s="852">
        <f>'He so chung'!$D$20*S181</f>
        <v>646.6173076923078</v>
      </c>
      <c r="S181" s="918">
        <f>'NC-CLBD'!L13/100</f>
        <v>0.48380000000000001</v>
      </c>
      <c r="T181" s="849" t="e">
        <f>'[1]IV. DONGIA CHỈNH LÝ'!N178</f>
        <v>#VALUE!</v>
      </c>
      <c r="U181" s="849" t="e">
        <f t="shared" si="32"/>
        <v>#VALUE!</v>
      </c>
      <c r="W181" s="854"/>
    </row>
    <row r="182" spans="1:23" s="830" customFormat="1" ht="15.75" customHeight="1">
      <c r="A182" s="331"/>
      <c r="B182" s="848"/>
      <c r="C182" s="848"/>
      <c r="D182" s="331"/>
      <c r="E182" s="843"/>
      <c r="F182" s="826"/>
      <c r="G182" s="826"/>
      <c r="H182" s="826"/>
      <c r="I182" s="826"/>
      <c r="J182" s="826"/>
      <c r="K182" s="826"/>
      <c r="L182" s="826"/>
      <c r="M182" s="826"/>
      <c r="N182" s="849"/>
      <c r="O182" s="849"/>
      <c r="P182" s="850"/>
      <c r="Q182" s="851"/>
      <c r="R182" s="852"/>
      <c r="S182" s="918"/>
      <c r="T182" s="849">
        <f>'[1]IV. DONGIA CHỈNH LÝ'!N179</f>
        <v>0</v>
      </c>
      <c r="U182" s="849">
        <f t="shared" si="32"/>
        <v>0</v>
      </c>
      <c r="W182" s="854"/>
    </row>
    <row r="183" spans="1:23" s="830" customFormat="1" ht="18" customHeight="1">
      <c r="A183" s="331" t="s">
        <v>10</v>
      </c>
      <c r="B183" s="848" t="s">
        <v>381</v>
      </c>
      <c r="C183" s="586" t="s">
        <v>278</v>
      </c>
      <c r="D183" s="331">
        <v>1</v>
      </c>
      <c r="E183" s="843" t="e">
        <f>'NC-CLBD'!M17/100</f>
        <v>#VALUE!</v>
      </c>
      <c r="F183" s="826"/>
      <c r="G183" s="826">
        <f>$R$1*10*Q183</f>
        <v>0</v>
      </c>
      <c r="H183" s="826">
        <f>'DCu-CLBD'!N67</f>
        <v>26.93628605769231</v>
      </c>
      <c r="I183" s="826">
        <f>'VL-CLBD'!L45</f>
        <v>22.769099999999998</v>
      </c>
      <c r="J183" s="826">
        <f>'TBI-CLBD'!I30</f>
        <v>128.12</v>
      </c>
      <c r="K183" s="826">
        <f>'NL-CLBD'!F18</f>
        <v>0.9323999999999999</v>
      </c>
      <c r="L183" s="826" t="e">
        <f>SUM(E183:K183)</f>
        <v>#VALUE!</v>
      </c>
      <c r="M183" s="826" t="e">
        <f>L183*'He so chung'!$D$16/100</f>
        <v>#VALUE!</v>
      </c>
      <c r="N183" s="849" t="e">
        <f>M183+L183</f>
        <v>#VALUE!</v>
      </c>
      <c r="O183" s="849"/>
      <c r="P183" s="850">
        <f>'He so chung'!$D$18*S183</f>
        <v>103.58173076923077</v>
      </c>
      <c r="Q183" s="851">
        <f>'He so chung'!$D$19*S183</f>
        <v>82.865384615384613</v>
      </c>
      <c r="R183" s="852">
        <f>'He so chung'!$D$20*S183</f>
        <v>20.716346153846157</v>
      </c>
      <c r="S183" s="918">
        <f>'NC-CLBD'!L17/100</f>
        <v>1.55E-2</v>
      </c>
      <c r="T183" s="849" t="e">
        <f>'[1]IV. DONGIA CHỈNH LÝ'!N180</f>
        <v>#VALUE!</v>
      </c>
      <c r="U183" s="849" t="e">
        <f t="shared" si="32"/>
        <v>#VALUE!</v>
      </c>
      <c r="W183" s="854"/>
    </row>
    <row r="184" spans="1:23" s="830" customFormat="1" ht="18" customHeight="1">
      <c r="A184" s="848"/>
      <c r="B184" s="848"/>
      <c r="C184" s="586"/>
      <c r="D184" s="331">
        <v>2</v>
      </c>
      <c r="E184" s="843" t="e">
        <f>'NC-CLBD'!M19/100</f>
        <v>#VALUE!</v>
      </c>
      <c r="F184" s="826"/>
      <c r="G184" s="826">
        <f>$R$1*10*Q184</f>
        <v>0</v>
      </c>
      <c r="H184" s="826">
        <f>'DCu-CLBD'!N68</f>
        <v>33.670357572115385</v>
      </c>
      <c r="I184" s="826">
        <f>I183</f>
        <v>22.769099999999998</v>
      </c>
      <c r="J184" s="826">
        <f>'TBI-CLBD'!K30</f>
        <v>168.2</v>
      </c>
      <c r="K184" s="826">
        <f>'NL-CLBD'!H18</f>
        <v>1.2432000000000001</v>
      </c>
      <c r="L184" s="826" t="e">
        <f>SUM(E184:K184)</f>
        <v>#VALUE!</v>
      </c>
      <c r="M184" s="826" t="e">
        <f>L184*'He so chung'!$D$16/100</f>
        <v>#VALUE!</v>
      </c>
      <c r="N184" s="849" t="e">
        <f>M184+L184</f>
        <v>#VALUE!</v>
      </c>
      <c r="O184" s="849"/>
      <c r="P184" s="850">
        <f>'He so chung'!$D$18*S184</f>
        <v>140.33653846153848</v>
      </c>
      <c r="Q184" s="851">
        <f>'He so chung'!$D$19*S184</f>
        <v>112.26923076923077</v>
      </c>
      <c r="R184" s="852">
        <f>'He so chung'!$D$20*S184</f>
        <v>28.067307692307697</v>
      </c>
      <c r="S184" s="918">
        <f>'NC-CLBD'!L19/100</f>
        <v>2.1000000000000001E-2</v>
      </c>
      <c r="T184" s="849" t="e">
        <f>'[1]IV. DONGIA CHỈNH LÝ'!N181</f>
        <v>#VALUE!</v>
      </c>
      <c r="U184" s="849" t="e">
        <f t="shared" si="32"/>
        <v>#VALUE!</v>
      </c>
      <c r="W184" s="854"/>
    </row>
    <row r="185" spans="1:23" s="830" customFormat="1" ht="18" customHeight="1">
      <c r="A185" s="331"/>
      <c r="B185" s="848"/>
      <c r="C185" s="586"/>
      <c r="D185" s="331">
        <v>3</v>
      </c>
      <c r="E185" s="843" t="e">
        <f>'NC-CLBD'!M21/100</f>
        <v>#VALUE!</v>
      </c>
      <c r="F185" s="826"/>
      <c r="G185" s="826">
        <f>$R$1*10*Q185</f>
        <v>0</v>
      </c>
      <c r="H185" s="826">
        <f>'DCu-CLBD'!N69</f>
        <v>44.89381009615385</v>
      </c>
      <c r="I185" s="826">
        <f>I184</f>
        <v>22.769099999999998</v>
      </c>
      <c r="J185" s="826">
        <f>'TBI-CLBD'!M30</f>
        <v>208.88</v>
      </c>
      <c r="K185" s="826">
        <f>'NL-CLBD'!J18</f>
        <v>1.3985999999999998</v>
      </c>
      <c r="L185" s="826" t="e">
        <f>SUM(E185:K185)</f>
        <v>#VALUE!</v>
      </c>
      <c r="M185" s="826" t="e">
        <f>L185*'He so chung'!$D$16/100</f>
        <v>#VALUE!</v>
      </c>
      <c r="N185" s="849" t="e">
        <f>M185+L185</f>
        <v>#VALUE!</v>
      </c>
      <c r="O185" s="849"/>
      <c r="P185" s="850">
        <f>'He so chung'!$D$18*S185</f>
        <v>173.75</v>
      </c>
      <c r="Q185" s="851">
        <f>'He so chung'!$D$19*S185</f>
        <v>139</v>
      </c>
      <c r="R185" s="852">
        <f>'He so chung'!$D$20*S185</f>
        <v>34.750000000000007</v>
      </c>
      <c r="S185" s="918">
        <f>'NC-CLBD'!L21/100</f>
        <v>2.6000000000000002E-2</v>
      </c>
      <c r="T185" s="849" t="e">
        <f>'[1]IV. DONGIA CHỈNH LÝ'!N182</f>
        <v>#VALUE!</v>
      </c>
      <c r="U185" s="849" t="e">
        <f t="shared" si="32"/>
        <v>#VALUE!</v>
      </c>
      <c r="W185" s="854"/>
    </row>
    <row r="186" spans="1:23" s="830" customFormat="1" ht="18" customHeight="1">
      <c r="A186" s="331"/>
      <c r="B186" s="848"/>
      <c r="C186" s="586"/>
      <c r="D186" s="331">
        <v>4</v>
      </c>
      <c r="E186" s="843" t="e">
        <f>'NC-CLBD'!M23/100</f>
        <v>#VALUE!</v>
      </c>
      <c r="F186" s="826"/>
      <c r="G186" s="826">
        <f>$R$1*10*Q186</f>
        <v>0</v>
      </c>
      <c r="H186" s="826">
        <f>'DCu-CLBD'!N70</f>
        <v>60.606643629807699</v>
      </c>
      <c r="I186" s="826">
        <f>I185</f>
        <v>22.769099999999998</v>
      </c>
      <c r="J186" s="826">
        <f>'TBI-CLBD'!O30</f>
        <v>262.32</v>
      </c>
      <c r="K186" s="826">
        <f>'NL-CLBD'!L18</f>
        <v>1.554</v>
      </c>
      <c r="L186" s="826" t="e">
        <f>SUM(E186:K186)</f>
        <v>#VALUE!</v>
      </c>
      <c r="M186" s="826" t="e">
        <f>L186*'He so chung'!$D$16/100</f>
        <v>#VALUE!</v>
      </c>
      <c r="N186" s="849" t="e">
        <f>M186+L186</f>
        <v>#VALUE!</v>
      </c>
      <c r="O186" s="849"/>
      <c r="P186" s="850">
        <f>'He so chung'!$D$18*S186</f>
        <v>217.1875</v>
      </c>
      <c r="Q186" s="851">
        <f>'He so chung'!$D$19*S186</f>
        <v>173.75</v>
      </c>
      <c r="R186" s="852">
        <f>'He so chung'!$D$20*S186</f>
        <v>43.437500000000007</v>
      </c>
      <c r="S186" s="918">
        <f>'NC-CLBD'!L23/100</f>
        <v>3.2500000000000001E-2</v>
      </c>
      <c r="T186" s="849" t="e">
        <f>'[1]IV. DONGIA CHỈNH LÝ'!N183</f>
        <v>#VALUE!</v>
      </c>
      <c r="U186" s="849" t="e">
        <f t="shared" si="32"/>
        <v>#VALUE!</v>
      </c>
      <c r="W186" s="854"/>
    </row>
    <row r="187" spans="1:23" s="830" customFormat="1" ht="18" customHeight="1">
      <c r="A187" s="331"/>
      <c r="B187" s="848"/>
      <c r="C187" s="848"/>
      <c r="D187" s="331" t="s">
        <v>13</v>
      </c>
      <c r="E187" s="843" t="e">
        <f>'NC-CLBD'!M25/100</f>
        <v>#VALUE!</v>
      </c>
      <c r="F187" s="826"/>
      <c r="G187" s="826">
        <f>$R$1*10*Q187</f>
        <v>0</v>
      </c>
      <c r="H187" s="826">
        <f>'DCu-CLBD'!N71</f>
        <v>78.564167668269235</v>
      </c>
      <c r="I187" s="826">
        <f>'VL-CLBD'!L45</f>
        <v>22.769099999999998</v>
      </c>
      <c r="J187" s="826">
        <f>'TBI-CLBD'!Q30</f>
        <v>369.8</v>
      </c>
      <c r="K187" s="826">
        <f>'NL-CLBD'!N18</f>
        <v>1.8647999999999998</v>
      </c>
      <c r="L187" s="826" t="e">
        <f>SUM(E187:K187)</f>
        <v>#VALUE!</v>
      </c>
      <c r="M187" s="826" t="e">
        <f>L187*'He so chung'!$D$16/100</f>
        <v>#VALUE!</v>
      </c>
      <c r="N187" s="849" t="e">
        <f>M187+L187</f>
        <v>#VALUE!</v>
      </c>
      <c r="O187" s="849"/>
      <c r="P187" s="850">
        <f>'He so chung'!$D$18*S187</f>
        <v>304.0625</v>
      </c>
      <c r="Q187" s="851">
        <f>'He so chung'!$D$19*S187</f>
        <v>243.24999999999997</v>
      </c>
      <c r="R187" s="852">
        <f>'He so chung'!$D$20*S187</f>
        <v>60.812500000000007</v>
      </c>
      <c r="S187" s="918">
        <f>'NC-CLBD'!L25/100</f>
        <v>4.5499999999999999E-2</v>
      </c>
      <c r="T187" s="849" t="e">
        <f>'[1]IV. DONGIA CHỈNH LÝ'!N184</f>
        <v>#VALUE!</v>
      </c>
      <c r="U187" s="849" t="e">
        <f t="shared" si="32"/>
        <v>#VALUE!</v>
      </c>
      <c r="W187" s="854"/>
    </row>
    <row r="188" spans="1:23" s="830" customFormat="1" ht="16.5" customHeight="1">
      <c r="A188" s="331"/>
      <c r="B188" s="848"/>
      <c r="C188" s="848"/>
      <c r="D188" s="331"/>
      <c r="E188" s="843"/>
      <c r="F188" s="826"/>
      <c r="G188" s="826"/>
      <c r="H188" s="826"/>
      <c r="I188" s="826"/>
      <c r="J188" s="826"/>
      <c r="K188" s="826"/>
      <c r="L188" s="826"/>
      <c r="M188" s="826"/>
      <c r="N188" s="849"/>
      <c r="O188" s="849"/>
      <c r="P188" s="850"/>
      <c r="Q188" s="851"/>
      <c r="R188" s="852"/>
      <c r="S188" s="918"/>
      <c r="T188" s="849">
        <f>'[1]IV. DONGIA CHỈNH LÝ'!N185</f>
        <v>0</v>
      </c>
      <c r="U188" s="849">
        <f t="shared" si="32"/>
        <v>0</v>
      </c>
      <c r="W188" s="854"/>
    </row>
    <row r="189" spans="1:23" s="830" customFormat="1" ht="18" customHeight="1">
      <c r="A189" s="331" t="s">
        <v>11</v>
      </c>
      <c r="B189" s="848" t="s">
        <v>77</v>
      </c>
      <c r="C189" s="586" t="s">
        <v>278</v>
      </c>
      <c r="D189" s="331">
        <v>1</v>
      </c>
      <c r="E189" s="843" t="e">
        <f>'NC-CLBD'!M28/100</f>
        <v>#VALUE!</v>
      </c>
      <c r="F189" s="826">
        <f>'NC-CLBD'!M29/100</f>
        <v>7807.6</v>
      </c>
      <c r="G189" s="826">
        <f>$R$1*10*Q189</f>
        <v>0</v>
      </c>
      <c r="H189" s="826">
        <f>'DCu-CLBD'!N112</f>
        <v>575.24236538461537</v>
      </c>
      <c r="I189" s="826">
        <f>'VL-CLBD'!L39</f>
        <v>455.38199999999995</v>
      </c>
      <c r="J189" s="826">
        <f>'TBI-CLBD'!I80</f>
        <v>2789.2000000000007</v>
      </c>
      <c r="K189" s="826">
        <f>'NL-CLBD'!F42</f>
        <v>16.783200000000001</v>
      </c>
      <c r="L189" s="826" t="e">
        <f>SUM(E189:K189)</f>
        <v>#VALUE!</v>
      </c>
      <c r="M189" s="826" t="e">
        <f>L189*'He so chung'!$D$16/100</f>
        <v>#VALUE!</v>
      </c>
      <c r="N189" s="849" t="e">
        <f>M189+L189</f>
        <v>#VALUE!</v>
      </c>
      <c r="O189" s="849">
        <v>1192</v>
      </c>
      <c r="P189" s="850">
        <f>'He so chung'!$D$18*S189</f>
        <v>2850.1682692307691</v>
      </c>
      <c r="Q189" s="851">
        <f>'He so chung'!$D$19*S189</f>
        <v>2280.1346153846152</v>
      </c>
      <c r="R189" s="852">
        <f>'He so chung'!$D$20*S189</f>
        <v>570.03365384615392</v>
      </c>
      <c r="S189" s="918">
        <f>'NC-CLBD'!L28/100</f>
        <v>0.42649999999999999</v>
      </c>
      <c r="T189" s="849" t="e">
        <f>'[1]IV. DONGIA CHỈNH LÝ'!N186</f>
        <v>#VALUE!</v>
      </c>
      <c r="U189" s="849" t="e">
        <f t="shared" si="32"/>
        <v>#VALUE!</v>
      </c>
      <c r="W189" s="854"/>
    </row>
    <row r="190" spans="1:23" s="830" customFormat="1" ht="18" customHeight="1">
      <c r="A190" s="331"/>
      <c r="B190" s="848"/>
      <c r="C190" s="586"/>
      <c r="D190" s="331">
        <v>2</v>
      </c>
      <c r="E190" s="843" t="e">
        <f>'NC-CLBD'!M32/100</f>
        <v>#VALUE!</v>
      </c>
      <c r="F190" s="826">
        <f>'NC-CLBD'!M33/100</f>
        <v>9379.6</v>
      </c>
      <c r="G190" s="826">
        <f>$R$1*10*Q190</f>
        <v>0</v>
      </c>
      <c r="H190" s="826">
        <f>'DCu-CLBD'!N113</f>
        <v>719.05295673076921</v>
      </c>
      <c r="I190" s="826">
        <f>I189</f>
        <v>455.38199999999995</v>
      </c>
      <c r="J190" s="826">
        <f>'TBI-CLBD'!K80</f>
        <v>3721.36</v>
      </c>
      <c r="K190" s="826">
        <f>'NL-CLBD'!H42</f>
        <v>20.978999999999999</v>
      </c>
      <c r="L190" s="826" t="e">
        <f>SUM(E190:K190)</f>
        <v>#VALUE!</v>
      </c>
      <c r="M190" s="826" t="e">
        <f>L190*'He so chung'!$D$16/100</f>
        <v>#VALUE!</v>
      </c>
      <c r="N190" s="849" t="e">
        <f>M190+L190</f>
        <v>#VALUE!</v>
      </c>
      <c r="O190" s="849">
        <v>1432.0000000000291</v>
      </c>
      <c r="P190" s="850">
        <f>'He so chung'!$D$18*S190</f>
        <v>3421.5384615384614</v>
      </c>
      <c r="Q190" s="851">
        <f>'He so chung'!$D$19*S190</f>
        <v>2737.2307692307691</v>
      </c>
      <c r="R190" s="852">
        <f>'He so chung'!$D$20*S190</f>
        <v>684.30769230769238</v>
      </c>
      <c r="S190" s="918">
        <f>'NC-CLBD'!L32/100</f>
        <v>0.51200000000000001</v>
      </c>
      <c r="T190" s="849" t="e">
        <f>'[1]IV. DONGIA CHỈNH LÝ'!N187</f>
        <v>#VALUE!</v>
      </c>
      <c r="U190" s="849" t="e">
        <f t="shared" si="32"/>
        <v>#VALUE!</v>
      </c>
      <c r="W190" s="854"/>
    </row>
    <row r="191" spans="1:23" s="830" customFormat="1" ht="18" customHeight="1">
      <c r="A191" s="331"/>
      <c r="B191" s="848"/>
      <c r="C191" s="586"/>
      <c r="D191" s="331">
        <v>3</v>
      </c>
      <c r="E191" s="843" t="e">
        <f>'NC-CLBD'!M36/100</f>
        <v>#VALUE!</v>
      </c>
      <c r="F191" s="826">
        <f>'NC-CLBD'!M37/100</f>
        <v>11252.9</v>
      </c>
      <c r="G191" s="826">
        <f>$R$1*10*Q191</f>
        <v>0</v>
      </c>
      <c r="H191" s="826">
        <f>'DCu-CLBD'!N114</f>
        <v>958.73727564102558</v>
      </c>
      <c r="I191" s="826">
        <f>I190</f>
        <v>455.38199999999995</v>
      </c>
      <c r="J191" s="826">
        <f>'TBI-CLBD'!M80</f>
        <v>4646.24</v>
      </c>
      <c r="K191" s="826">
        <f>'NL-CLBD'!J42</f>
        <v>27.3504</v>
      </c>
      <c r="L191" s="826" t="e">
        <f>SUM(E191:K191)</f>
        <v>#VALUE!</v>
      </c>
      <c r="M191" s="826" t="e">
        <f>L191*'He so chung'!$D$16/100</f>
        <v>#VALUE!</v>
      </c>
      <c r="N191" s="849" t="e">
        <f>M191+L191</f>
        <v>#VALUE!</v>
      </c>
      <c r="O191" s="849">
        <v>1718</v>
      </c>
      <c r="P191" s="850">
        <f>'He so chung'!$D$18*S191</f>
        <v>4103.1730769230771</v>
      </c>
      <c r="Q191" s="851">
        <f>'He so chung'!$D$19*S191</f>
        <v>3282.5384615384614</v>
      </c>
      <c r="R191" s="852">
        <f>'He so chung'!$D$20*S191</f>
        <v>820.63461538461547</v>
      </c>
      <c r="S191" s="918">
        <f>'NC-CLBD'!L36/100</f>
        <v>0.61399999999999999</v>
      </c>
      <c r="T191" s="849" t="e">
        <f>'[1]IV. DONGIA CHỈNH LÝ'!N188</f>
        <v>#VALUE!</v>
      </c>
      <c r="U191" s="849" t="e">
        <f t="shared" si="32"/>
        <v>#VALUE!</v>
      </c>
      <c r="W191" s="854"/>
    </row>
    <row r="192" spans="1:23" s="830" customFormat="1" ht="18" customHeight="1">
      <c r="A192" s="331"/>
      <c r="B192" s="848"/>
      <c r="C192" s="586"/>
      <c r="D192" s="331">
        <v>4</v>
      </c>
      <c r="E192" s="843" t="e">
        <f>'NC-CLBD'!M40/100</f>
        <v>#VALUE!</v>
      </c>
      <c r="F192" s="826">
        <f>'NC-CLBD'!M41/100</f>
        <v>13506.1</v>
      </c>
      <c r="G192" s="826">
        <f>$R$1*10*Q192</f>
        <v>0</v>
      </c>
      <c r="H192" s="826">
        <f>'DCu-CLBD'!N115</f>
        <v>1294.2953221153846</v>
      </c>
      <c r="I192" s="826">
        <f>I191</f>
        <v>455.38199999999995</v>
      </c>
      <c r="J192" s="826">
        <f>'TBI-CLBD'!O80</f>
        <v>5811.44</v>
      </c>
      <c r="K192" s="826">
        <f>'NL-CLBD'!L42</f>
        <v>33.566400000000002</v>
      </c>
      <c r="L192" s="826" t="e">
        <f>SUM(E192:K192)</f>
        <v>#VALUE!</v>
      </c>
      <c r="M192" s="826" t="e">
        <f>L192*'He so chung'!$D$16/100</f>
        <v>#VALUE!</v>
      </c>
      <c r="N192" s="849" t="e">
        <f>M192+L192</f>
        <v>#VALUE!</v>
      </c>
      <c r="O192" s="849">
        <v>2062</v>
      </c>
      <c r="P192" s="850">
        <f>'He so chung'!$D$18*S192</f>
        <v>4925.1442307692305</v>
      </c>
      <c r="Q192" s="851">
        <f>'He so chung'!$D$19*S192</f>
        <v>3940.1153846153843</v>
      </c>
      <c r="R192" s="852">
        <f>'He so chung'!$D$20*S192</f>
        <v>985.02884615384619</v>
      </c>
      <c r="S192" s="918">
        <f>'NC-CLBD'!L40/100</f>
        <v>0.73699999999999999</v>
      </c>
      <c r="T192" s="849" t="e">
        <f>'[1]IV. DONGIA CHỈNH LÝ'!N189</f>
        <v>#VALUE!</v>
      </c>
      <c r="U192" s="849" t="e">
        <f t="shared" si="32"/>
        <v>#VALUE!</v>
      </c>
      <c r="W192" s="854"/>
    </row>
    <row r="193" spans="1:23" s="830" customFormat="1" ht="18" customHeight="1">
      <c r="A193" s="331"/>
      <c r="B193" s="848"/>
      <c r="C193" s="586"/>
      <c r="D193" s="331" t="s">
        <v>13</v>
      </c>
      <c r="E193" s="843" t="e">
        <f>'NC-CLBD'!M44/100</f>
        <v>#VALUE!</v>
      </c>
      <c r="F193" s="826">
        <f>'NC-CLBD'!M45/100</f>
        <v>16204.7</v>
      </c>
      <c r="G193" s="826">
        <f>$R$1*10*Q193</f>
        <v>0</v>
      </c>
      <c r="H193" s="826">
        <f>'DCu-CLBD'!N116</f>
        <v>1677.7902323717947</v>
      </c>
      <c r="I193" s="826">
        <f>'VL-CLBD'!L39</f>
        <v>455.38199999999995</v>
      </c>
      <c r="J193" s="826">
        <f>'TBI-CLBD'!Q80</f>
        <v>7332</v>
      </c>
      <c r="K193" s="826">
        <f>'NL-CLBD'!N42</f>
        <v>0</v>
      </c>
      <c r="L193" s="826" t="e">
        <f>SUM(E193:K193)</f>
        <v>#VALUE!</v>
      </c>
      <c r="M193" s="826" t="e">
        <f>L193*'He so chung'!$D$16/100</f>
        <v>#VALUE!</v>
      </c>
      <c r="N193" s="849" t="e">
        <f>M193+L193</f>
        <v>#VALUE!</v>
      </c>
      <c r="O193" s="849">
        <v>2473.9999999998836</v>
      </c>
      <c r="P193" s="850">
        <f>'He so chung'!$D$18*S193</f>
        <v>5910.8413461538466</v>
      </c>
      <c r="Q193" s="851">
        <f>'He so chung'!$D$19*S193</f>
        <v>4728.6730769230771</v>
      </c>
      <c r="R193" s="852">
        <f>'He so chung'!$D$20*S193</f>
        <v>1182.1682692307695</v>
      </c>
      <c r="S193" s="918">
        <f>'NC-CLBD'!L44/100</f>
        <v>0.88450000000000006</v>
      </c>
      <c r="T193" s="849" t="e">
        <f>'[1]IV. DONGIA CHỈNH LÝ'!N190</f>
        <v>#VALUE!</v>
      </c>
      <c r="U193" s="849" t="e">
        <f t="shared" si="32"/>
        <v>#VALUE!</v>
      </c>
      <c r="W193" s="854"/>
    </row>
    <row r="194" spans="1:23" s="830" customFormat="1" ht="17.25" customHeight="1">
      <c r="A194" s="331"/>
      <c r="B194" s="848"/>
      <c r="C194" s="586"/>
      <c r="D194" s="331"/>
      <c r="E194" s="843"/>
      <c r="F194" s="826"/>
      <c r="G194" s="826"/>
      <c r="H194" s="826"/>
      <c r="I194" s="826"/>
      <c r="J194" s="826"/>
      <c r="K194" s="826"/>
      <c r="L194" s="826"/>
      <c r="M194" s="826"/>
      <c r="N194" s="849"/>
      <c r="O194" s="849"/>
      <c r="P194" s="850"/>
      <c r="Q194" s="919"/>
      <c r="R194" s="920"/>
      <c r="S194" s="918"/>
      <c r="T194" s="849">
        <f>'[1]IV. DONGIA CHỈNH LÝ'!N191</f>
        <v>0</v>
      </c>
      <c r="U194" s="849">
        <f t="shared" si="32"/>
        <v>0</v>
      </c>
      <c r="W194" s="854"/>
    </row>
    <row r="195" spans="1:23" s="830" customFormat="1" ht="18" customHeight="1">
      <c r="A195" s="841" t="s">
        <v>4</v>
      </c>
      <c r="B195" s="842" t="s">
        <v>382</v>
      </c>
      <c r="C195" s="586"/>
      <c r="D195" s="331"/>
      <c r="E195" s="843"/>
      <c r="F195" s="826"/>
      <c r="G195" s="826"/>
      <c r="H195" s="826"/>
      <c r="I195" s="826"/>
      <c r="J195" s="826"/>
      <c r="K195" s="826"/>
      <c r="L195" s="826"/>
      <c r="M195" s="826"/>
      <c r="N195" s="849"/>
      <c r="O195" s="849"/>
      <c r="P195" s="850"/>
      <c r="Q195" s="919"/>
      <c r="R195" s="920"/>
      <c r="S195" s="918"/>
      <c r="T195" s="849">
        <f>'[1]IV. DONGIA CHỈNH LÝ'!N192</f>
        <v>0</v>
      </c>
      <c r="U195" s="849">
        <f t="shared" si="32"/>
        <v>0</v>
      </c>
      <c r="W195" s="854"/>
    </row>
    <row r="196" spans="1:23" s="830" customFormat="1" ht="18" customHeight="1">
      <c r="A196" s="331" t="s">
        <v>9</v>
      </c>
      <c r="B196" s="848" t="s">
        <v>383</v>
      </c>
      <c r="C196" s="586"/>
      <c r="D196" s="331"/>
      <c r="E196" s="843"/>
      <c r="F196" s="826"/>
      <c r="G196" s="826"/>
      <c r="H196" s="826"/>
      <c r="I196" s="826"/>
      <c r="J196" s="826"/>
      <c r="K196" s="826"/>
      <c r="L196" s="826"/>
      <c r="M196" s="826"/>
      <c r="N196" s="849"/>
      <c r="O196" s="849"/>
      <c r="P196" s="850"/>
      <c r="Q196" s="919"/>
      <c r="R196" s="920"/>
      <c r="S196" s="918"/>
      <c r="T196" s="849">
        <f>'[1]IV. DONGIA CHỈNH LÝ'!N193</f>
        <v>0</v>
      </c>
      <c r="U196" s="849">
        <f t="shared" si="32"/>
        <v>0</v>
      </c>
      <c r="W196" s="854"/>
    </row>
    <row r="197" spans="1:23" s="830" customFormat="1" ht="17.25" customHeight="1">
      <c r="A197" s="331"/>
      <c r="B197" s="848"/>
      <c r="C197" s="586"/>
      <c r="D197" s="331"/>
      <c r="E197" s="843"/>
      <c r="F197" s="826"/>
      <c r="G197" s="826"/>
      <c r="H197" s="826"/>
      <c r="I197" s="826"/>
      <c r="J197" s="826"/>
      <c r="K197" s="826"/>
      <c r="L197" s="826"/>
      <c r="M197" s="826"/>
      <c r="N197" s="849"/>
      <c r="O197" s="849"/>
      <c r="P197" s="850"/>
      <c r="Q197" s="919"/>
      <c r="R197" s="920"/>
      <c r="S197" s="918"/>
      <c r="T197" s="849">
        <f>'[1]IV. DONGIA CHỈNH LÝ'!N194</f>
        <v>0</v>
      </c>
      <c r="U197" s="849">
        <f t="shared" si="32"/>
        <v>0</v>
      </c>
      <c r="W197" s="854"/>
    </row>
    <row r="198" spans="1:23" s="830" customFormat="1" ht="18" customHeight="1">
      <c r="A198" s="331" t="s">
        <v>10</v>
      </c>
      <c r="B198" s="848" t="s">
        <v>81</v>
      </c>
      <c r="C198" s="586" t="s">
        <v>278</v>
      </c>
      <c r="D198" s="331" t="s">
        <v>9</v>
      </c>
      <c r="E198" s="843" t="e">
        <f>'NC-CLBD'!M54/100</f>
        <v>#VALUE!</v>
      </c>
      <c r="F198" s="826"/>
      <c r="G198" s="826">
        <f>$R$1*10*Q198</f>
        <v>0</v>
      </c>
      <c r="H198" s="826">
        <f>'DCu-CLBD'!N156</f>
        <v>116.20497323076926</v>
      </c>
      <c r="I198" s="826">
        <f>'VL-CLBD'!L71</f>
        <v>5611.8959999999997</v>
      </c>
      <c r="J198" s="826">
        <f>'TBI-CLBD'!I128</f>
        <v>149.13320000000002</v>
      </c>
      <c r="K198" s="826">
        <f>'NL-CLBD'!F68</f>
        <v>268.99739999999997</v>
      </c>
      <c r="L198" s="826" t="e">
        <f>SUM(E198:K198)</f>
        <v>#VALUE!</v>
      </c>
      <c r="M198" s="826" t="e">
        <f>L198*'He so chung'!$D$17/100</f>
        <v>#VALUE!</v>
      </c>
      <c r="N198" s="849" t="e">
        <f>M198+L198</f>
        <v>#VALUE!</v>
      </c>
      <c r="O198" s="849"/>
      <c r="P198" s="850">
        <f>'He so chung'!$D$21*S198</f>
        <v>82.384230769230768</v>
      </c>
      <c r="Q198" s="851">
        <f>'He so chung'!$D$22*S198</f>
        <v>71.638461538461542</v>
      </c>
      <c r="R198" s="852">
        <f>'He so chung'!$D$23*S198</f>
        <v>10.745769230769231</v>
      </c>
      <c r="S198" s="918">
        <f>'NC-CLBD'!L54/100</f>
        <v>1.34E-2</v>
      </c>
      <c r="T198" s="849" t="e">
        <f>'[1]IV. DONGIA CHỈNH LÝ'!N195</f>
        <v>#VALUE!</v>
      </c>
      <c r="U198" s="849" t="e">
        <f t="shared" si="32"/>
        <v>#VALUE!</v>
      </c>
      <c r="W198" s="854"/>
    </row>
    <row r="199" spans="1:23" s="830" customFormat="1" ht="18" customHeight="1">
      <c r="A199" s="331"/>
      <c r="B199" s="848"/>
      <c r="C199" s="586"/>
      <c r="D199" s="331" t="s">
        <v>10</v>
      </c>
      <c r="E199" s="843" t="e">
        <f>'NC-CLBD'!M56/100</f>
        <v>#VALUE!</v>
      </c>
      <c r="F199" s="826"/>
      <c r="G199" s="826">
        <f>$R$1*10*Q199</f>
        <v>0</v>
      </c>
      <c r="H199" s="826">
        <f>'DCu-CLBD'!N157</f>
        <v>145.25621653846156</v>
      </c>
      <c r="I199" s="826">
        <f>I198</f>
        <v>5611.8959999999997</v>
      </c>
      <c r="J199" s="826">
        <f>'TBI-CLBD'!K128</f>
        <v>157.81479999999999</v>
      </c>
      <c r="K199" s="826">
        <f>'NL-CLBD'!H68</f>
        <v>286.09140000000002</v>
      </c>
      <c r="L199" s="826" t="e">
        <f>SUM(E199:K199)</f>
        <v>#VALUE!</v>
      </c>
      <c r="M199" s="826" t="e">
        <f>L199*'He so chung'!$D$17/100</f>
        <v>#VALUE!</v>
      </c>
      <c r="N199" s="849" t="e">
        <f>M199+L199</f>
        <v>#VALUE!</v>
      </c>
      <c r="O199" s="849"/>
      <c r="P199" s="850">
        <f>'He so chung'!$D$21*S199</f>
        <v>109.43576923076922</v>
      </c>
      <c r="Q199" s="851">
        <f>'He so chung'!$D$22*S199</f>
        <v>95.161538461538456</v>
      </c>
      <c r="R199" s="852">
        <f>'He so chung'!$D$23*S199</f>
        <v>14.274230769230769</v>
      </c>
      <c r="S199" s="918">
        <f>'NC-CLBD'!L56/100</f>
        <v>1.78E-2</v>
      </c>
      <c r="T199" s="849" t="e">
        <f>'[1]IV. DONGIA CHỈNH LÝ'!N196</f>
        <v>#VALUE!</v>
      </c>
      <c r="U199" s="849" t="e">
        <f t="shared" si="32"/>
        <v>#VALUE!</v>
      </c>
      <c r="W199" s="854"/>
    </row>
    <row r="200" spans="1:23" s="830" customFormat="1" ht="18" customHeight="1">
      <c r="A200" s="331"/>
      <c r="B200" s="848"/>
      <c r="C200" s="586"/>
      <c r="D200" s="331" t="s">
        <v>11</v>
      </c>
      <c r="E200" s="843" t="e">
        <f>'NC-CLBD'!M58/100</f>
        <v>#VALUE!</v>
      </c>
      <c r="F200" s="826"/>
      <c r="G200" s="826">
        <f>$R$1*10*Q200</f>
        <v>0</v>
      </c>
      <c r="H200" s="826">
        <f>'DCu-CLBD'!N158</f>
        <v>193.67495538461543</v>
      </c>
      <c r="I200" s="826">
        <f>I199</f>
        <v>5611.8959999999997</v>
      </c>
      <c r="J200" s="826">
        <f>'TBI-CLBD'!M128</f>
        <v>167.38639999999998</v>
      </c>
      <c r="K200" s="826">
        <f>'NL-CLBD'!J68</f>
        <v>301.63139999999999</v>
      </c>
      <c r="L200" s="826" t="e">
        <f>SUM(E200:K200)</f>
        <v>#VALUE!</v>
      </c>
      <c r="M200" s="826" t="e">
        <f>L200*'He so chung'!$D$17/100</f>
        <v>#VALUE!</v>
      </c>
      <c r="N200" s="849" t="e">
        <f>M200+L200</f>
        <v>#VALUE!</v>
      </c>
      <c r="O200" s="849"/>
      <c r="P200" s="850">
        <f>'He so chung'!$D$21*S200</f>
        <v>136.4873076923077</v>
      </c>
      <c r="Q200" s="851">
        <f>'He so chung'!$D$22*S200</f>
        <v>118.68461538461538</v>
      </c>
      <c r="R200" s="852">
        <f>'He so chung'!$D$23*S200</f>
        <v>17.802692307692308</v>
      </c>
      <c r="S200" s="918">
        <f>'NC-CLBD'!L58/100</f>
        <v>2.2200000000000001E-2</v>
      </c>
      <c r="T200" s="849" t="e">
        <f>'[1]IV. DONGIA CHỈNH LÝ'!N197</f>
        <v>#VALUE!</v>
      </c>
      <c r="U200" s="849" t="e">
        <f t="shared" si="32"/>
        <v>#VALUE!</v>
      </c>
      <c r="W200" s="854"/>
    </row>
    <row r="201" spans="1:23" s="830" customFormat="1" ht="18" customHeight="1">
      <c r="A201" s="331"/>
      <c r="B201" s="848"/>
      <c r="C201" s="586"/>
      <c r="D201" s="331" t="s">
        <v>12</v>
      </c>
      <c r="E201" s="843" t="e">
        <f>'NC-CLBD'!M60/100</f>
        <v>#VALUE!</v>
      </c>
      <c r="F201" s="826"/>
      <c r="G201" s="826">
        <f>$R$1*10*Q201</f>
        <v>0</v>
      </c>
      <c r="H201" s="826">
        <f>'DCu-CLBD'!N159</f>
        <v>261.46118976923083</v>
      </c>
      <c r="I201" s="826">
        <f>I200</f>
        <v>5611.8959999999997</v>
      </c>
      <c r="J201" s="826">
        <f>'TBI-CLBD'!O128</f>
        <v>178.15799999999999</v>
      </c>
      <c r="K201" s="826">
        <f>'NL-CLBD'!L68</f>
        <v>321.98879999999997</v>
      </c>
      <c r="L201" s="826" t="e">
        <f>SUM(E201:K201)</f>
        <v>#VALUE!</v>
      </c>
      <c r="M201" s="826" t="e">
        <f>L201*'He so chung'!$D$17/100</f>
        <v>#VALUE!</v>
      </c>
      <c r="N201" s="849" t="e">
        <f>M201+L201</f>
        <v>#VALUE!</v>
      </c>
      <c r="O201" s="849"/>
      <c r="P201" s="850">
        <f>'He so chung'!$D$21*S201</f>
        <v>170.91653846153844</v>
      </c>
      <c r="Q201" s="851">
        <f>'He so chung'!$D$22*S201</f>
        <v>148.62307692307689</v>
      </c>
      <c r="R201" s="852">
        <f>'He so chung'!$D$23*S201</f>
        <v>22.293461538461536</v>
      </c>
      <c r="S201" s="918">
        <f>'NC-CLBD'!L60/100</f>
        <v>2.7799999999999998E-2</v>
      </c>
      <c r="T201" s="849" t="e">
        <f>'[1]IV. DONGIA CHỈNH LÝ'!N198</f>
        <v>#VALUE!</v>
      </c>
      <c r="U201" s="849" t="e">
        <f t="shared" si="32"/>
        <v>#VALUE!</v>
      </c>
      <c r="W201" s="854"/>
    </row>
    <row r="202" spans="1:23" s="830" customFormat="1" ht="18" customHeight="1">
      <c r="A202" s="331"/>
      <c r="B202" s="848"/>
      <c r="C202" s="586"/>
      <c r="D202" s="331" t="s">
        <v>13</v>
      </c>
      <c r="E202" s="843" t="e">
        <f>'NC-CLBD'!M62/100</f>
        <v>#VALUE!</v>
      </c>
      <c r="F202" s="826"/>
      <c r="G202" s="826">
        <f>$R$1*10*Q202</f>
        <v>0</v>
      </c>
      <c r="H202" s="826">
        <f>'DCu-CLBD'!N160</f>
        <v>338.93117192307699</v>
      </c>
      <c r="I202" s="826">
        <f>I201</f>
        <v>5611.8959999999997</v>
      </c>
      <c r="J202" s="826">
        <f>'TBI-CLBD'!Q128</f>
        <v>200.5796</v>
      </c>
      <c r="K202" s="826">
        <f>'NL-CLBD'!N68</f>
        <v>340.79220000000004</v>
      </c>
      <c r="L202" s="826" t="e">
        <f>SUM(E202:K202)</f>
        <v>#VALUE!</v>
      </c>
      <c r="M202" s="826" t="e">
        <f>L202*'He so chung'!$D$17/100</f>
        <v>#VALUE!</v>
      </c>
      <c r="N202" s="849" t="e">
        <f>M202+L202</f>
        <v>#VALUE!</v>
      </c>
      <c r="O202" s="849"/>
      <c r="P202" s="850">
        <f>'He so chung'!$D$21*S202</f>
        <v>238.54538461538462</v>
      </c>
      <c r="Q202" s="851">
        <f>'He so chung'!$D$22*S202</f>
        <v>207.43076923076922</v>
      </c>
      <c r="R202" s="852">
        <f>'He so chung'!$D$23*S202</f>
        <v>31.114615384615384</v>
      </c>
      <c r="S202" s="918">
        <f>'NC-CLBD'!L62/100</f>
        <v>3.8800000000000001E-2</v>
      </c>
      <c r="T202" s="849" t="e">
        <f>'[1]IV. DONGIA CHỈNH LÝ'!N199</f>
        <v>#VALUE!</v>
      </c>
      <c r="U202" s="849" t="e">
        <f t="shared" si="32"/>
        <v>#VALUE!</v>
      </c>
      <c r="W202" s="854"/>
    </row>
    <row r="203" spans="1:23" s="830" customFormat="1" ht="18" customHeight="1">
      <c r="A203" s="857"/>
      <c r="B203" s="858"/>
      <c r="C203" s="855"/>
      <c r="D203" s="331"/>
      <c r="E203" s="843"/>
      <c r="F203" s="826"/>
      <c r="G203" s="826"/>
      <c r="H203" s="826"/>
      <c r="I203" s="826"/>
      <c r="J203" s="826"/>
      <c r="K203" s="826"/>
      <c r="L203" s="826"/>
      <c r="M203" s="826"/>
      <c r="N203" s="849"/>
      <c r="O203" s="849"/>
      <c r="P203" s="850"/>
      <c r="Q203" s="851"/>
      <c r="R203" s="852"/>
      <c r="S203" s="918"/>
      <c r="T203" s="849">
        <f>'[1]IV. DONGIA CHỈNH LÝ'!N200</f>
        <v>0</v>
      </c>
      <c r="U203" s="849">
        <f t="shared" si="32"/>
        <v>0</v>
      </c>
      <c r="W203" s="854"/>
    </row>
    <row r="204" spans="1:23" s="830" customFormat="1" ht="18" customHeight="1">
      <c r="A204" s="331" t="s">
        <v>11</v>
      </c>
      <c r="B204" s="848" t="s">
        <v>384</v>
      </c>
      <c r="C204" s="586" t="s">
        <v>278</v>
      </c>
      <c r="D204" s="331" t="s">
        <v>8</v>
      </c>
      <c r="E204" s="843" t="e">
        <f>'NC-CLBD'!M64/100</f>
        <v>#VALUE!</v>
      </c>
      <c r="F204" s="826"/>
      <c r="G204" s="826">
        <f>$R$1*10*Q204</f>
        <v>0</v>
      </c>
      <c r="H204" s="826"/>
      <c r="I204" s="826"/>
      <c r="J204" s="826"/>
      <c r="K204" s="826"/>
      <c r="L204" s="826" t="e">
        <f>SUM(E204:K204)</f>
        <v>#VALUE!</v>
      </c>
      <c r="M204" s="826" t="e">
        <f>L204*'He so chung'!$D$17/100</f>
        <v>#VALUE!</v>
      </c>
      <c r="N204" s="849" t="e">
        <f>M204+L204</f>
        <v>#VALUE!</v>
      </c>
      <c r="O204" s="849"/>
      <c r="P204" s="850">
        <f>'He so chung'!$D$21*S204</f>
        <v>184.44230769230768</v>
      </c>
      <c r="Q204" s="851">
        <f>'He so chung'!$D$22*S204</f>
        <v>160.38461538461536</v>
      </c>
      <c r="R204" s="852">
        <f>'He so chung'!$D$23*S204</f>
        <v>24.057692307692307</v>
      </c>
      <c r="S204" s="918">
        <f>'NC-CLBD'!L64/100</f>
        <v>0.03</v>
      </c>
      <c r="T204" s="849" t="e">
        <f>'[1]IV. DONGIA CHỈNH LÝ'!N201</f>
        <v>#VALUE!</v>
      </c>
      <c r="U204" s="849" t="e">
        <f t="shared" si="32"/>
        <v>#VALUE!</v>
      </c>
      <c r="W204" s="854"/>
    </row>
    <row r="205" spans="1:23" s="830" customFormat="1" ht="18" customHeight="1">
      <c r="A205" s="331"/>
      <c r="B205" s="848" t="s">
        <v>385</v>
      </c>
      <c r="C205" s="586"/>
      <c r="D205" s="331"/>
      <c r="E205" s="843"/>
      <c r="F205" s="826"/>
      <c r="G205" s="826"/>
      <c r="H205" s="826"/>
      <c r="I205" s="826"/>
      <c r="J205" s="826"/>
      <c r="K205" s="826"/>
      <c r="L205" s="826"/>
      <c r="M205" s="826"/>
      <c r="N205" s="849"/>
      <c r="O205" s="849"/>
      <c r="P205" s="850"/>
      <c r="Q205" s="851"/>
      <c r="R205" s="852"/>
      <c r="S205" s="918"/>
      <c r="T205" s="849">
        <f>'[1]IV. DONGIA CHỈNH LÝ'!N202</f>
        <v>0</v>
      </c>
      <c r="U205" s="849">
        <f t="shared" si="32"/>
        <v>0</v>
      </c>
      <c r="W205" s="854"/>
    </row>
    <row r="206" spans="1:23" s="830" customFormat="1" ht="18" customHeight="1">
      <c r="A206" s="857"/>
      <c r="B206" s="858"/>
      <c r="C206" s="855"/>
      <c r="D206" s="331"/>
      <c r="E206" s="843"/>
      <c r="F206" s="826"/>
      <c r="G206" s="826"/>
      <c r="H206" s="826"/>
      <c r="I206" s="826"/>
      <c r="J206" s="826"/>
      <c r="K206" s="826"/>
      <c r="L206" s="826"/>
      <c r="M206" s="826"/>
      <c r="N206" s="849"/>
      <c r="O206" s="849"/>
      <c r="P206" s="850"/>
      <c r="Q206" s="851"/>
      <c r="R206" s="852"/>
      <c r="S206" s="918"/>
      <c r="T206" s="849">
        <f>'[1]IV. DONGIA CHỈNH LÝ'!N203</f>
        <v>0</v>
      </c>
      <c r="U206" s="849">
        <f t="shared" si="32"/>
        <v>0</v>
      </c>
      <c r="W206" s="854"/>
    </row>
    <row r="207" spans="1:23" s="830" customFormat="1" ht="18" customHeight="1">
      <c r="A207" s="331" t="s">
        <v>12</v>
      </c>
      <c r="B207" s="848" t="s">
        <v>363</v>
      </c>
      <c r="C207" s="586" t="s">
        <v>278</v>
      </c>
      <c r="D207" s="331" t="s">
        <v>8</v>
      </c>
      <c r="E207" s="843" t="e">
        <f>'NC-CLBD'!M67/100</f>
        <v>#VALUE!</v>
      </c>
      <c r="F207" s="826"/>
      <c r="G207" s="826">
        <f>$R$1*10*Q207</f>
        <v>0</v>
      </c>
      <c r="H207" s="826">
        <f>'DCu-CLBD'!N186</f>
        <v>184.59746666666666</v>
      </c>
      <c r="I207" s="826">
        <f>'VL-CLBD'!L92</f>
        <v>1232.28</v>
      </c>
      <c r="J207" s="826">
        <f>'TBI-CLBD'!M155</f>
        <v>105.78</v>
      </c>
      <c r="K207" s="826">
        <f>'NL-CLBD'!F86</f>
        <v>191.142</v>
      </c>
      <c r="L207" s="826" t="e">
        <f>SUM(E207:K207)</f>
        <v>#VALUE!</v>
      </c>
      <c r="M207" s="826" t="e">
        <f>L207*'He so chung'!$D$17/100</f>
        <v>#VALUE!</v>
      </c>
      <c r="N207" s="849" t="e">
        <f>M207+L207</f>
        <v>#VALUE!</v>
      </c>
      <c r="O207" s="849"/>
      <c r="P207" s="850">
        <f>'He so chung'!$D$21*S207</f>
        <v>159.85000000000002</v>
      </c>
      <c r="Q207" s="851">
        <f>'He so chung'!$D$22*S207</f>
        <v>139</v>
      </c>
      <c r="R207" s="852">
        <f>'He so chung'!$D$23*S207</f>
        <v>20.85</v>
      </c>
      <c r="S207" s="918">
        <f>'NC-CLBD'!L67/100</f>
        <v>2.6000000000000002E-2</v>
      </c>
      <c r="T207" s="849" t="e">
        <f>'[1]IV. DONGIA CHỈNH LÝ'!N204</f>
        <v>#VALUE!</v>
      </c>
      <c r="U207" s="849" t="e">
        <f t="shared" si="32"/>
        <v>#VALUE!</v>
      </c>
      <c r="W207" s="854"/>
    </row>
    <row r="208" spans="1:23" s="830" customFormat="1" ht="18" customHeight="1">
      <c r="A208" s="331"/>
      <c r="B208" s="848"/>
      <c r="C208" s="855"/>
      <c r="D208" s="331"/>
      <c r="E208" s="843"/>
      <c r="F208" s="826"/>
      <c r="G208" s="826"/>
      <c r="H208" s="826"/>
      <c r="I208" s="826"/>
      <c r="J208" s="826"/>
      <c r="K208" s="826"/>
      <c r="L208" s="826"/>
      <c r="M208" s="826"/>
      <c r="N208" s="849"/>
      <c r="O208" s="849"/>
      <c r="P208" s="850"/>
      <c r="Q208" s="851"/>
      <c r="R208" s="852"/>
      <c r="S208" s="921"/>
      <c r="T208" s="849">
        <f>'[1]IV. DONGIA CHỈNH LÝ'!N205</f>
        <v>0</v>
      </c>
      <c r="U208" s="849">
        <f t="shared" ref="U208:U228" si="33">T208-N208</f>
        <v>0</v>
      </c>
      <c r="W208" s="854"/>
    </row>
    <row r="209" spans="1:23" s="830" customFormat="1" ht="18" customHeight="1">
      <c r="A209" s="331" t="s">
        <v>13</v>
      </c>
      <c r="B209" s="848" t="s">
        <v>364</v>
      </c>
      <c r="C209" s="586" t="s">
        <v>1</v>
      </c>
      <c r="D209" s="331" t="s">
        <v>8</v>
      </c>
      <c r="E209" s="843" t="e">
        <f>'NC-CLBD'!M69/100</f>
        <v>#VALUE!</v>
      </c>
      <c r="F209" s="826"/>
      <c r="G209" s="826">
        <f>$R$1*10*Q209</f>
        <v>0</v>
      </c>
      <c r="H209" s="826">
        <f>'DCu-CLBD'!N209</f>
        <v>155.14234839743591</v>
      </c>
      <c r="I209" s="826">
        <f>'VL-CLBD'!L112</f>
        <v>1036.8</v>
      </c>
      <c r="J209" s="826">
        <f>'TBI-CLBD'!I186</f>
        <v>41.58</v>
      </c>
      <c r="K209" s="826">
        <f>'NL-CLBD'!F107</f>
        <v>59.052</v>
      </c>
      <c r="L209" s="826" t="e">
        <f>SUM(E209:K209)</f>
        <v>#VALUE!</v>
      </c>
      <c r="M209" s="826" t="e">
        <f>L209*'He so chung'!$D$17/100</f>
        <v>#VALUE!</v>
      </c>
      <c r="N209" s="849" t="e">
        <f>M209+L209</f>
        <v>#VALUE!</v>
      </c>
      <c r="O209" s="849"/>
      <c r="P209" s="850">
        <f>'He so chung'!$D$21*S209</f>
        <v>52.258653846153848</v>
      </c>
      <c r="Q209" s="851">
        <f>'He so chung'!$D$22*S209</f>
        <v>45.442307692307693</v>
      </c>
      <c r="R209" s="852">
        <f>'He so chung'!$D$23*S209</f>
        <v>6.8163461538461538</v>
      </c>
      <c r="S209" s="921">
        <f>'NC-CLBD'!N69/100</f>
        <v>8.5000000000000006E-3</v>
      </c>
      <c r="T209" s="849" t="e">
        <f>'[1]IV. DONGIA CHỈNH LÝ'!N206</f>
        <v>#VALUE!</v>
      </c>
      <c r="U209" s="849" t="e">
        <f t="shared" si="33"/>
        <v>#VALUE!</v>
      </c>
      <c r="W209" s="854"/>
    </row>
    <row r="210" spans="1:23" s="830" customFormat="1" ht="18" customHeight="1">
      <c r="A210" s="857"/>
      <c r="B210" s="858"/>
      <c r="C210" s="855"/>
      <c r="D210" s="331"/>
      <c r="E210" s="843"/>
      <c r="F210" s="826"/>
      <c r="G210" s="826"/>
      <c r="H210" s="826"/>
      <c r="I210" s="826"/>
      <c r="J210" s="826"/>
      <c r="K210" s="826"/>
      <c r="L210" s="826"/>
      <c r="M210" s="826"/>
      <c r="N210" s="849"/>
      <c r="O210" s="849"/>
      <c r="P210" s="850"/>
      <c r="Q210" s="851"/>
      <c r="R210" s="852"/>
      <c r="S210" s="921"/>
      <c r="T210" s="849">
        <f>'[1]IV. DONGIA CHỈNH LÝ'!N207</f>
        <v>0</v>
      </c>
      <c r="U210" s="849">
        <f t="shared" si="33"/>
        <v>0</v>
      </c>
      <c r="W210" s="854"/>
    </row>
    <row r="211" spans="1:23" s="830" customFormat="1" ht="18" customHeight="1">
      <c r="A211" s="331" t="s">
        <v>14</v>
      </c>
      <c r="B211" s="848" t="s">
        <v>365</v>
      </c>
      <c r="C211" s="586" t="s">
        <v>1</v>
      </c>
      <c r="D211" s="331" t="s">
        <v>8</v>
      </c>
      <c r="E211" s="843" t="e">
        <f>'NC-CLBD'!M71/100</f>
        <v>#VALUE!</v>
      </c>
      <c r="F211" s="826"/>
      <c r="G211" s="826">
        <f>$R$1*10*Q211</f>
        <v>0</v>
      </c>
      <c r="H211" s="826">
        <f>'DCu-CLBD'!N209</f>
        <v>155.14234839743591</v>
      </c>
      <c r="I211" s="826">
        <f>'VL-CLBD'!L112</f>
        <v>1036.8</v>
      </c>
      <c r="J211" s="826"/>
      <c r="K211" s="826"/>
      <c r="L211" s="826" t="e">
        <f>SUM(E211:K211)</f>
        <v>#VALUE!</v>
      </c>
      <c r="M211" s="826" t="e">
        <f>L211*'He so chung'!$D$17/100</f>
        <v>#VALUE!</v>
      </c>
      <c r="N211" s="849" t="e">
        <f>M211+L211</f>
        <v>#VALUE!</v>
      </c>
      <c r="O211" s="849"/>
      <c r="P211" s="850">
        <f>'He so chung'!$D$21*S211</f>
        <v>104.5173076923077</v>
      </c>
      <c r="Q211" s="851">
        <f>'He so chung'!$D$22*S211</f>
        <v>90.884615384615387</v>
      </c>
      <c r="R211" s="852">
        <f>'He so chung'!$D$23*S211</f>
        <v>13.632692307692308</v>
      </c>
      <c r="S211" s="921">
        <f>'NC-CLBD'!N71/100</f>
        <v>1.7000000000000001E-2</v>
      </c>
      <c r="T211" s="849" t="e">
        <f>'[1]IV. DONGIA CHỈNH LÝ'!N208</f>
        <v>#VALUE!</v>
      </c>
      <c r="U211" s="849" t="e">
        <f t="shared" si="33"/>
        <v>#VALUE!</v>
      </c>
      <c r="W211" s="854"/>
    </row>
    <row r="212" spans="1:23" s="830" customFormat="1" ht="18" customHeight="1">
      <c r="A212" s="331"/>
      <c r="B212" s="848"/>
      <c r="C212" s="855"/>
      <c r="D212" s="331"/>
      <c r="E212" s="843"/>
      <c r="F212" s="826"/>
      <c r="G212" s="826"/>
      <c r="H212" s="826"/>
      <c r="I212" s="826"/>
      <c r="J212" s="826"/>
      <c r="K212" s="826"/>
      <c r="L212" s="826"/>
      <c r="M212" s="826"/>
      <c r="N212" s="849"/>
      <c r="O212" s="849"/>
      <c r="P212" s="850"/>
      <c r="Q212" s="851"/>
      <c r="R212" s="852"/>
      <c r="S212" s="921"/>
      <c r="T212" s="849">
        <f>'[1]IV. DONGIA CHỈNH LÝ'!N209</f>
        <v>0</v>
      </c>
      <c r="U212" s="849">
        <f t="shared" si="33"/>
        <v>0</v>
      </c>
      <c r="W212" s="854"/>
    </row>
    <row r="213" spans="1:23" s="830" customFormat="1" ht="18" customHeight="1">
      <c r="A213" s="331" t="s">
        <v>85</v>
      </c>
      <c r="B213" s="848" t="s">
        <v>366</v>
      </c>
      <c r="C213" s="586" t="s">
        <v>1</v>
      </c>
      <c r="D213" s="331" t="s">
        <v>8</v>
      </c>
      <c r="E213" s="843" t="e">
        <f>'NC-CLBD'!M73/100</f>
        <v>#VALUE!</v>
      </c>
      <c r="F213" s="826"/>
      <c r="G213" s="826">
        <f>$R$1*10*Q213</f>
        <v>0</v>
      </c>
      <c r="H213" s="826">
        <f>'DCu-CLBD'!N209</f>
        <v>155.14234839743591</v>
      </c>
      <c r="I213" s="826">
        <f>'VL-CLBD'!L112</f>
        <v>1036.8</v>
      </c>
      <c r="J213" s="826"/>
      <c r="K213" s="826"/>
      <c r="L213" s="826" t="e">
        <f>SUM(E213:K213)</f>
        <v>#VALUE!</v>
      </c>
      <c r="M213" s="826" t="e">
        <f>L213*'He so chung'!$D$17/100</f>
        <v>#VALUE!</v>
      </c>
      <c r="N213" s="849" t="e">
        <f>M213+L213</f>
        <v>#VALUE!</v>
      </c>
      <c r="O213" s="849"/>
      <c r="P213" s="850">
        <f>'He so chung'!$D$21*S213</f>
        <v>209.03461538461539</v>
      </c>
      <c r="Q213" s="851">
        <f>'He so chung'!$D$22*S213</f>
        <v>181.76923076923077</v>
      </c>
      <c r="R213" s="852">
        <f>'He so chung'!$D$23*S213</f>
        <v>27.265384615384615</v>
      </c>
      <c r="S213" s="921">
        <f>'NC-CLBD'!N73/100</f>
        <v>3.4000000000000002E-2</v>
      </c>
      <c r="T213" s="849" t="e">
        <f>'[1]IV. DONGIA CHỈNH LÝ'!N210</f>
        <v>#VALUE!</v>
      </c>
      <c r="U213" s="849" t="e">
        <f t="shared" si="33"/>
        <v>#VALUE!</v>
      </c>
      <c r="W213" s="854"/>
    </row>
    <row r="214" spans="1:23" s="830" customFormat="1" ht="18" hidden="1" customHeight="1">
      <c r="A214" s="857"/>
      <c r="B214" s="858"/>
      <c r="C214" s="855"/>
      <c r="D214" s="331"/>
      <c r="E214" s="843"/>
      <c r="F214" s="826"/>
      <c r="G214" s="826"/>
      <c r="H214" s="826"/>
      <c r="I214" s="826"/>
      <c r="J214" s="826"/>
      <c r="K214" s="826"/>
      <c r="L214" s="826"/>
      <c r="M214" s="826"/>
      <c r="N214" s="849"/>
      <c r="O214" s="849"/>
      <c r="P214" s="850"/>
      <c r="Q214" s="922"/>
      <c r="R214" s="923"/>
      <c r="S214" s="924"/>
      <c r="T214" s="849">
        <f>'[1]IV. DONGIA CHỈNH LÝ'!N211</f>
        <v>0</v>
      </c>
      <c r="U214" s="849">
        <f t="shared" si="33"/>
        <v>0</v>
      </c>
      <c r="W214" s="854"/>
    </row>
    <row r="215" spans="1:23" s="830" customFormat="1" ht="17.25" customHeight="1">
      <c r="A215" s="925"/>
      <c r="B215" s="926"/>
      <c r="C215" s="926"/>
      <c r="D215" s="331"/>
      <c r="E215" s="927"/>
      <c r="F215" s="848"/>
      <c r="G215" s="848"/>
      <c r="H215" s="848"/>
      <c r="I215" s="848"/>
      <c r="J215" s="848"/>
      <c r="K215" s="848"/>
      <c r="L215" s="848"/>
      <c r="M215" s="848"/>
      <c r="N215" s="848"/>
      <c r="O215" s="848"/>
      <c r="P215" s="850"/>
      <c r="Q215" s="928"/>
      <c r="R215" s="928"/>
      <c r="S215" s="929"/>
      <c r="T215" s="849">
        <f>'[1]IV. DONGIA CHỈNH LÝ'!N212</f>
        <v>0</v>
      </c>
      <c r="U215" s="849">
        <f t="shared" si="33"/>
        <v>0</v>
      </c>
      <c r="W215" s="854"/>
    </row>
    <row r="216" spans="1:23" s="830" customFormat="1" ht="18" customHeight="1">
      <c r="A216" s="842"/>
      <c r="B216" s="842" t="s">
        <v>389</v>
      </c>
      <c r="C216" s="842"/>
      <c r="D216" s="841"/>
      <c r="E216" s="862"/>
      <c r="F216" s="842"/>
      <c r="G216" s="842"/>
      <c r="H216" s="842"/>
      <c r="I216" s="842"/>
      <c r="J216" s="842"/>
      <c r="K216" s="842"/>
      <c r="L216" s="842"/>
      <c r="M216" s="842"/>
      <c r="N216" s="842"/>
      <c r="O216" s="842"/>
      <c r="P216" s="863"/>
      <c r="Q216" s="930"/>
      <c r="R216" s="931"/>
      <c r="S216" s="932"/>
      <c r="T216" s="849">
        <f>'[1]IV. DONGIA CHỈNH LÝ'!N213</f>
        <v>0</v>
      </c>
      <c r="U216" s="849">
        <f t="shared" si="33"/>
        <v>0</v>
      </c>
      <c r="W216" s="854"/>
    </row>
    <row r="217" spans="1:23" s="830" customFormat="1" ht="18" customHeight="1">
      <c r="A217" s="1006" t="s">
        <v>3</v>
      </c>
      <c r="B217" s="1009" t="s">
        <v>390</v>
      </c>
      <c r="C217" s="1007" t="s">
        <v>1</v>
      </c>
      <c r="D217" s="868" t="s">
        <v>9</v>
      </c>
      <c r="E217" s="869" t="e">
        <f t="shared" ref="E217:R217" si="34">E177+E209+E211+E213</f>
        <v>#VALUE!</v>
      </c>
      <c r="F217" s="849">
        <f t="shared" si="34"/>
        <v>0</v>
      </c>
      <c r="G217" s="849">
        <f t="shared" si="34"/>
        <v>0</v>
      </c>
      <c r="H217" s="849">
        <f t="shared" si="34"/>
        <v>1047.4023336538462</v>
      </c>
      <c r="I217" s="849">
        <f t="shared" si="34"/>
        <v>3861</v>
      </c>
      <c r="J217" s="849">
        <f t="shared" si="34"/>
        <v>41.58</v>
      </c>
      <c r="K217" s="849">
        <f t="shared" si="34"/>
        <v>59.052</v>
      </c>
      <c r="L217" s="849" t="e">
        <f t="shared" si="34"/>
        <v>#VALUE!</v>
      </c>
      <c r="M217" s="849" t="e">
        <f t="shared" si="34"/>
        <v>#VALUE!</v>
      </c>
      <c r="N217" s="849" t="e">
        <f t="shared" si="34"/>
        <v>#VALUE!</v>
      </c>
      <c r="O217" s="849"/>
      <c r="P217" s="849">
        <f t="shared" si="34"/>
        <v>1924.2144230769229</v>
      </c>
      <c r="Q217" s="870">
        <f t="shared" si="34"/>
        <v>1564.8192307692307</v>
      </c>
      <c r="R217" s="870">
        <f t="shared" si="34"/>
        <v>359.39519230769235</v>
      </c>
      <c r="S217" s="933"/>
      <c r="T217" s="849" t="e">
        <f>'[1]IV. DONGIA CHỈNH LÝ'!N214</f>
        <v>#VALUE!</v>
      </c>
      <c r="U217" s="849" t="e">
        <f t="shared" si="33"/>
        <v>#VALUE!</v>
      </c>
      <c r="W217" s="854"/>
    </row>
    <row r="218" spans="1:23" s="830" customFormat="1" ht="18" customHeight="1">
      <c r="A218" s="1006"/>
      <c r="B218" s="1009"/>
      <c r="C218" s="1007"/>
      <c r="D218" s="868" t="s">
        <v>10</v>
      </c>
      <c r="E218" s="869" t="e">
        <f t="shared" ref="E218:R218" si="35">E178+E209+E211+E213</f>
        <v>#VALUE!</v>
      </c>
      <c r="F218" s="849">
        <f t="shared" si="35"/>
        <v>0</v>
      </c>
      <c r="G218" s="849">
        <f t="shared" si="35"/>
        <v>0</v>
      </c>
      <c r="H218" s="849">
        <f t="shared" si="35"/>
        <v>1192.896155769231</v>
      </c>
      <c r="I218" s="849">
        <f t="shared" si="35"/>
        <v>3861</v>
      </c>
      <c r="J218" s="849">
        <f t="shared" si="35"/>
        <v>41.58</v>
      </c>
      <c r="K218" s="849">
        <f t="shared" si="35"/>
        <v>59.052</v>
      </c>
      <c r="L218" s="849" t="e">
        <f t="shared" si="35"/>
        <v>#VALUE!</v>
      </c>
      <c r="M218" s="849" t="e">
        <f t="shared" si="35"/>
        <v>#VALUE!</v>
      </c>
      <c r="N218" s="849" t="e">
        <f t="shared" si="35"/>
        <v>#VALUE!</v>
      </c>
      <c r="O218" s="849"/>
      <c r="P218" s="849">
        <f t="shared" si="35"/>
        <v>2236.9644230769236</v>
      </c>
      <c r="Q218" s="898">
        <f t="shared" si="35"/>
        <v>1815.0192307692307</v>
      </c>
      <c r="R218" s="898">
        <f t="shared" si="35"/>
        <v>421.94519230769237</v>
      </c>
      <c r="S218" s="934"/>
      <c r="T218" s="849" t="e">
        <f>'[1]IV. DONGIA CHỈNH LÝ'!N215</f>
        <v>#VALUE!</v>
      </c>
      <c r="U218" s="849" t="e">
        <f t="shared" si="33"/>
        <v>#VALUE!</v>
      </c>
      <c r="W218" s="854"/>
    </row>
    <row r="219" spans="1:23" s="830" customFormat="1" ht="18" customHeight="1">
      <c r="A219" s="1006"/>
      <c r="B219" s="1009"/>
      <c r="C219" s="1007"/>
      <c r="D219" s="868" t="s">
        <v>11</v>
      </c>
      <c r="E219" s="869" t="e">
        <f t="shared" ref="E219:R219" si="36">E179+E209+E211+E213</f>
        <v>#VALUE!</v>
      </c>
      <c r="F219" s="849">
        <f t="shared" si="36"/>
        <v>0</v>
      </c>
      <c r="G219" s="849">
        <f t="shared" si="36"/>
        <v>0</v>
      </c>
      <c r="H219" s="849">
        <f t="shared" si="36"/>
        <v>1435.385859294872</v>
      </c>
      <c r="I219" s="849">
        <f t="shared" si="36"/>
        <v>3861</v>
      </c>
      <c r="J219" s="849">
        <f t="shared" si="36"/>
        <v>41.58</v>
      </c>
      <c r="K219" s="849">
        <f t="shared" si="36"/>
        <v>59.052</v>
      </c>
      <c r="L219" s="849" t="e">
        <f t="shared" si="36"/>
        <v>#VALUE!</v>
      </c>
      <c r="M219" s="849" t="e">
        <f t="shared" si="36"/>
        <v>#VALUE!</v>
      </c>
      <c r="N219" s="849" t="e">
        <f t="shared" si="36"/>
        <v>#VALUE!</v>
      </c>
      <c r="O219" s="849"/>
      <c r="P219" s="849">
        <f t="shared" si="36"/>
        <v>2611.1951923076927</v>
      </c>
      <c r="Q219" s="898">
        <f t="shared" si="36"/>
        <v>2114.4038461538462</v>
      </c>
      <c r="R219" s="898">
        <f t="shared" si="36"/>
        <v>496.79134615384623</v>
      </c>
      <c r="S219" s="934"/>
      <c r="T219" s="849" t="e">
        <f>'[1]IV. DONGIA CHỈNH LÝ'!N216</f>
        <v>#VALUE!</v>
      </c>
      <c r="U219" s="849" t="e">
        <f t="shared" si="33"/>
        <v>#VALUE!</v>
      </c>
      <c r="W219" s="854"/>
    </row>
    <row r="220" spans="1:23" s="830" customFormat="1" ht="18" customHeight="1">
      <c r="A220" s="1006"/>
      <c r="B220" s="1009"/>
      <c r="C220" s="1007"/>
      <c r="D220" s="868" t="s">
        <v>12</v>
      </c>
      <c r="E220" s="869" t="e">
        <f t="shared" ref="E220:R220" si="37">E180+E209+E211+E213</f>
        <v>#VALUE!</v>
      </c>
      <c r="F220" s="849">
        <f t="shared" si="37"/>
        <v>0</v>
      </c>
      <c r="G220" s="849">
        <f t="shared" si="37"/>
        <v>0</v>
      </c>
      <c r="H220" s="849">
        <f t="shared" si="37"/>
        <v>1774.8714442307696</v>
      </c>
      <c r="I220" s="849">
        <f t="shared" si="37"/>
        <v>3861</v>
      </c>
      <c r="J220" s="849">
        <f t="shared" si="37"/>
        <v>41.58</v>
      </c>
      <c r="K220" s="849">
        <f t="shared" si="37"/>
        <v>59.052</v>
      </c>
      <c r="L220" s="849" t="e">
        <f t="shared" si="37"/>
        <v>#VALUE!</v>
      </c>
      <c r="M220" s="849" t="e">
        <f t="shared" si="37"/>
        <v>#VALUE!</v>
      </c>
      <c r="N220" s="849" t="e">
        <f t="shared" si="37"/>
        <v>#VALUE!</v>
      </c>
      <c r="O220" s="849"/>
      <c r="P220" s="849">
        <f t="shared" si="37"/>
        <v>3060.2721153846155</v>
      </c>
      <c r="Q220" s="935">
        <f t="shared" si="37"/>
        <v>2473.6653846153845</v>
      </c>
      <c r="R220" s="935">
        <f t="shared" si="37"/>
        <v>586.60673076923081</v>
      </c>
      <c r="S220" s="936"/>
      <c r="T220" s="849" t="e">
        <f>'[1]IV. DONGIA CHỈNH LÝ'!N217</f>
        <v>#VALUE!</v>
      </c>
      <c r="U220" s="849" t="e">
        <f t="shared" si="33"/>
        <v>#VALUE!</v>
      </c>
      <c r="W220" s="854"/>
    </row>
    <row r="221" spans="1:23" s="830" customFormat="1" ht="18" customHeight="1">
      <c r="A221" s="1006"/>
      <c r="B221" s="1009"/>
      <c r="C221" s="1007"/>
      <c r="D221" s="868" t="s">
        <v>13</v>
      </c>
      <c r="E221" s="869" t="e">
        <f t="shared" ref="E221:R221" si="38">E181+E209+E211+E213</f>
        <v>#VALUE!</v>
      </c>
      <c r="F221" s="849">
        <f t="shared" si="38"/>
        <v>0</v>
      </c>
      <c r="G221" s="849">
        <f t="shared" si="38"/>
        <v>0</v>
      </c>
      <c r="H221" s="849">
        <f t="shared" si="38"/>
        <v>2162.8549698717952</v>
      </c>
      <c r="I221" s="849">
        <f t="shared" si="38"/>
        <v>3861</v>
      </c>
      <c r="J221" s="849">
        <f t="shared" si="38"/>
        <v>41.58</v>
      </c>
      <c r="K221" s="849">
        <f t="shared" si="38"/>
        <v>59.052</v>
      </c>
      <c r="L221" s="849" t="e">
        <f t="shared" si="38"/>
        <v>#VALUE!</v>
      </c>
      <c r="M221" s="849" t="e">
        <f t="shared" si="38"/>
        <v>#VALUE!</v>
      </c>
      <c r="N221" s="849" t="e">
        <f t="shared" si="38"/>
        <v>#VALUE!</v>
      </c>
      <c r="O221" s="849"/>
      <c r="P221" s="849">
        <f t="shared" si="38"/>
        <v>3598.8971153846155</v>
      </c>
      <c r="Q221" s="898">
        <f t="shared" si="38"/>
        <v>2904.5653846153846</v>
      </c>
      <c r="R221" s="898">
        <f t="shared" si="38"/>
        <v>694.33173076923083</v>
      </c>
      <c r="S221" s="934"/>
      <c r="T221" s="849" t="e">
        <f>'[1]IV. DONGIA CHỈNH LÝ'!N218</f>
        <v>#VALUE!</v>
      </c>
      <c r="U221" s="849" t="e">
        <f t="shared" si="33"/>
        <v>#VALUE!</v>
      </c>
      <c r="W221" s="854"/>
    </row>
    <row r="222" spans="1:23" s="830" customFormat="1" ht="18" customHeight="1">
      <c r="A222" s="841"/>
      <c r="B222" s="871"/>
      <c r="C222" s="867"/>
      <c r="D222" s="868"/>
      <c r="E222" s="869"/>
      <c r="F222" s="849"/>
      <c r="G222" s="849"/>
      <c r="H222" s="849"/>
      <c r="I222" s="849"/>
      <c r="J222" s="849"/>
      <c r="K222" s="849"/>
      <c r="L222" s="849"/>
      <c r="M222" s="849"/>
      <c r="N222" s="849"/>
      <c r="O222" s="849">
        <v>0</v>
      </c>
      <c r="P222" s="849"/>
      <c r="Q222" s="937"/>
      <c r="R222" s="937"/>
      <c r="S222" s="938"/>
      <c r="T222" s="849">
        <f>'[1]IV. DONGIA CHỈNH LÝ'!N219</f>
        <v>0</v>
      </c>
      <c r="U222" s="849">
        <f t="shared" si="33"/>
        <v>0</v>
      </c>
      <c r="W222" s="854"/>
    </row>
    <row r="223" spans="1:23" s="830" customFormat="1" ht="18" customHeight="1">
      <c r="A223" s="1006" t="s">
        <v>4</v>
      </c>
      <c r="B223" s="1009" t="s">
        <v>516</v>
      </c>
      <c r="C223" s="1007" t="s">
        <v>278</v>
      </c>
      <c r="D223" s="868" t="s">
        <v>9</v>
      </c>
      <c r="E223" s="869" t="e">
        <f t="shared" ref="E223:R223" si="39">E183+E189+E198+E$204+E$207</f>
        <v>#VALUE!</v>
      </c>
      <c r="F223" s="849">
        <f t="shared" si="39"/>
        <v>7807.6</v>
      </c>
      <c r="G223" s="849">
        <f t="shared" si="39"/>
        <v>0</v>
      </c>
      <c r="H223" s="849">
        <f t="shared" si="39"/>
        <v>902.98109133974367</v>
      </c>
      <c r="I223" s="849">
        <f t="shared" si="39"/>
        <v>7322.3270999999995</v>
      </c>
      <c r="J223" s="849">
        <f t="shared" si="39"/>
        <v>3172.233200000001</v>
      </c>
      <c r="K223" s="849">
        <f t="shared" si="39"/>
        <v>477.85499999999996</v>
      </c>
      <c r="L223" s="849" t="e">
        <f t="shared" si="39"/>
        <v>#VALUE!</v>
      </c>
      <c r="M223" s="849" t="e">
        <f t="shared" si="39"/>
        <v>#VALUE!</v>
      </c>
      <c r="N223" s="849" t="e">
        <f t="shared" si="39"/>
        <v>#VALUE!</v>
      </c>
      <c r="O223" s="849">
        <v>1192</v>
      </c>
      <c r="P223" s="849">
        <f t="shared" si="39"/>
        <v>3380.4265384615383</v>
      </c>
      <c r="Q223" s="898">
        <f t="shared" si="39"/>
        <v>2734.0230769230766</v>
      </c>
      <c r="R223" s="898">
        <f t="shared" si="39"/>
        <v>646.40346153846167</v>
      </c>
      <c r="S223" s="898"/>
      <c r="T223" s="849" t="e">
        <f>'[1]IV. DONGIA CHỈNH LÝ'!N220</f>
        <v>#VALUE!</v>
      </c>
      <c r="U223" s="849" t="e">
        <f t="shared" si="33"/>
        <v>#VALUE!</v>
      </c>
      <c r="W223" s="854"/>
    </row>
    <row r="224" spans="1:23" s="830" customFormat="1" ht="18" customHeight="1">
      <c r="A224" s="1006"/>
      <c r="B224" s="1009"/>
      <c r="C224" s="1007"/>
      <c r="D224" s="868" t="s">
        <v>10</v>
      </c>
      <c r="E224" s="869" t="e">
        <f t="shared" ref="E224:R224" si="40">E184+E190+E199+E$204+E$207</f>
        <v>#VALUE!</v>
      </c>
      <c r="F224" s="849">
        <f t="shared" si="40"/>
        <v>9379.6</v>
      </c>
      <c r="G224" s="849">
        <f t="shared" si="40"/>
        <v>0</v>
      </c>
      <c r="H224" s="849">
        <f t="shared" si="40"/>
        <v>1082.5769975080127</v>
      </c>
      <c r="I224" s="849">
        <f t="shared" si="40"/>
        <v>7322.3270999999995</v>
      </c>
      <c r="J224" s="849">
        <f t="shared" si="40"/>
        <v>4153.1548000000003</v>
      </c>
      <c r="K224" s="849">
        <f t="shared" si="40"/>
        <v>499.4556</v>
      </c>
      <c r="L224" s="849" t="e">
        <f t="shared" si="40"/>
        <v>#VALUE!</v>
      </c>
      <c r="M224" s="849" t="e">
        <f t="shared" si="40"/>
        <v>#VALUE!</v>
      </c>
      <c r="N224" s="849" t="e">
        <f t="shared" si="40"/>
        <v>#VALUE!</v>
      </c>
      <c r="O224" s="849">
        <v>1432.0000000000291</v>
      </c>
      <c r="P224" s="849">
        <f t="shared" si="40"/>
        <v>4015.603076923077</v>
      </c>
      <c r="Q224" s="898">
        <f t="shared" si="40"/>
        <v>3244.0461538461536</v>
      </c>
      <c r="R224" s="898">
        <f t="shared" si="40"/>
        <v>771.55692307692311</v>
      </c>
      <c r="S224" s="898"/>
      <c r="T224" s="849" t="e">
        <f>'[1]IV. DONGIA CHỈNH LÝ'!N221</f>
        <v>#VALUE!</v>
      </c>
      <c r="U224" s="849" t="e">
        <f t="shared" si="33"/>
        <v>#VALUE!</v>
      </c>
      <c r="W224" s="854"/>
    </row>
    <row r="225" spans="1:23" s="830" customFormat="1" ht="18" customHeight="1">
      <c r="A225" s="1006"/>
      <c r="B225" s="1009"/>
      <c r="C225" s="1007"/>
      <c r="D225" s="868" t="s">
        <v>11</v>
      </c>
      <c r="E225" s="869" t="e">
        <f t="shared" ref="E225:R225" si="41">E185+E191+E200+E$204+E$207</f>
        <v>#VALUE!</v>
      </c>
      <c r="F225" s="849">
        <f t="shared" si="41"/>
        <v>11252.9</v>
      </c>
      <c r="G225" s="849">
        <f t="shared" si="41"/>
        <v>0</v>
      </c>
      <c r="H225" s="849">
        <f t="shared" si="41"/>
        <v>1381.9035077884614</v>
      </c>
      <c r="I225" s="849">
        <f t="shared" si="41"/>
        <v>7322.3270999999995</v>
      </c>
      <c r="J225" s="849">
        <f t="shared" si="41"/>
        <v>5128.2864</v>
      </c>
      <c r="K225" s="849">
        <f t="shared" si="41"/>
        <v>521.52240000000006</v>
      </c>
      <c r="L225" s="849" t="e">
        <f t="shared" si="41"/>
        <v>#VALUE!</v>
      </c>
      <c r="M225" s="849" t="e">
        <f t="shared" si="41"/>
        <v>#VALUE!</v>
      </c>
      <c r="N225" s="849" t="e">
        <f t="shared" si="41"/>
        <v>#VALUE!</v>
      </c>
      <c r="O225" s="849">
        <v>1718.0000000000291</v>
      </c>
      <c r="P225" s="849">
        <f t="shared" si="41"/>
        <v>4757.7026923076928</v>
      </c>
      <c r="Q225" s="898">
        <f t="shared" si="41"/>
        <v>3839.6076923076921</v>
      </c>
      <c r="R225" s="898">
        <f t="shared" si="41"/>
        <v>918.09500000000003</v>
      </c>
      <c r="S225" s="898"/>
      <c r="T225" s="849" t="e">
        <f>'[1]IV. DONGIA CHỈNH LÝ'!N222</f>
        <v>#VALUE!</v>
      </c>
      <c r="U225" s="849" t="e">
        <f t="shared" si="33"/>
        <v>#VALUE!</v>
      </c>
      <c r="W225" s="854"/>
    </row>
    <row r="226" spans="1:23" s="830" customFormat="1" ht="18" customHeight="1">
      <c r="A226" s="1006"/>
      <c r="B226" s="1009"/>
      <c r="C226" s="1007"/>
      <c r="D226" s="868" t="s">
        <v>12</v>
      </c>
      <c r="E226" s="869" t="e">
        <f t="shared" ref="E226:R226" si="42">E186+E192+E201+E$204+E$207</f>
        <v>#VALUE!</v>
      </c>
      <c r="F226" s="849">
        <f t="shared" si="42"/>
        <v>13506.1</v>
      </c>
      <c r="G226" s="849">
        <f t="shared" si="42"/>
        <v>0</v>
      </c>
      <c r="H226" s="849">
        <f t="shared" si="42"/>
        <v>1800.9606221810895</v>
      </c>
      <c r="I226" s="849">
        <f t="shared" si="42"/>
        <v>7322.3270999999995</v>
      </c>
      <c r="J226" s="849">
        <f t="shared" si="42"/>
        <v>6357.6979999999994</v>
      </c>
      <c r="K226" s="849">
        <f t="shared" si="42"/>
        <v>548.25119999999993</v>
      </c>
      <c r="L226" s="849" t="e">
        <f t="shared" si="42"/>
        <v>#VALUE!</v>
      </c>
      <c r="M226" s="849" t="e">
        <f t="shared" si="42"/>
        <v>#VALUE!</v>
      </c>
      <c r="N226" s="849" t="e">
        <f t="shared" si="42"/>
        <v>#VALUE!</v>
      </c>
      <c r="O226" s="849">
        <v>2062</v>
      </c>
      <c r="P226" s="849">
        <f t="shared" si="42"/>
        <v>5657.5405769230765</v>
      </c>
      <c r="Q226" s="898">
        <f t="shared" si="42"/>
        <v>4561.873076923077</v>
      </c>
      <c r="R226" s="898">
        <f t="shared" si="42"/>
        <v>1095.6675</v>
      </c>
      <c r="S226" s="898"/>
      <c r="T226" s="849" t="e">
        <f>'[1]IV. DONGIA CHỈNH LÝ'!N223</f>
        <v>#VALUE!</v>
      </c>
      <c r="U226" s="849" t="e">
        <f t="shared" si="33"/>
        <v>#VALUE!</v>
      </c>
      <c r="W226" s="854"/>
    </row>
    <row r="227" spans="1:23" s="830" customFormat="1" ht="18" customHeight="1">
      <c r="A227" s="1006"/>
      <c r="B227" s="1009"/>
      <c r="C227" s="1007"/>
      <c r="D227" s="868" t="s">
        <v>13</v>
      </c>
      <c r="E227" s="869" t="e">
        <f t="shared" ref="E227:R227" si="43">E187+E193+E202+E$204+E$207</f>
        <v>#VALUE!</v>
      </c>
      <c r="F227" s="849">
        <f t="shared" si="43"/>
        <v>16204.7</v>
      </c>
      <c r="G227" s="849">
        <f t="shared" si="43"/>
        <v>0</v>
      </c>
      <c r="H227" s="849">
        <f t="shared" si="43"/>
        <v>2279.8830386298073</v>
      </c>
      <c r="I227" s="849">
        <f t="shared" si="43"/>
        <v>7322.3270999999995</v>
      </c>
      <c r="J227" s="849">
        <f t="shared" si="43"/>
        <v>8008.1596</v>
      </c>
      <c r="K227" s="849">
        <f t="shared" si="43"/>
        <v>533.79899999999998</v>
      </c>
      <c r="L227" s="849" t="e">
        <f t="shared" si="43"/>
        <v>#VALUE!</v>
      </c>
      <c r="M227" s="849" t="e">
        <f t="shared" si="43"/>
        <v>#VALUE!</v>
      </c>
      <c r="N227" s="849" t="e">
        <f t="shared" si="43"/>
        <v>#VALUE!</v>
      </c>
      <c r="O227" s="849">
        <v>2473.9999999998836</v>
      </c>
      <c r="P227" s="849">
        <f t="shared" si="43"/>
        <v>6797.7415384615397</v>
      </c>
      <c r="Q227" s="874">
        <f t="shared" si="43"/>
        <v>5478.7384615384617</v>
      </c>
      <c r="R227" s="874">
        <f t="shared" si="43"/>
        <v>1319.0030769230773</v>
      </c>
      <c r="S227" s="874"/>
      <c r="T227" s="849" t="e">
        <f>'[1]IV. DONGIA CHỈNH LÝ'!N224</f>
        <v>#VALUE!</v>
      </c>
      <c r="U227" s="849" t="e">
        <f t="shared" si="33"/>
        <v>#VALUE!</v>
      </c>
      <c r="W227" s="854"/>
    </row>
    <row r="228" spans="1:23" s="830" customFormat="1" ht="17.25" customHeight="1">
      <c r="A228" s="876"/>
      <c r="B228" s="876"/>
      <c r="C228" s="876"/>
      <c r="D228" s="875"/>
      <c r="E228" s="877"/>
      <c r="F228" s="878"/>
      <c r="G228" s="878"/>
      <c r="H228" s="878"/>
      <c r="I228" s="878"/>
      <c r="J228" s="878"/>
      <c r="K228" s="878"/>
      <c r="L228" s="878"/>
      <c r="M228" s="878"/>
      <c r="N228" s="878"/>
      <c r="O228" s="878"/>
      <c r="P228" s="879"/>
      <c r="Q228" s="879"/>
      <c r="R228" s="879"/>
      <c r="S228" s="880"/>
      <c r="T228" s="849">
        <f>'[1]IV. DONGIA CHỈNH LÝ'!N225</f>
        <v>0</v>
      </c>
      <c r="U228" s="849">
        <f t="shared" si="33"/>
        <v>0</v>
      </c>
      <c r="W228" s="854"/>
    </row>
    <row r="229" spans="1:23" s="830" customFormat="1" ht="21.75" customHeight="1">
      <c r="A229" s="999" t="s">
        <v>521</v>
      </c>
      <c r="B229" s="999"/>
      <c r="C229" s="999"/>
      <c r="D229" s="999"/>
      <c r="E229" s="999"/>
      <c r="F229" s="999"/>
      <c r="G229" s="999"/>
      <c r="H229" s="999"/>
      <c r="I229" s="999"/>
      <c r="J229" s="999"/>
      <c r="K229" s="999"/>
      <c r="L229" s="999"/>
      <c r="M229" s="999"/>
      <c r="N229" s="999"/>
      <c r="O229" s="999"/>
      <c r="P229" s="999"/>
      <c r="Q229" s="907"/>
      <c r="R229" s="905"/>
      <c r="S229" s="906"/>
      <c r="T229" s="849">
        <f>'[1]IV. DONGIA CHỈNH LÝ'!N226</f>
        <v>0</v>
      </c>
      <c r="U229" s="849"/>
      <c r="W229" s="854"/>
    </row>
    <row r="230" spans="1:23" s="830" customFormat="1" ht="12.75">
      <c r="A230" s="1001" t="s">
        <v>574</v>
      </c>
      <c r="B230" s="1001"/>
      <c r="C230" s="1001"/>
      <c r="D230" s="1001"/>
      <c r="E230" s="1001"/>
      <c r="F230" s="1001"/>
      <c r="G230" s="1001"/>
      <c r="H230" s="1001"/>
      <c r="I230" s="1001"/>
      <c r="J230" s="1001"/>
      <c r="K230" s="1001"/>
      <c r="L230" s="1001"/>
      <c r="M230" s="1001"/>
      <c r="N230" s="1001"/>
      <c r="O230" s="1001"/>
      <c r="P230" s="1001"/>
      <c r="Q230" s="907"/>
      <c r="R230" s="905"/>
      <c r="S230" s="906"/>
      <c r="T230" s="849"/>
      <c r="U230" s="849"/>
      <c r="W230" s="854"/>
    </row>
    <row r="231" spans="1:23" s="830" customFormat="1" ht="16.5" customHeight="1">
      <c r="A231" s="718"/>
      <c r="B231" s="882"/>
      <c r="C231" s="883"/>
      <c r="D231" s="884"/>
      <c r="E231" s="885"/>
      <c r="F231" s="886"/>
      <c r="G231" s="886"/>
      <c r="H231" s="886"/>
      <c r="I231" s="886"/>
      <c r="J231" s="886"/>
      <c r="K231" s="886"/>
      <c r="L231" s="886"/>
      <c r="M231" s="887"/>
      <c r="N231" s="1008" t="s">
        <v>428</v>
      </c>
      <c r="O231" s="1008"/>
      <c r="P231" s="1008"/>
      <c r="Q231" s="879"/>
      <c r="R231" s="915"/>
      <c r="S231" s="916"/>
      <c r="T231" s="849" t="str">
        <f>'[1]IV. DONGIA CHỈNH LÝ'!N227</f>
        <v>Đơn vị tính: đồng</v>
      </c>
      <c r="U231" s="849"/>
      <c r="W231" s="854"/>
    </row>
    <row r="232" spans="1:23" s="830" customFormat="1" ht="30" customHeight="1">
      <c r="A232" s="1004" t="s">
        <v>376</v>
      </c>
      <c r="B232" s="1013" t="s">
        <v>377</v>
      </c>
      <c r="C232" s="1002" t="s">
        <v>378</v>
      </c>
      <c r="D232" s="1004" t="s">
        <v>91</v>
      </c>
      <c r="E232" s="1010" t="s">
        <v>368</v>
      </c>
      <c r="F232" s="1011"/>
      <c r="G232" s="1011"/>
      <c r="H232" s="1011"/>
      <c r="I232" s="1011"/>
      <c r="J232" s="1011"/>
      <c r="K232" s="1011"/>
      <c r="L232" s="1012"/>
      <c r="M232" s="1002" t="s">
        <v>427</v>
      </c>
      <c r="N232" s="1002" t="s">
        <v>379</v>
      </c>
      <c r="O232" s="1002" t="s">
        <v>562</v>
      </c>
      <c r="P232" s="827" t="s">
        <v>18</v>
      </c>
      <c r="Q232" s="828" t="s">
        <v>19</v>
      </c>
      <c r="R232" s="828" t="s">
        <v>19</v>
      </c>
      <c r="S232" s="829" t="s">
        <v>16</v>
      </c>
      <c r="T232" s="849"/>
      <c r="U232" s="849"/>
      <c r="W232" s="854"/>
    </row>
    <row r="233" spans="1:23" s="830" customFormat="1" ht="26.25" customHeight="1">
      <c r="A233" s="1005"/>
      <c r="B233" s="1014"/>
      <c r="C233" s="1003"/>
      <c r="D233" s="1005"/>
      <c r="E233" s="832" t="s">
        <v>369</v>
      </c>
      <c r="F233" s="831" t="s">
        <v>370</v>
      </c>
      <c r="G233" s="833">
        <v>0</v>
      </c>
      <c r="H233" s="831" t="s">
        <v>257</v>
      </c>
      <c r="I233" s="831" t="s">
        <v>280</v>
      </c>
      <c r="J233" s="831" t="s">
        <v>261</v>
      </c>
      <c r="K233" s="831" t="s">
        <v>371</v>
      </c>
      <c r="L233" s="831" t="s">
        <v>372</v>
      </c>
      <c r="M233" s="1003"/>
      <c r="N233" s="1003"/>
      <c r="O233" s="1003"/>
      <c r="P233" s="939" t="s">
        <v>20</v>
      </c>
      <c r="Q233" s="834" t="s">
        <v>21</v>
      </c>
      <c r="R233" s="834" t="s">
        <v>22</v>
      </c>
      <c r="S233" s="835" t="s">
        <v>17</v>
      </c>
      <c r="T233" s="849">
        <f>'[1]IV. DONGIA CHỈNH LÝ'!N229</f>
        <v>0</v>
      </c>
      <c r="U233" s="849"/>
      <c r="W233" s="854"/>
    </row>
    <row r="234" spans="1:23" s="830" customFormat="1" ht="15" customHeight="1">
      <c r="A234" s="331" t="s">
        <v>52</v>
      </c>
      <c r="B234" s="586" t="s">
        <v>53</v>
      </c>
      <c r="C234" s="586" t="s">
        <v>54</v>
      </c>
      <c r="D234" s="331" t="s">
        <v>55</v>
      </c>
      <c r="E234" s="332" t="s">
        <v>56</v>
      </c>
      <c r="F234" s="332" t="s">
        <v>57</v>
      </c>
      <c r="G234" s="332"/>
      <c r="H234" s="332" t="s">
        <v>58</v>
      </c>
      <c r="I234" s="332" t="s">
        <v>59</v>
      </c>
      <c r="J234" s="332" t="s">
        <v>60</v>
      </c>
      <c r="K234" s="332" t="s">
        <v>61</v>
      </c>
      <c r="L234" s="334" t="s">
        <v>373</v>
      </c>
      <c r="M234" s="334" t="s">
        <v>374</v>
      </c>
      <c r="N234" s="334" t="s">
        <v>375</v>
      </c>
      <c r="O234" s="334">
        <v>-10</v>
      </c>
      <c r="P234" s="332" t="s">
        <v>561</v>
      </c>
      <c r="Q234" s="890"/>
      <c r="R234" s="890"/>
      <c r="S234" s="891"/>
      <c r="T234" s="849" t="str">
        <f>'[1]IV. DONGIA CHỈNH LÝ'!N230</f>
        <v xml:space="preserve"> (9)=(7)+(8) </v>
      </c>
      <c r="U234" s="849"/>
      <c r="W234" s="854"/>
    </row>
    <row r="235" spans="1:23" s="830" customFormat="1" ht="19.5" customHeight="1">
      <c r="A235" s="841" t="s">
        <v>3</v>
      </c>
      <c r="B235" s="842" t="s">
        <v>380</v>
      </c>
      <c r="C235" s="586"/>
      <c r="D235" s="331"/>
      <c r="E235" s="843"/>
      <c r="F235" s="334"/>
      <c r="G235" s="334"/>
      <c r="H235" s="334"/>
      <c r="I235" s="334"/>
      <c r="J235" s="334"/>
      <c r="K235" s="334"/>
      <c r="L235" s="334"/>
      <c r="M235" s="334"/>
      <c r="N235" s="334"/>
      <c r="O235" s="334"/>
      <c r="P235" s="844"/>
      <c r="Q235" s="845"/>
      <c r="R235" s="846"/>
      <c r="S235" s="847"/>
      <c r="T235" s="849">
        <f>'[1]IV. DONGIA CHỈNH LÝ'!N231</f>
        <v>0</v>
      </c>
      <c r="U235" s="849">
        <f t="shared" ref="U235:U282" si="44">T235-N235</f>
        <v>0</v>
      </c>
      <c r="W235" s="854"/>
    </row>
    <row r="236" spans="1:23" s="830" customFormat="1" ht="19.5" customHeight="1">
      <c r="A236" s="331" t="s">
        <v>9</v>
      </c>
      <c r="B236" s="848" t="s">
        <v>73</v>
      </c>
      <c r="C236" s="586" t="s">
        <v>1</v>
      </c>
      <c r="D236" s="331" t="s">
        <v>9</v>
      </c>
      <c r="E236" s="843" t="e">
        <f>'NC-CLBD'!O5/900</f>
        <v>#VALUE!</v>
      </c>
      <c r="F236" s="826"/>
      <c r="G236" s="826">
        <f t="shared" ref="G236:G251" si="45">$R$1*10*Q236</f>
        <v>0</v>
      </c>
      <c r="H236" s="826">
        <f>'DCu-CLBD'!P23</f>
        <v>129.32784188034191</v>
      </c>
      <c r="I236" s="826">
        <f>'VL-CLBD'!N16</f>
        <v>83.4</v>
      </c>
      <c r="J236" s="826"/>
      <c r="K236" s="826"/>
      <c r="L236" s="826" t="e">
        <f>SUM(E236:K236)</f>
        <v>#VALUE!</v>
      </c>
      <c r="M236" s="826" t="e">
        <f>L236*'He so chung'!$D$16/100</f>
        <v>#VALUE!</v>
      </c>
      <c r="N236" s="849" t="e">
        <f>M236+L236</f>
        <v>#VALUE!</v>
      </c>
      <c r="O236" s="849"/>
      <c r="P236" s="850">
        <f>'He so chung'!$D$18*S236</f>
        <v>346.46047008547009</v>
      </c>
      <c r="Q236" s="851">
        <f>'He so chung'!$D$19*S236</f>
        <v>277.16837606837606</v>
      </c>
      <c r="R236" s="852">
        <f>'He so chung'!$D$20*S236</f>
        <v>69.292094017094016</v>
      </c>
      <c r="S236" s="853">
        <f>'NC-CLBD'!N5/900</f>
        <v>5.1844444444444443E-2</v>
      </c>
      <c r="T236" s="849" t="e">
        <f>'[1]IV. DONGIA CHỈNH LÝ'!N232</f>
        <v>#VALUE!</v>
      </c>
      <c r="U236" s="849" t="e">
        <f t="shared" si="44"/>
        <v>#VALUE!</v>
      </c>
      <c r="W236" s="854"/>
    </row>
    <row r="237" spans="1:23" s="830" customFormat="1" ht="19.5" customHeight="1">
      <c r="A237" s="848"/>
      <c r="B237" s="848"/>
      <c r="C237" s="586"/>
      <c r="D237" s="331" t="s">
        <v>10</v>
      </c>
      <c r="E237" s="843" t="e">
        <f>'NC-CLBD'!O7/900</f>
        <v>#VALUE!</v>
      </c>
      <c r="F237" s="826"/>
      <c r="G237" s="826">
        <f t="shared" si="45"/>
        <v>0</v>
      </c>
      <c r="H237" s="826">
        <f>'DCu-CLBD'!P24</f>
        <v>161.65980235042741</v>
      </c>
      <c r="I237" s="826">
        <f>I236</f>
        <v>83.4</v>
      </c>
      <c r="J237" s="826"/>
      <c r="K237" s="826"/>
      <c r="L237" s="826" t="e">
        <f>SUM(E237:K237)</f>
        <v>#VALUE!</v>
      </c>
      <c r="M237" s="826" t="e">
        <f>L237*'He so chung'!$D$16/100</f>
        <v>#VALUE!</v>
      </c>
      <c r="N237" s="849" t="e">
        <f>M237+L237</f>
        <v>#VALUE!</v>
      </c>
      <c r="O237" s="849"/>
      <c r="P237" s="850">
        <f>'He so chung'!$D$18*S237</f>
        <v>415.81196581196582</v>
      </c>
      <c r="Q237" s="851">
        <f>'He so chung'!$D$19*S237</f>
        <v>332.64957264957263</v>
      </c>
      <c r="R237" s="852">
        <f>'He so chung'!$D$20*S237</f>
        <v>83.162393162393172</v>
      </c>
      <c r="S237" s="853">
        <f>'NC-CLBD'!N7/900</f>
        <v>6.222222222222222E-2</v>
      </c>
      <c r="T237" s="849" t="e">
        <f>'[1]IV. DONGIA CHỈNH LÝ'!N233</f>
        <v>#VALUE!</v>
      </c>
      <c r="U237" s="849" t="e">
        <f t="shared" si="44"/>
        <v>#VALUE!</v>
      </c>
      <c r="W237" s="854"/>
    </row>
    <row r="238" spans="1:23" s="830" customFormat="1" ht="19.5" customHeight="1">
      <c r="A238" s="331"/>
      <c r="B238" s="848"/>
      <c r="C238" s="586"/>
      <c r="D238" s="331" t="s">
        <v>11</v>
      </c>
      <c r="E238" s="843" t="e">
        <f>'NC-CLBD'!O9/900</f>
        <v>#VALUE!</v>
      </c>
      <c r="F238" s="826"/>
      <c r="G238" s="826">
        <f t="shared" si="45"/>
        <v>0</v>
      </c>
      <c r="H238" s="826">
        <f>'DCu-CLBD'!P25</f>
        <v>215.5464031339032</v>
      </c>
      <c r="I238" s="826">
        <f>I237</f>
        <v>83.4</v>
      </c>
      <c r="J238" s="826"/>
      <c r="K238" s="826"/>
      <c r="L238" s="826" t="e">
        <f>SUM(E238:K238)</f>
        <v>#VALUE!</v>
      </c>
      <c r="M238" s="826" t="e">
        <f>L238*'He so chung'!$D$16/100</f>
        <v>#VALUE!</v>
      </c>
      <c r="N238" s="849" t="e">
        <f>M238+L238</f>
        <v>#VALUE!</v>
      </c>
      <c r="O238" s="849"/>
      <c r="P238" s="850">
        <f>'He so chung'!$D$18*S238</f>
        <v>498.97435897435901</v>
      </c>
      <c r="Q238" s="851">
        <f>'He so chung'!$D$19*S238</f>
        <v>399.17948717948718</v>
      </c>
      <c r="R238" s="852">
        <f>'He so chung'!$D$20*S238</f>
        <v>99.79487179487181</v>
      </c>
      <c r="S238" s="853">
        <f>'NC-CLBD'!N9/900</f>
        <v>7.4666666666666673E-2</v>
      </c>
      <c r="T238" s="849" t="e">
        <f>'[1]IV. DONGIA CHỈNH LÝ'!N234</f>
        <v>#VALUE!</v>
      </c>
      <c r="U238" s="849" t="e">
        <f t="shared" si="44"/>
        <v>#VALUE!</v>
      </c>
      <c r="W238" s="854"/>
    </row>
    <row r="239" spans="1:23" s="830" customFormat="1" ht="19.5" customHeight="1">
      <c r="A239" s="331"/>
      <c r="B239" s="848"/>
      <c r="C239" s="586"/>
      <c r="D239" s="331" t="s">
        <v>12</v>
      </c>
      <c r="E239" s="843" t="e">
        <f>'NC-CLBD'!O11/900</f>
        <v>#VALUE!</v>
      </c>
      <c r="F239" s="826"/>
      <c r="G239" s="826">
        <f t="shared" si="45"/>
        <v>0</v>
      </c>
      <c r="H239" s="826">
        <f>'DCu-CLBD'!P26</f>
        <v>237.10104344729353</v>
      </c>
      <c r="I239" s="826">
        <f>I238</f>
        <v>83.4</v>
      </c>
      <c r="J239" s="826"/>
      <c r="K239" s="826"/>
      <c r="L239" s="826" t="e">
        <f>SUM(E239:K239)</f>
        <v>#VALUE!</v>
      </c>
      <c r="M239" s="826" t="e">
        <f>L239*'He so chung'!$D$16/100</f>
        <v>#VALUE!</v>
      </c>
      <c r="N239" s="849" t="e">
        <f>M239+L239</f>
        <v>#VALUE!</v>
      </c>
      <c r="O239" s="849"/>
      <c r="P239" s="850">
        <f>'He so chung'!$D$18*S239</f>
        <v>598.76923076923072</v>
      </c>
      <c r="Q239" s="851">
        <f>'He so chung'!$D$19*S239</f>
        <v>479.01538461538456</v>
      </c>
      <c r="R239" s="852">
        <f>'He so chung'!$D$20*S239</f>
        <v>119.75384615384617</v>
      </c>
      <c r="S239" s="853">
        <f>'NC-CLBD'!N11/900</f>
        <v>8.9599999999999999E-2</v>
      </c>
      <c r="T239" s="849" t="e">
        <f>'[1]IV. DONGIA CHỈNH LÝ'!N235</f>
        <v>#VALUE!</v>
      </c>
      <c r="U239" s="849" t="e">
        <f t="shared" si="44"/>
        <v>#VALUE!</v>
      </c>
      <c r="W239" s="854"/>
    </row>
    <row r="240" spans="1:23" s="830" customFormat="1" ht="19.5" customHeight="1">
      <c r="A240" s="331"/>
      <c r="B240" s="848"/>
      <c r="C240" s="848"/>
      <c r="D240" s="331"/>
      <c r="E240" s="843"/>
      <c r="F240" s="826"/>
      <c r="G240" s="826">
        <f t="shared" si="45"/>
        <v>0</v>
      </c>
      <c r="H240" s="826"/>
      <c r="I240" s="826"/>
      <c r="J240" s="826"/>
      <c r="K240" s="826"/>
      <c r="L240" s="826"/>
      <c r="M240" s="826"/>
      <c r="N240" s="849"/>
      <c r="O240" s="849"/>
      <c r="P240" s="850"/>
      <c r="Q240" s="851"/>
      <c r="R240" s="852"/>
      <c r="S240" s="853"/>
      <c r="T240" s="849">
        <f>'[1]IV. DONGIA CHỈNH LÝ'!N236</f>
        <v>0</v>
      </c>
      <c r="U240" s="849">
        <f t="shared" si="44"/>
        <v>0</v>
      </c>
      <c r="W240" s="854"/>
    </row>
    <row r="241" spans="1:23" s="830" customFormat="1" ht="19.5" customHeight="1">
      <c r="A241" s="331" t="s">
        <v>10</v>
      </c>
      <c r="B241" s="848" t="s">
        <v>381</v>
      </c>
      <c r="C241" s="586" t="s">
        <v>278</v>
      </c>
      <c r="D241" s="331" t="s">
        <v>9</v>
      </c>
      <c r="E241" s="843" t="e">
        <f>'NC-CLBD'!O17/100</f>
        <v>#VALUE!</v>
      </c>
      <c r="F241" s="826"/>
      <c r="G241" s="826">
        <f t="shared" si="45"/>
        <v>0</v>
      </c>
      <c r="H241" s="826">
        <f>'DCu-CLBD'!P67</f>
        <v>64.456622596153849</v>
      </c>
      <c r="I241" s="826">
        <f>'VL-CLBD'!N45</f>
        <v>28.034100000000002</v>
      </c>
      <c r="J241" s="826">
        <f>'TBI-CLBD'!I37</f>
        <v>329.72</v>
      </c>
      <c r="K241" s="826">
        <f>'NL-CLBD'!F21</f>
        <v>1.8647999999999998</v>
      </c>
      <c r="L241" s="826" t="e">
        <f>SUM(E241:K241)</f>
        <v>#VALUE!</v>
      </c>
      <c r="M241" s="826" t="e">
        <f>L241*'He so chung'!$D$16/100</f>
        <v>#VALUE!</v>
      </c>
      <c r="N241" s="849" t="e">
        <f>M241+L241</f>
        <v>#VALUE!</v>
      </c>
      <c r="O241" s="849"/>
      <c r="P241" s="850">
        <f>'He so chung'!$D$18*S241</f>
        <v>270.64903846153851</v>
      </c>
      <c r="Q241" s="851">
        <f>'He so chung'!$D$19*S241</f>
        <v>216.5192307692308</v>
      </c>
      <c r="R241" s="852">
        <f>'He so chung'!$D$20*S241</f>
        <v>54.129807692307708</v>
      </c>
      <c r="S241" s="853">
        <f>'NC-CLBD'!N17/100</f>
        <v>4.0500000000000008E-2</v>
      </c>
      <c r="T241" s="849" t="e">
        <f>'[1]IV. DONGIA CHỈNH LÝ'!N237</f>
        <v>#VALUE!</v>
      </c>
      <c r="U241" s="849" t="e">
        <f t="shared" si="44"/>
        <v>#VALUE!</v>
      </c>
      <c r="W241" s="854"/>
    </row>
    <row r="242" spans="1:23" s="830" customFormat="1" ht="19.5" customHeight="1">
      <c r="A242" s="848"/>
      <c r="B242" s="848"/>
      <c r="C242" s="586"/>
      <c r="D242" s="331" t="s">
        <v>10</v>
      </c>
      <c r="E242" s="843" t="e">
        <f>'NC-CLBD'!O19/100</f>
        <v>#VALUE!</v>
      </c>
      <c r="F242" s="826"/>
      <c r="G242" s="826">
        <f t="shared" si="45"/>
        <v>0</v>
      </c>
      <c r="H242" s="826">
        <f>'DCu-CLBD'!P68</f>
        <v>80.570778245192315</v>
      </c>
      <c r="I242" s="826">
        <f>I241</f>
        <v>28.034100000000002</v>
      </c>
      <c r="J242" s="826">
        <f>'TBI-CLBD'!K37</f>
        <v>377.08</v>
      </c>
      <c r="K242" s="826">
        <f>'NL-CLBD'!H21</f>
        <v>2.331</v>
      </c>
      <c r="L242" s="826" t="e">
        <f>SUM(E242:K242)</f>
        <v>#VALUE!</v>
      </c>
      <c r="M242" s="826" t="e">
        <f>L242*'He so chung'!$D$16/100</f>
        <v>#VALUE!</v>
      </c>
      <c r="N242" s="849" t="e">
        <f>M242+L242</f>
        <v>#VALUE!</v>
      </c>
      <c r="O242" s="849"/>
      <c r="P242" s="850">
        <f>'He so chung'!$D$18*S242</f>
        <v>310.74519230769232</v>
      </c>
      <c r="Q242" s="851">
        <f>'He so chung'!$D$19*S242</f>
        <v>248.59615384615387</v>
      </c>
      <c r="R242" s="852">
        <f>'He so chung'!$D$20*S242</f>
        <v>62.149038461538474</v>
      </c>
      <c r="S242" s="853">
        <f>'NC-CLBD'!N19/100</f>
        <v>4.6500000000000007E-2</v>
      </c>
      <c r="T242" s="849" t="e">
        <f>'[1]IV. DONGIA CHỈNH LÝ'!N238</f>
        <v>#VALUE!</v>
      </c>
      <c r="U242" s="849" t="e">
        <f t="shared" si="44"/>
        <v>#VALUE!</v>
      </c>
      <c r="W242" s="854"/>
    </row>
    <row r="243" spans="1:23" s="830" customFormat="1" ht="19.5" customHeight="1">
      <c r="A243" s="331"/>
      <c r="B243" s="848"/>
      <c r="C243" s="586"/>
      <c r="D243" s="331" t="s">
        <v>11</v>
      </c>
      <c r="E243" s="843" t="e">
        <f>'NC-CLBD'!O21/100</f>
        <v>#VALUE!</v>
      </c>
      <c r="F243" s="826"/>
      <c r="G243" s="826">
        <f t="shared" si="45"/>
        <v>0</v>
      </c>
      <c r="H243" s="826">
        <f>'DCu-CLBD'!P69</f>
        <v>107.42770432692309</v>
      </c>
      <c r="I243" s="826">
        <f>I242</f>
        <v>28.034100000000002</v>
      </c>
      <c r="J243" s="826">
        <f>'TBI-CLBD'!M37</f>
        <v>497.92</v>
      </c>
      <c r="K243" s="826">
        <f>'NL-CLBD'!J21</f>
        <v>2.7971999999999997</v>
      </c>
      <c r="L243" s="826" t="e">
        <f>SUM(E243:K243)</f>
        <v>#VALUE!</v>
      </c>
      <c r="M243" s="826" t="e">
        <f>L243*'He so chung'!$D$16/100</f>
        <v>#VALUE!</v>
      </c>
      <c r="N243" s="849" t="e">
        <f>M243+L243</f>
        <v>#VALUE!</v>
      </c>
      <c r="O243" s="849"/>
      <c r="P243" s="850">
        <f>'He so chung'!$D$18*S243</f>
        <v>414.32692307692309</v>
      </c>
      <c r="Q243" s="851">
        <f>'He so chung'!$D$19*S243</f>
        <v>331.46153846153845</v>
      </c>
      <c r="R243" s="852">
        <f>'He so chung'!$D$20*S243</f>
        <v>82.865384615384627</v>
      </c>
      <c r="S243" s="853">
        <f>'NC-CLBD'!N21/100</f>
        <v>6.2E-2</v>
      </c>
      <c r="T243" s="849" t="e">
        <f>'[1]IV. DONGIA CHỈNH LÝ'!N239</f>
        <v>#VALUE!</v>
      </c>
      <c r="U243" s="849" t="e">
        <f t="shared" si="44"/>
        <v>#VALUE!</v>
      </c>
      <c r="W243" s="854"/>
    </row>
    <row r="244" spans="1:23" s="830" customFormat="1" ht="19.5" customHeight="1">
      <c r="A244" s="331"/>
      <c r="B244" s="848"/>
      <c r="C244" s="586"/>
      <c r="D244" s="331" t="s">
        <v>12</v>
      </c>
      <c r="E244" s="843" t="e">
        <f>'NC-CLBD'!O23/100</f>
        <v>#VALUE!</v>
      </c>
      <c r="F244" s="826"/>
      <c r="G244" s="826">
        <f t="shared" si="45"/>
        <v>0</v>
      </c>
      <c r="H244" s="826">
        <f>'DCu-CLBD'!P70</f>
        <v>118.17047475961542</v>
      </c>
      <c r="I244" s="826">
        <f>I243</f>
        <v>28.034100000000002</v>
      </c>
      <c r="J244" s="826">
        <f>'TBI-CLBD'!O37</f>
        <v>551.96</v>
      </c>
      <c r="K244" s="826">
        <f>'NL-CLBD'!L21</f>
        <v>3.2633999999999999</v>
      </c>
      <c r="L244" s="826" t="e">
        <f>SUM(E244:K244)</f>
        <v>#VALUE!</v>
      </c>
      <c r="M244" s="826" t="e">
        <f>L244*'He so chung'!$D$16/100</f>
        <v>#VALUE!</v>
      </c>
      <c r="N244" s="849" t="e">
        <f>M244+L244</f>
        <v>#VALUE!</v>
      </c>
      <c r="O244" s="849"/>
      <c r="P244" s="850">
        <f>'He so chung'!$D$18*S244</f>
        <v>454.42307692307696</v>
      </c>
      <c r="Q244" s="851">
        <f>'He so chung'!$D$19*S244</f>
        <v>363.53846153846155</v>
      </c>
      <c r="R244" s="852">
        <f>'He so chung'!$D$20*S244</f>
        <v>90.884615384615401</v>
      </c>
      <c r="S244" s="853">
        <f>'NC-CLBD'!N23/100</f>
        <v>6.8000000000000005E-2</v>
      </c>
      <c r="T244" s="849" t="e">
        <f>'[1]IV. DONGIA CHỈNH LÝ'!N240</f>
        <v>#VALUE!</v>
      </c>
      <c r="U244" s="849" t="e">
        <f t="shared" si="44"/>
        <v>#VALUE!</v>
      </c>
      <c r="W244" s="854"/>
    </row>
    <row r="245" spans="1:23" s="830" customFormat="1" ht="19.5" customHeight="1">
      <c r="A245" s="331"/>
      <c r="B245" s="848"/>
      <c r="C245" s="848"/>
      <c r="D245" s="331"/>
      <c r="E245" s="843"/>
      <c r="F245" s="826"/>
      <c r="G245" s="826">
        <f t="shared" si="45"/>
        <v>0</v>
      </c>
      <c r="H245" s="826"/>
      <c r="I245" s="826"/>
      <c r="J245" s="826"/>
      <c r="K245" s="826"/>
      <c r="L245" s="826"/>
      <c r="M245" s="826"/>
      <c r="N245" s="849"/>
      <c r="O245" s="849"/>
      <c r="P245" s="850"/>
      <c r="Q245" s="851"/>
      <c r="R245" s="852"/>
      <c r="S245" s="853"/>
      <c r="T245" s="849">
        <f>'[1]IV. DONGIA CHỈNH LÝ'!N241</f>
        <v>0</v>
      </c>
      <c r="U245" s="849">
        <f t="shared" si="44"/>
        <v>0</v>
      </c>
      <c r="W245" s="854"/>
    </row>
    <row r="246" spans="1:23" s="830" customFormat="1" ht="19.5" customHeight="1">
      <c r="A246" s="331" t="s">
        <v>11</v>
      </c>
      <c r="B246" s="848" t="s">
        <v>77</v>
      </c>
      <c r="C246" s="586" t="s">
        <v>278</v>
      </c>
      <c r="D246" s="331" t="s">
        <v>9</v>
      </c>
      <c r="E246" s="843" t="e">
        <f>'NC-CLBD'!O28/100</f>
        <v>#VALUE!</v>
      </c>
      <c r="F246" s="826">
        <f>'NC-CLBD'!O29/100</f>
        <v>10951.6</v>
      </c>
      <c r="G246" s="826">
        <f t="shared" si="45"/>
        <v>0</v>
      </c>
      <c r="H246" s="826">
        <f>'DCu-CLBD'!P112</f>
        <v>870.28378365384583</v>
      </c>
      <c r="I246" s="826">
        <f>'VL-CLBD'!N39</f>
        <v>560.68200000000002</v>
      </c>
      <c r="J246" s="826">
        <f>'TBI-CLBD'!I87</f>
        <v>3994</v>
      </c>
      <c r="K246" s="826">
        <f>'NL-CLBD'!F45</f>
        <v>23.31</v>
      </c>
      <c r="L246" s="826" t="e">
        <f>SUM(E246:K246)</f>
        <v>#VALUE!</v>
      </c>
      <c r="M246" s="826" t="e">
        <f>L246*'He so chung'!$D$16/100</f>
        <v>#VALUE!</v>
      </c>
      <c r="N246" s="849" t="e">
        <f>M246+L246</f>
        <v>#VALUE!</v>
      </c>
      <c r="O246" s="849">
        <v>1672.0000000000291</v>
      </c>
      <c r="P246" s="850">
        <f>'He so chung'!$D$18*S246</f>
        <v>3992.9086538461538</v>
      </c>
      <c r="Q246" s="851">
        <f>'He so chung'!$D$19*S246</f>
        <v>3194.3269230769229</v>
      </c>
      <c r="R246" s="852">
        <f>'He so chung'!$D$20*S246</f>
        <v>798.58173076923083</v>
      </c>
      <c r="S246" s="853">
        <f>'NC-CLBD'!N28/100</f>
        <v>0.59750000000000003</v>
      </c>
      <c r="T246" s="849" t="e">
        <f>'[1]IV. DONGIA CHỈNH LÝ'!N242</f>
        <v>#VALUE!</v>
      </c>
      <c r="U246" s="849" t="e">
        <f t="shared" si="44"/>
        <v>#VALUE!</v>
      </c>
      <c r="W246" s="854"/>
    </row>
    <row r="247" spans="1:23" s="830" customFormat="1" ht="19.5" customHeight="1">
      <c r="A247" s="331"/>
      <c r="B247" s="848"/>
      <c r="C247" s="586"/>
      <c r="D247" s="331" t="s">
        <v>10</v>
      </c>
      <c r="E247" s="843" t="e">
        <f>'NC-CLBD'!O32/100</f>
        <v>#VALUE!</v>
      </c>
      <c r="F247" s="826">
        <f>'NC-CLBD'!O33/100</f>
        <v>13139.3</v>
      </c>
      <c r="G247" s="826">
        <f t="shared" si="45"/>
        <v>0</v>
      </c>
      <c r="H247" s="826">
        <f>'DCu-CLBD'!P113</f>
        <v>1087.8547295673072</v>
      </c>
      <c r="I247" s="826">
        <f>I246</f>
        <v>560.68200000000002</v>
      </c>
      <c r="J247" s="826">
        <f>'TBI-CLBD'!K87</f>
        <v>4606.6400000000003</v>
      </c>
      <c r="K247" s="826">
        <f>'NL-CLBD'!H45</f>
        <v>26.417999999999996</v>
      </c>
      <c r="L247" s="826" t="e">
        <f>SUM(E247:K247)</f>
        <v>#VALUE!</v>
      </c>
      <c r="M247" s="826" t="e">
        <f>L247*'He so chung'!$D$16/100</f>
        <v>#VALUE!</v>
      </c>
      <c r="N247" s="849" t="e">
        <f>M247+L247</f>
        <v>#VALUE!</v>
      </c>
      <c r="O247" s="849">
        <v>2006</v>
      </c>
      <c r="P247" s="850">
        <f>'He so chung'!$D$18*S247</f>
        <v>4791.4903846153848</v>
      </c>
      <c r="Q247" s="851">
        <f>'He so chung'!$D$19*S247</f>
        <v>3833.1923076923076</v>
      </c>
      <c r="R247" s="852">
        <f>'He so chung'!$D$20*S247</f>
        <v>958.29807692307713</v>
      </c>
      <c r="S247" s="853">
        <f>'NC-CLBD'!N32/100</f>
        <v>0.71700000000000008</v>
      </c>
      <c r="T247" s="849" t="e">
        <f>'[1]IV. DONGIA CHỈNH LÝ'!N243</f>
        <v>#VALUE!</v>
      </c>
      <c r="U247" s="849" t="e">
        <f t="shared" si="44"/>
        <v>#VALUE!</v>
      </c>
      <c r="W247" s="854"/>
    </row>
    <row r="248" spans="1:23" s="830" customFormat="1" ht="19.5" customHeight="1">
      <c r="A248" s="331"/>
      <c r="B248" s="848"/>
      <c r="C248" s="586"/>
      <c r="D248" s="331" t="s">
        <v>11</v>
      </c>
      <c r="E248" s="843" t="e">
        <f>'NC-CLBD'!O36/100</f>
        <v>#VALUE!</v>
      </c>
      <c r="F248" s="826">
        <f>'NC-CLBD'!O37/100</f>
        <v>15759.3</v>
      </c>
      <c r="G248" s="826">
        <f t="shared" si="45"/>
        <v>0</v>
      </c>
      <c r="H248" s="826">
        <f>'DCu-CLBD'!P114</f>
        <v>1450.4729727564097</v>
      </c>
      <c r="I248" s="826">
        <f>I247</f>
        <v>560.68200000000002</v>
      </c>
      <c r="J248" s="826">
        <f>'TBI-CLBD'!M87</f>
        <v>6144.16</v>
      </c>
      <c r="K248" s="826">
        <f>'NL-CLBD'!J45</f>
        <v>35.741999999999997</v>
      </c>
      <c r="L248" s="826" t="e">
        <f>SUM(E248:K248)</f>
        <v>#VALUE!</v>
      </c>
      <c r="M248" s="826" t="e">
        <f>L248*'He so chung'!$D$16/100</f>
        <v>#VALUE!</v>
      </c>
      <c r="N248" s="849" t="e">
        <f>M248+L248</f>
        <v>#VALUE!</v>
      </c>
      <c r="O248" s="849">
        <v>2406.0000000000582</v>
      </c>
      <c r="P248" s="850">
        <f>'He so chung'!$D$18*S248</f>
        <v>5750.4567307692314</v>
      </c>
      <c r="Q248" s="851">
        <f>'He so chung'!$D$19*S248</f>
        <v>4600.3653846153848</v>
      </c>
      <c r="R248" s="852">
        <f>'He so chung'!$D$20*S248</f>
        <v>1150.0913461538464</v>
      </c>
      <c r="S248" s="853">
        <f>'NC-CLBD'!N36/100</f>
        <v>0.86050000000000015</v>
      </c>
      <c r="T248" s="849" t="e">
        <f>'[1]IV. DONGIA CHỈNH LÝ'!N244</f>
        <v>#VALUE!</v>
      </c>
      <c r="U248" s="849" t="e">
        <f t="shared" si="44"/>
        <v>#VALUE!</v>
      </c>
      <c r="W248" s="854"/>
    </row>
    <row r="249" spans="1:23" s="830" customFormat="1" ht="19.5" customHeight="1">
      <c r="A249" s="331"/>
      <c r="B249" s="848"/>
      <c r="C249" s="586"/>
      <c r="D249" s="331" t="s">
        <v>12</v>
      </c>
      <c r="E249" s="843" t="e">
        <f>'NC-CLBD'!O40/100</f>
        <v>#VALUE!</v>
      </c>
      <c r="F249" s="826">
        <f>'NC-CLBD'!O41/100</f>
        <v>18916.400000000001</v>
      </c>
      <c r="G249" s="826">
        <f t="shared" si="45"/>
        <v>0</v>
      </c>
      <c r="H249" s="826">
        <f>'DCu-CLBD'!P115</f>
        <v>1595.5202700320508</v>
      </c>
      <c r="I249" s="826">
        <f>I248</f>
        <v>560.68200000000002</v>
      </c>
      <c r="J249" s="826">
        <f>'TBI-CLBD'!O87</f>
        <v>6763.4</v>
      </c>
      <c r="K249" s="826">
        <f>'NL-CLBD'!L45</f>
        <v>38.85</v>
      </c>
      <c r="L249" s="826" t="e">
        <f>SUM(E249:K249)</f>
        <v>#VALUE!</v>
      </c>
      <c r="M249" s="826" t="e">
        <f>L249*'He so chung'!$D$16/100</f>
        <v>#VALUE!</v>
      </c>
      <c r="N249" s="849" t="e">
        <f>M249+L249</f>
        <v>#VALUE!</v>
      </c>
      <c r="O249" s="849">
        <v>2888</v>
      </c>
      <c r="P249" s="850">
        <f>'He so chung'!$D$18*S249</f>
        <v>6899.8798076923076</v>
      </c>
      <c r="Q249" s="851">
        <f>'He so chung'!$D$19*S249</f>
        <v>5519.9038461538457</v>
      </c>
      <c r="R249" s="852">
        <f>'He so chung'!$D$20*S249</f>
        <v>1379.9759615384617</v>
      </c>
      <c r="S249" s="853">
        <f>'NC-CLBD'!N40/100</f>
        <v>1.0325</v>
      </c>
      <c r="T249" s="849" t="e">
        <f>'[1]IV. DONGIA CHỈNH LÝ'!N245</f>
        <v>#VALUE!</v>
      </c>
      <c r="U249" s="849" t="e">
        <f t="shared" si="44"/>
        <v>#VALUE!</v>
      </c>
      <c r="W249" s="854"/>
    </row>
    <row r="250" spans="1:23" s="830" customFormat="1" ht="19.5" customHeight="1">
      <c r="A250" s="331"/>
      <c r="B250" s="848"/>
      <c r="C250" s="586"/>
      <c r="D250" s="331"/>
      <c r="E250" s="843"/>
      <c r="F250" s="826"/>
      <c r="G250" s="826">
        <f t="shared" si="45"/>
        <v>0</v>
      </c>
      <c r="H250" s="826"/>
      <c r="I250" s="826"/>
      <c r="J250" s="826"/>
      <c r="K250" s="826"/>
      <c r="L250" s="826"/>
      <c r="M250" s="826"/>
      <c r="N250" s="849"/>
      <c r="O250" s="849"/>
      <c r="P250" s="850"/>
      <c r="Q250" s="851"/>
      <c r="R250" s="852"/>
      <c r="S250" s="853"/>
      <c r="T250" s="849">
        <f>'[1]IV. DONGIA CHỈNH LÝ'!N246</f>
        <v>0</v>
      </c>
      <c r="U250" s="849">
        <f t="shared" si="44"/>
        <v>0</v>
      </c>
      <c r="W250" s="854"/>
    </row>
    <row r="251" spans="1:23" s="830" customFormat="1" ht="19.5" customHeight="1">
      <c r="A251" s="841" t="s">
        <v>4</v>
      </c>
      <c r="B251" s="842" t="s">
        <v>382</v>
      </c>
      <c r="C251" s="586"/>
      <c r="D251" s="331"/>
      <c r="E251" s="843"/>
      <c r="F251" s="826"/>
      <c r="G251" s="826">
        <f t="shared" si="45"/>
        <v>0</v>
      </c>
      <c r="H251" s="826"/>
      <c r="I251" s="826"/>
      <c r="J251" s="826"/>
      <c r="K251" s="826"/>
      <c r="L251" s="826"/>
      <c r="M251" s="826"/>
      <c r="N251" s="849"/>
      <c r="O251" s="849"/>
      <c r="P251" s="850"/>
      <c r="Q251" s="851"/>
      <c r="R251" s="852"/>
      <c r="S251" s="853"/>
      <c r="T251" s="849">
        <f>'[1]IV. DONGIA CHỈNH LÝ'!N247</f>
        <v>0</v>
      </c>
      <c r="U251" s="849">
        <f t="shared" si="44"/>
        <v>0</v>
      </c>
      <c r="W251" s="854"/>
    </row>
    <row r="252" spans="1:23" s="830" customFormat="1" ht="19.5" customHeight="1">
      <c r="A252" s="331" t="s">
        <v>9</v>
      </c>
      <c r="B252" s="848" t="s">
        <v>383</v>
      </c>
      <c r="C252" s="586"/>
      <c r="D252" s="331"/>
      <c r="E252" s="843"/>
      <c r="F252" s="826"/>
      <c r="G252" s="826"/>
      <c r="H252" s="826"/>
      <c r="I252" s="826"/>
      <c r="J252" s="826"/>
      <c r="K252" s="826"/>
      <c r="L252" s="826"/>
      <c r="M252" s="826"/>
      <c r="N252" s="849"/>
      <c r="O252" s="849"/>
      <c r="P252" s="850"/>
      <c r="Q252" s="851"/>
      <c r="R252" s="852"/>
      <c r="S252" s="853"/>
      <c r="T252" s="849">
        <f>'[1]IV. DONGIA CHỈNH LÝ'!N248</f>
        <v>0</v>
      </c>
      <c r="U252" s="849">
        <f t="shared" si="44"/>
        <v>0</v>
      </c>
      <c r="W252" s="854"/>
    </row>
    <row r="253" spans="1:23" s="830" customFormat="1" ht="19.5" customHeight="1">
      <c r="A253" s="848"/>
      <c r="B253" s="848"/>
      <c r="C253" s="848"/>
      <c r="D253" s="331"/>
      <c r="E253" s="843"/>
      <c r="F253" s="826"/>
      <c r="G253" s="826"/>
      <c r="H253" s="826"/>
      <c r="I253" s="826"/>
      <c r="J253" s="826"/>
      <c r="K253" s="826"/>
      <c r="L253" s="826"/>
      <c r="M253" s="826"/>
      <c r="N253" s="849"/>
      <c r="O253" s="849"/>
      <c r="P253" s="850"/>
      <c r="Q253" s="851"/>
      <c r="R253" s="852"/>
      <c r="S253" s="853"/>
      <c r="T253" s="849">
        <f>'[1]IV. DONGIA CHỈNH LÝ'!N249</f>
        <v>0</v>
      </c>
      <c r="U253" s="849">
        <f t="shared" si="44"/>
        <v>0</v>
      </c>
      <c r="W253" s="854"/>
    </row>
    <row r="254" spans="1:23" s="830" customFormat="1" ht="19.5" customHeight="1">
      <c r="A254" s="331" t="s">
        <v>10</v>
      </c>
      <c r="B254" s="848" t="s">
        <v>81</v>
      </c>
      <c r="C254" s="586" t="s">
        <v>278</v>
      </c>
      <c r="D254" s="331" t="s">
        <v>9</v>
      </c>
      <c r="E254" s="843" t="e">
        <f>'NC-CLBD'!O54/100</f>
        <v>#VALUE!</v>
      </c>
      <c r="F254" s="826"/>
      <c r="G254" s="826">
        <f t="shared" ref="G254:G268" si="46">$R$1*10*Q254</f>
        <v>0</v>
      </c>
      <c r="H254" s="826">
        <f>'DCu-CLBD'!P156</f>
        <v>152.08208669230774</v>
      </c>
      <c r="I254" s="826">
        <f>'VL-CLBD'!N71</f>
        <v>5618.5919999999996</v>
      </c>
      <c r="J254" s="826">
        <f>'TBI-CLBD'!I134</f>
        <v>178.73480000000001</v>
      </c>
      <c r="K254" s="826">
        <f>'NL-CLBD'!F71</f>
        <v>323.38739999999996</v>
      </c>
      <c r="L254" s="826" t="e">
        <f>SUM(E254:K254)</f>
        <v>#VALUE!</v>
      </c>
      <c r="M254" s="826" t="e">
        <f>L254*'He so chung'!$D$17/100</f>
        <v>#VALUE!</v>
      </c>
      <c r="N254" s="849" t="e">
        <f>M254+L254</f>
        <v>#VALUE!</v>
      </c>
      <c r="O254" s="849"/>
      <c r="P254" s="850">
        <f>'He so chung'!$D$21*S254</f>
        <v>172.14615384615382</v>
      </c>
      <c r="Q254" s="851">
        <f>'He so chung'!$D$22*S254</f>
        <v>149.69230769230768</v>
      </c>
      <c r="R254" s="852">
        <f>'He so chung'!$D$23*S254</f>
        <v>22.45384615384615</v>
      </c>
      <c r="S254" s="853">
        <f>'NC-CLBD'!N54/100</f>
        <v>2.7999999999999997E-2</v>
      </c>
      <c r="T254" s="849" t="e">
        <f>'[1]IV. DONGIA CHỈNH LÝ'!N250</f>
        <v>#VALUE!</v>
      </c>
      <c r="U254" s="849" t="e">
        <f t="shared" si="44"/>
        <v>#VALUE!</v>
      </c>
      <c r="W254" s="854"/>
    </row>
    <row r="255" spans="1:23" s="830" customFormat="1" ht="19.5" customHeight="1">
      <c r="A255" s="331"/>
      <c r="B255" s="848"/>
      <c r="C255" s="586"/>
      <c r="D255" s="331" t="s">
        <v>10</v>
      </c>
      <c r="E255" s="843" t="e">
        <f>'NC-CLBD'!O56/100</f>
        <v>#VALUE!</v>
      </c>
      <c r="F255" s="826"/>
      <c r="G255" s="826">
        <f t="shared" si="46"/>
        <v>0</v>
      </c>
      <c r="H255" s="826">
        <f>'DCu-CLBD'!P157</f>
        <v>190.10260836538467</v>
      </c>
      <c r="I255" s="826">
        <f>I254</f>
        <v>5618.5919999999996</v>
      </c>
      <c r="J255" s="826">
        <f>'TBI-CLBD'!K134</f>
        <v>187.7064</v>
      </c>
      <c r="K255" s="826">
        <f>'NL-CLBD'!H71</f>
        <v>339.08279999999996</v>
      </c>
      <c r="L255" s="826" t="e">
        <f>SUM(E255:K255)</f>
        <v>#VALUE!</v>
      </c>
      <c r="M255" s="826" t="e">
        <f>L255*'He so chung'!$D$17/100</f>
        <v>#VALUE!</v>
      </c>
      <c r="N255" s="849" t="e">
        <f>M255+L255</f>
        <v>#VALUE!</v>
      </c>
      <c r="O255" s="849"/>
      <c r="P255" s="850">
        <f>'He so chung'!$D$21*S255</f>
        <v>199.19769230769234</v>
      </c>
      <c r="Q255" s="851">
        <f>'He so chung'!$D$22*S255</f>
        <v>173.21538461538464</v>
      </c>
      <c r="R255" s="852">
        <f>'He so chung'!$D$23*S255</f>
        <v>25.982307692307696</v>
      </c>
      <c r="S255" s="853">
        <f>'NC-CLBD'!N56/100</f>
        <v>3.2400000000000005E-2</v>
      </c>
      <c r="T255" s="849" t="e">
        <f>'[1]IV. DONGIA CHỈNH LÝ'!N251</f>
        <v>#VALUE!</v>
      </c>
      <c r="U255" s="849" t="e">
        <f t="shared" si="44"/>
        <v>#VALUE!</v>
      </c>
      <c r="W255" s="854"/>
    </row>
    <row r="256" spans="1:23" s="830" customFormat="1" ht="19.5" customHeight="1">
      <c r="A256" s="331"/>
      <c r="B256" s="848"/>
      <c r="C256" s="586"/>
      <c r="D256" s="331" t="s">
        <v>11</v>
      </c>
      <c r="E256" s="843" t="e">
        <f>'NC-CLBD'!O58/100</f>
        <v>#VALUE!</v>
      </c>
      <c r="F256" s="826"/>
      <c r="G256" s="826">
        <f t="shared" si="46"/>
        <v>0</v>
      </c>
      <c r="H256" s="826">
        <f>'DCu-CLBD'!P158</f>
        <v>253.47014448717957</v>
      </c>
      <c r="I256" s="826">
        <f>I255</f>
        <v>5618.5919999999996</v>
      </c>
      <c r="J256" s="826">
        <f>'TBI-CLBD'!M134</f>
        <v>210.12799999999999</v>
      </c>
      <c r="K256" s="826">
        <f>'NL-CLBD'!J71</f>
        <v>379.48680000000002</v>
      </c>
      <c r="L256" s="826" t="e">
        <f>SUM(E256:K256)</f>
        <v>#VALUE!</v>
      </c>
      <c r="M256" s="826" t="e">
        <f>L256*'He so chung'!$D$17/100</f>
        <v>#VALUE!</v>
      </c>
      <c r="N256" s="849" t="e">
        <f>M256+L256</f>
        <v>#VALUE!</v>
      </c>
      <c r="O256" s="849"/>
      <c r="P256" s="850">
        <f>'He so chung'!$D$21*S256</f>
        <v>265.59692307692308</v>
      </c>
      <c r="Q256" s="851">
        <f>'He so chung'!$D$22*S256</f>
        <v>230.95384615384614</v>
      </c>
      <c r="R256" s="852">
        <f>'He so chung'!$D$23*S256</f>
        <v>34.643076923076926</v>
      </c>
      <c r="S256" s="853">
        <f>'NC-CLBD'!N58/100</f>
        <v>4.3200000000000002E-2</v>
      </c>
      <c r="T256" s="849" t="e">
        <f>'[1]IV. DONGIA CHỈNH LÝ'!N252</f>
        <v>#VALUE!</v>
      </c>
      <c r="U256" s="849" t="e">
        <f t="shared" si="44"/>
        <v>#VALUE!</v>
      </c>
      <c r="W256" s="854"/>
    </row>
    <row r="257" spans="1:23" s="830" customFormat="1" ht="19.5" customHeight="1">
      <c r="A257" s="331"/>
      <c r="B257" s="848"/>
      <c r="C257" s="586"/>
      <c r="D257" s="331" t="s">
        <v>12</v>
      </c>
      <c r="E257" s="843" t="e">
        <f>'NC-CLBD'!O60/100</f>
        <v>#VALUE!</v>
      </c>
      <c r="F257" s="826"/>
      <c r="G257" s="826">
        <f t="shared" si="46"/>
        <v>0</v>
      </c>
      <c r="H257" s="826">
        <f>'DCu-CLBD'!P159</f>
        <v>278.81715893589757</v>
      </c>
      <c r="I257" s="826">
        <f>I256</f>
        <v>5618.5919999999996</v>
      </c>
      <c r="J257" s="826">
        <f>'TBI-CLBD'!O134</f>
        <v>218.798</v>
      </c>
      <c r="K257" s="826">
        <f>'NL-CLBD'!L71</f>
        <v>395.02679999999998</v>
      </c>
      <c r="L257" s="826" t="e">
        <f>SUM(E257:K257)</f>
        <v>#VALUE!</v>
      </c>
      <c r="M257" s="826" t="e">
        <f>L257*'He so chung'!$D$17/100</f>
        <v>#VALUE!</v>
      </c>
      <c r="N257" s="849" t="e">
        <f>M257+L257</f>
        <v>#VALUE!</v>
      </c>
      <c r="O257" s="849"/>
      <c r="P257" s="850">
        <f>'He so chung'!$D$21*S257</f>
        <v>292.6484615384615</v>
      </c>
      <c r="Q257" s="851">
        <f>'He so chung'!$D$22*S257</f>
        <v>254.47692307692304</v>
      </c>
      <c r="R257" s="852">
        <f>'He so chung'!$D$23*S257</f>
        <v>38.171538461538461</v>
      </c>
      <c r="S257" s="853">
        <f>'NC-CLBD'!N60/100</f>
        <v>4.7599999999999996E-2</v>
      </c>
      <c r="T257" s="849" t="e">
        <f>'[1]IV. DONGIA CHỈNH LÝ'!N253</f>
        <v>#VALUE!</v>
      </c>
      <c r="U257" s="849" t="e">
        <f t="shared" si="44"/>
        <v>#VALUE!</v>
      </c>
      <c r="W257" s="854"/>
    </row>
    <row r="258" spans="1:23" s="830" customFormat="1" ht="19.5" customHeight="1">
      <c r="A258" s="331"/>
      <c r="B258" s="848"/>
      <c r="C258" s="586"/>
      <c r="D258" s="331"/>
      <c r="E258" s="843"/>
      <c r="F258" s="826"/>
      <c r="G258" s="826">
        <f t="shared" si="46"/>
        <v>0</v>
      </c>
      <c r="H258" s="826"/>
      <c r="I258" s="826"/>
      <c r="J258" s="826"/>
      <c r="K258" s="826"/>
      <c r="L258" s="826"/>
      <c r="M258" s="826"/>
      <c r="N258" s="849"/>
      <c r="O258" s="849"/>
      <c r="P258" s="850"/>
      <c r="Q258" s="851"/>
      <c r="R258" s="852"/>
      <c r="S258" s="853"/>
      <c r="T258" s="849">
        <f>'[1]IV. DONGIA CHỈNH LÝ'!N254</f>
        <v>0</v>
      </c>
      <c r="U258" s="849">
        <f t="shared" si="44"/>
        <v>0</v>
      </c>
      <c r="W258" s="854"/>
    </row>
    <row r="259" spans="1:23" s="830" customFormat="1" ht="17.25" customHeight="1">
      <c r="A259" s="331" t="s">
        <v>11</v>
      </c>
      <c r="B259" s="848" t="s">
        <v>384</v>
      </c>
      <c r="C259" s="586" t="s">
        <v>278</v>
      </c>
      <c r="D259" s="331" t="s">
        <v>15</v>
      </c>
      <c r="E259" s="843" t="e">
        <f>'NC-CLBD'!O64/100</f>
        <v>#VALUE!</v>
      </c>
      <c r="F259" s="826"/>
      <c r="G259" s="826">
        <f t="shared" si="46"/>
        <v>0</v>
      </c>
      <c r="H259" s="826"/>
      <c r="I259" s="826"/>
      <c r="J259" s="826"/>
      <c r="K259" s="826"/>
      <c r="L259" s="826" t="e">
        <f>SUM(E259:K259)</f>
        <v>#VALUE!</v>
      </c>
      <c r="M259" s="826" t="e">
        <f>L259*'He so chung'!$D$17/100</f>
        <v>#VALUE!</v>
      </c>
      <c r="N259" s="849" t="e">
        <f>M259+L259</f>
        <v>#VALUE!</v>
      </c>
      <c r="O259" s="849"/>
      <c r="P259" s="850">
        <f>'He so chung'!$D$21*S259</f>
        <v>184.44230769230768</v>
      </c>
      <c r="Q259" s="851">
        <f>'He so chung'!$D$22*S259</f>
        <v>160.38461538461536</v>
      </c>
      <c r="R259" s="852">
        <f>'He so chung'!$D$23*S259</f>
        <v>24.057692307692307</v>
      </c>
      <c r="S259" s="853">
        <f>'NC-CLBD'!N64/100</f>
        <v>0.03</v>
      </c>
      <c r="T259" s="849" t="e">
        <f>'[1]IV. DONGIA CHỈNH LÝ'!N255</f>
        <v>#VALUE!</v>
      </c>
      <c r="U259" s="849" t="e">
        <f t="shared" si="44"/>
        <v>#VALUE!</v>
      </c>
      <c r="W259" s="854"/>
    </row>
    <row r="260" spans="1:23" s="830" customFormat="1" ht="17.25" customHeight="1">
      <c r="A260" s="331"/>
      <c r="B260" s="848" t="s">
        <v>385</v>
      </c>
      <c r="C260" s="586"/>
      <c r="D260" s="331"/>
      <c r="E260" s="843"/>
      <c r="F260" s="826"/>
      <c r="G260" s="826">
        <f t="shared" si="46"/>
        <v>0</v>
      </c>
      <c r="H260" s="826"/>
      <c r="I260" s="826"/>
      <c r="J260" s="826"/>
      <c r="K260" s="826"/>
      <c r="L260" s="826"/>
      <c r="M260" s="826"/>
      <c r="N260" s="849"/>
      <c r="O260" s="849"/>
      <c r="P260" s="850"/>
      <c r="Q260" s="851"/>
      <c r="R260" s="852"/>
      <c r="S260" s="853"/>
      <c r="T260" s="849">
        <f>'[1]IV. DONGIA CHỈNH LÝ'!N256</f>
        <v>0</v>
      </c>
      <c r="U260" s="849">
        <f t="shared" si="44"/>
        <v>0</v>
      </c>
      <c r="W260" s="854"/>
    </row>
    <row r="261" spans="1:23" s="830" customFormat="1" ht="17.25" customHeight="1">
      <c r="A261" s="331"/>
      <c r="B261" s="848"/>
      <c r="C261" s="586"/>
      <c r="D261" s="331"/>
      <c r="E261" s="843"/>
      <c r="F261" s="826"/>
      <c r="G261" s="826">
        <f t="shared" si="46"/>
        <v>0</v>
      </c>
      <c r="H261" s="826"/>
      <c r="I261" s="826"/>
      <c r="J261" s="826"/>
      <c r="K261" s="826"/>
      <c r="L261" s="826"/>
      <c r="M261" s="826"/>
      <c r="N261" s="849"/>
      <c r="O261" s="849"/>
      <c r="P261" s="850"/>
      <c r="Q261" s="851"/>
      <c r="R261" s="852"/>
      <c r="S261" s="853"/>
      <c r="T261" s="849">
        <f>'[1]IV. DONGIA CHỈNH LÝ'!N257</f>
        <v>0</v>
      </c>
      <c r="U261" s="849">
        <f t="shared" si="44"/>
        <v>0</v>
      </c>
      <c r="W261" s="854"/>
    </row>
    <row r="262" spans="1:23" s="830" customFormat="1" ht="17.25" customHeight="1">
      <c r="A262" s="331" t="s">
        <v>12</v>
      </c>
      <c r="B262" s="848" t="s">
        <v>363</v>
      </c>
      <c r="C262" s="586" t="s">
        <v>278</v>
      </c>
      <c r="D262" s="331" t="s">
        <v>15</v>
      </c>
      <c r="E262" s="843" t="e">
        <f>'NC-CLBD'!O67/100</f>
        <v>#VALUE!</v>
      </c>
      <c r="F262" s="826"/>
      <c r="G262" s="826">
        <f t="shared" si="46"/>
        <v>0</v>
      </c>
      <c r="H262" s="826">
        <f>'DCu-CLBD'!P186</f>
        <v>184.59746666666666</v>
      </c>
      <c r="I262" s="826">
        <f>'VL-CLBD'!N92</f>
        <v>1232.28</v>
      </c>
      <c r="J262" s="826">
        <f>'TBI-CLBD'!I155</f>
        <v>105.78</v>
      </c>
      <c r="K262" s="826">
        <f>'NL-CLBD'!F86</f>
        <v>191.142</v>
      </c>
      <c r="L262" s="826" t="e">
        <f>SUM(E262:K262)</f>
        <v>#VALUE!</v>
      </c>
      <c r="M262" s="826" t="e">
        <f>L262*'He so chung'!$D$17/100</f>
        <v>#VALUE!</v>
      </c>
      <c r="N262" s="849" t="e">
        <f>M262+L262</f>
        <v>#VALUE!</v>
      </c>
      <c r="O262" s="849"/>
      <c r="P262" s="850">
        <f>'He so chung'!$D$21*S262</f>
        <v>159.85000000000002</v>
      </c>
      <c r="Q262" s="851">
        <f>'He so chung'!$D$22*S262</f>
        <v>139</v>
      </c>
      <c r="R262" s="852">
        <f>'He so chung'!$D$23*S262</f>
        <v>20.85</v>
      </c>
      <c r="S262" s="853">
        <f>'NC-CLBD'!N67/100</f>
        <v>2.6000000000000002E-2</v>
      </c>
      <c r="T262" s="849" t="e">
        <f>'[1]IV. DONGIA CHỈNH LÝ'!N258</f>
        <v>#VALUE!</v>
      </c>
      <c r="U262" s="849" t="e">
        <f t="shared" si="44"/>
        <v>#VALUE!</v>
      </c>
      <c r="W262" s="854"/>
    </row>
    <row r="263" spans="1:23" s="830" customFormat="1" ht="17.25" customHeight="1">
      <c r="A263" s="331"/>
      <c r="B263" s="848"/>
      <c r="C263" s="586"/>
      <c r="D263" s="331"/>
      <c r="E263" s="843"/>
      <c r="F263" s="826"/>
      <c r="G263" s="826">
        <f t="shared" si="46"/>
        <v>0</v>
      </c>
      <c r="H263" s="826"/>
      <c r="I263" s="826"/>
      <c r="J263" s="826"/>
      <c r="K263" s="826"/>
      <c r="L263" s="826"/>
      <c r="M263" s="826"/>
      <c r="N263" s="849"/>
      <c r="O263" s="849"/>
      <c r="P263" s="850"/>
      <c r="Q263" s="851"/>
      <c r="R263" s="852"/>
      <c r="S263" s="856"/>
      <c r="T263" s="849">
        <f>'[1]IV. DONGIA CHỈNH LÝ'!N259</f>
        <v>0</v>
      </c>
      <c r="U263" s="849">
        <f t="shared" si="44"/>
        <v>0</v>
      </c>
      <c r="W263" s="854"/>
    </row>
    <row r="264" spans="1:23" s="830" customFormat="1" ht="17.25" customHeight="1">
      <c r="A264" s="331" t="s">
        <v>13</v>
      </c>
      <c r="B264" s="848" t="s">
        <v>364</v>
      </c>
      <c r="C264" s="586" t="s">
        <v>1</v>
      </c>
      <c r="D264" s="331" t="s">
        <v>15</v>
      </c>
      <c r="E264" s="843" t="e">
        <f>'NC-CLBD'!O69/900</f>
        <v>#VALUE!</v>
      </c>
      <c r="F264" s="826"/>
      <c r="G264" s="826">
        <f t="shared" si="46"/>
        <v>0</v>
      </c>
      <c r="H264" s="826">
        <f>'DCu-CLBD'!P209</f>
        <v>23.426113746438745</v>
      </c>
      <c r="I264" s="826">
        <f>'VL-CLBD'!N112</f>
        <v>92.22</v>
      </c>
      <c r="J264" s="826">
        <f>'TBI-CLBD'!I192</f>
        <v>5.0177777777777779</v>
      </c>
      <c r="K264" s="826">
        <f>'NL-CLBD'!F110</f>
        <v>7.2519999999999998</v>
      </c>
      <c r="L264" s="826" t="e">
        <f>SUM(E264:K264)</f>
        <v>#VALUE!</v>
      </c>
      <c r="M264" s="826" t="e">
        <f>L264*'He so chung'!$D$17/100</f>
        <v>#VALUE!</v>
      </c>
      <c r="N264" s="849" t="e">
        <f>M264+L264</f>
        <v>#VALUE!</v>
      </c>
      <c r="O264" s="849"/>
      <c r="P264" s="850">
        <f>'He so chung'!$D$21*S264</f>
        <v>5.8065170940170932</v>
      </c>
      <c r="Q264" s="851">
        <f>'He so chung'!$D$22*S264</f>
        <v>5.0491452991452981</v>
      </c>
      <c r="R264" s="940">
        <f>'He so chung'!$D$23*S264</f>
        <v>0.75737179487179485</v>
      </c>
      <c r="S264" s="856">
        <f>'NC-CLBD'!N69/900</f>
        <v>9.4444444444444437E-4</v>
      </c>
      <c r="T264" s="849" t="e">
        <f>'[1]IV. DONGIA CHỈNH LÝ'!N260</f>
        <v>#VALUE!</v>
      </c>
      <c r="U264" s="849" t="e">
        <f t="shared" si="44"/>
        <v>#VALUE!</v>
      </c>
      <c r="W264" s="854"/>
    </row>
    <row r="265" spans="1:23" s="830" customFormat="1" ht="17.25" customHeight="1">
      <c r="A265" s="331"/>
      <c r="B265" s="848"/>
      <c r="C265" s="586"/>
      <c r="D265" s="331"/>
      <c r="E265" s="843"/>
      <c r="F265" s="826"/>
      <c r="G265" s="826">
        <f t="shared" si="46"/>
        <v>0</v>
      </c>
      <c r="H265" s="826"/>
      <c r="I265" s="826"/>
      <c r="J265" s="826"/>
      <c r="K265" s="826"/>
      <c r="L265" s="826"/>
      <c r="M265" s="826"/>
      <c r="N265" s="849"/>
      <c r="O265" s="849"/>
      <c r="P265" s="850"/>
      <c r="Q265" s="851"/>
      <c r="R265" s="940"/>
      <c r="S265" s="856"/>
      <c r="T265" s="849">
        <f>'[1]IV. DONGIA CHỈNH LÝ'!N261</f>
        <v>0</v>
      </c>
      <c r="U265" s="849">
        <f t="shared" si="44"/>
        <v>0</v>
      </c>
      <c r="W265" s="854"/>
    </row>
    <row r="266" spans="1:23" s="830" customFormat="1" ht="17.25" customHeight="1">
      <c r="A266" s="331" t="s">
        <v>14</v>
      </c>
      <c r="B266" s="848" t="s">
        <v>365</v>
      </c>
      <c r="C266" s="586" t="s">
        <v>1</v>
      </c>
      <c r="D266" s="331" t="s">
        <v>15</v>
      </c>
      <c r="E266" s="843" t="e">
        <f>'NC-CLBD'!O71/900</f>
        <v>#VALUE!</v>
      </c>
      <c r="F266" s="826"/>
      <c r="G266" s="826">
        <f t="shared" si="46"/>
        <v>0</v>
      </c>
      <c r="H266" s="826">
        <f>'DCu-CLBD'!P209</f>
        <v>23.426113746438745</v>
      </c>
      <c r="I266" s="826">
        <f>'VL-CLBD'!N112</f>
        <v>92.22</v>
      </c>
      <c r="J266" s="826"/>
      <c r="K266" s="826"/>
      <c r="L266" s="826" t="e">
        <f>SUM(E266:K266)</f>
        <v>#VALUE!</v>
      </c>
      <c r="M266" s="826" t="e">
        <f>L266*'He so chung'!$D$17/100</f>
        <v>#VALUE!</v>
      </c>
      <c r="N266" s="849" t="e">
        <f>M266+L266</f>
        <v>#VALUE!</v>
      </c>
      <c r="O266" s="849"/>
      <c r="P266" s="850">
        <f>'He so chung'!$D$21*S266</f>
        <v>11.613034188034186</v>
      </c>
      <c r="Q266" s="851">
        <f>'He so chung'!$D$22*S266</f>
        <v>10.098290598290596</v>
      </c>
      <c r="R266" s="852">
        <f>'He so chung'!$D$23*S266</f>
        <v>1.5147435897435897</v>
      </c>
      <c r="S266" s="856">
        <f>'NC-CLBD'!N71/900</f>
        <v>1.8888888888888887E-3</v>
      </c>
      <c r="T266" s="849" t="e">
        <f>'[1]IV. DONGIA CHỈNH LÝ'!N262</f>
        <v>#VALUE!</v>
      </c>
      <c r="U266" s="849" t="e">
        <f t="shared" si="44"/>
        <v>#VALUE!</v>
      </c>
      <c r="W266" s="854"/>
    </row>
    <row r="267" spans="1:23" s="830" customFormat="1" ht="17.25" customHeight="1">
      <c r="A267" s="331"/>
      <c r="B267" s="848"/>
      <c r="C267" s="586"/>
      <c r="D267" s="331"/>
      <c r="E267" s="843"/>
      <c r="F267" s="826"/>
      <c r="G267" s="826">
        <f t="shared" si="46"/>
        <v>0</v>
      </c>
      <c r="H267" s="826"/>
      <c r="I267" s="826"/>
      <c r="J267" s="826"/>
      <c r="K267" s="826"/>
      <c r="L267" s="826"/>
      <c r="M267" s="826"/>
      <c r="N267" s="849"/>
      <c r="O267" s="849"/>
      <c r="P267" s="850"/>
      <c r="Q267" s="851"/>
      <c r="R267" s="852"/>
      <c r="S267" s="856"/>
      <c r="T267" s="849">
        <f>'[1]IV. DONGIA CHỈNH LÝ'!N263</f>
        <v>0</v>
      </c>
      <c r="U267" s="849">
        <f t="shared" si="44"/>
        <v>0</v>
      </c>
      <c r="W267" s="854"/>
    </row>
    <row r="268" spans="1:23" s="830" customFormat="1" ht="17.25" customHeight="1">
      <c r="A268" s="331" t="s">
        <v>85</v>
      </c>
      <c r="B268" s="848" t="s">
        <v>366</v>
      </c>
      <c r="C268" s="586" t="s">
        <v>1</v>
      </c>
      <c r="D268" s="331" t="s">
        <v>15</v>
      </c>
      <c r="E268" s="843" t="e">
        <f>'NC-CLBD'!O73/900</f>
        <v>#VALUE!</v>
      </c>
      <c r="F268" s="826"/>
      <c r="G268" s="826">
        <f t="shared" si="46"/>
        <v>0</v>
      </c>
      <c r="H268" s="826">
        <f>'DCu-CLBD'!P209</f>
        <v>23.426113746438745</v>
      </c>
      <c r="I268" s="826">
        <f>'VL-CLBD'!N112</f>
        <v>92.22</v>
      </c>
      <c r="J268" s="826"/>
      <c r="K268" s="826"/>
      <c r="L268" s="826" t="e">
        <f>SUM(E268:K268)</f>
        <v>#VALUE!</v>
      </c>
      <c r="M268" s="826" t="e">
        <f>L268*'He so chung'!$D$17/100</f>
        <v>#VALUE!</v>
      </c>
      <c r="N268" s="849" t="e">
        <f>M268+L268</f>
        <v>#VALUE!</v>
      </c>
      <c r="O268" s="849"/>
      <c r="P268" s="850">
        <f>'He so chung'!$D$21*S268</f>
        <v>23.226068376068373</v>
      </c>
      <c r="Q268" s="851">
        <f>'He so chung'!$D$22*S268</f>
        <v>20.196581196581192</v>
      </c>
      <c r="R268" s="852">
        <f>'He so chung'!$D$23*S268</f>
        <v>3.0294871794871794</v>
      </c>
      <c r="S268" s="856">
        <f>'NC-CLBD'!N73/900</f>
        <v>3.7777777777777775E-3</v>
      </c>
      <c r="T268" s="849" t="e">
        <f>'[1]IV. DONGIA CHỈNH LÝ'!N264</f>
        <v>#VALUE!</v>
      </c>
      <c r="U268" s="849" t="e">
        <f t="shared" si="44"/>
        <v>#VALUE!</v>
      </c>
      <c r="W268" s="854"/>
    </row>
    <row r="269" spans="1:23" s="830" customFormat="1" ht="17.25" customHeight="1">
      <c r="A269" s="331"/>
      <c r="B269" s="848"/>
      <c r="C269" s="586"/>
      <c r="D269" s="331"/>
      <c r="E269" s="843"/>
      <c r="F269" s="826"/>
      <c r="G269" s="826"/>
      <c r="H269" s="826"/>
      <c r="I269" s="826"/>
      <c r="J269" s="826"/>
      <c r="K269" s="826"/>
      <c r="L269" s="826"/>
      <c r="M269" s="826"/>
      <c r="N269" s="849"/>
      <c r="O269" s="849"/>
      <c r="P269" s="850"/>
      <c r="Q269" s="859"/>
      <c r="R269" s="860"/>
      <c r="S269" s="861"/>
      <c r="T269" s="849">
        <f>'[1]IV. DONGIA CHỈNH LÝ'!N265</f>
        <v>0</v>
      </c>
      <c r="U269" s="849">
        <f t="shared" si="44"/>
        <v>0</v>
      </c>
      <c r="W269" s="854"/>
    </row>
    <row r="270" spans="1:23" s="830" customFormat="1" ht="19.5" hidden="1" customHeight="1">
      <c r="A270" s="331"/>
      <c r="B270" s="848"/>
      <c r="C270" s="848"/>
      <c r="D270" s="331"/>
      <c r="E270" s="927"/>
      <c r="F270" s="848"/>
      <c r="G270" s="848"/>
      <c r="H270" s="848"/>
      <c r="I270" s="848"/>
      <c r="J270" s="848"/>
      <c r="K270" s="848"/>
      <c r="L270" s="848"/>
      <c r="M270" s="848"/>
      <c r="N270" s="848"/>
      <c r="O270" s="848"/>
      <c r="P270" s="850"/>
      <c r="Q270" s="894"/>
      <c r="R270" s="894"/>
      <c r="S270" s="895"/>
      <c r="T270" s="849">
        <f>'[1]IV. DONGIA CHỈNH LÝ'!N266</f>
        <v>0</v>
      </c>
      <c r="U270" s="849">
        <f t="shared" si="44"/>
        <v>0</v>
      </c>
      <c r="W270" s="854"/>
    </row>
    <row r="271" spans="1:23" s="830" customFormat="1" ht="19.5" customHeight="1">
      <c r="A271" s="842"/>
      <c r="B271" s="842" t="s">
        <v>389</v>
      </c>
      <c r="C271" s="842"/>
      <c r="D271" s="841"/>
      <c r="E271" s="862"/>
      <c r="F271" s="842"/>
      <c r="G271" s="842"/>
      <c r="H271" s="842"/>
      <c r="I271" s="842"/>
      <c r="J271" s="842"/>
      <c r="K271" s="842"/>
      <c r="L271" s="842"/>
      <c r="M271" s="842"/>
      <c r="N271" s="842"/>
      <c r="O271" s="842"/>
      <c r="P271" s="863"/>
      <c r="Q271" s="864"/>
      <c r="R271" s="865"/>
      <c r="S271" s="866"/>
      <c r="T271" s="849">
        <f>'[1]IV. DONGIA CHỈNH LÝ'!N267</f>
        <v>0</v>
      </c>
      <c r="U271" s="849">
        <f t="shared" si="44"/>
        <v>0</v>
      </c>
      <c r="W271" s="854"/>
    </row>
    <row r="272" spans="1:23" s="830" customFormat="1" ht="19.5" customHeight="1">
      <c r="A272" s="1006" t="s">
        <v>3</v>
      </c>
      <c r="B272" s="1009" t="s">
        <v>390</v>
      </c>
      <c r="C272" s="1007" t="s">
        <v>1</v>
      </c>
      <c r="D272" s="868">
        <v>1</v>
      </c>
      <c r="E272" s="869" t="e">
        <f t="shared" ref="E272:R272" si="47">E236+E$264+E$266+E$268</f>
        <v>#VALUE!</v>
      </c>
      <c r="F272" s="849">
        <f t="shared" si="47"/>
        <v>0</v>
      </c>
      <c r="G272" s="849">
        <f t="shared" si="47"/>
        <v>0</v>
      </c>
      <c r="H272" s="849">
        <f t="shared" si="47"/>
        <v>199.60618311965814</v>
      </c>
      <c r="I272" s="849">
        <f t="shared" si="47"/>
        <v>360.06000000000006</v>
      </c>
      <c r="J272" s="849">
        <f t="shared" si="47"/>
        <v>5.0177777777777779</v>
      </c>
      <c r="K272" s="849">
        <f t="shared" si="47"/>
        <v>7.2519999999999998</v>
      </c>
      <c r="L272" s="849" t="e">
        <f t="shared" si="47"/>
        <v>#VALUE!</v>
      </c>
      <c r="M272" s="849" t="e">
        <f t="shared" si="47"/>
        <v>#VALUE!</v>
      </c>
      <c r="N272" s="849" t="e">
        <f t="shared" si="47"/>
        <v>#VALUE!</v>
      </c>
      <c r="O272" s="849"/>
      <c r="P272" s="849">
        <f t="shared" si="47"/>
        <v>387.10608974358973</v>
      </c>
      <c r="Q272" s="870">
        <f t="shared" si="47"/>
        <v>312.51239316239315</v>
      </c>
      <c r="R272" s="870">
        <f t="shared" si="47"/>
        <v>74.593696581196582</v>
      </c>
      <c r="S272" s="870"/>
      <c r="T272" s="849" t="e">
        <f>'[1]IV. DONGIA CHỈNH LÝ'!N268</f>
        <v>#VALUE!</v>
      </c>
      <c r="U272" s="849" t="e">
        <f t="shared" si="44"/>
        <v>#VALUE!</v>
      </c>
      <c r="W272" s="854"/>
    </row>
    <row r="273" spans="1:23" s="830" customFormat="1" ht="19.5" customHeight="1">
      <c r="A273" s="1006"/>
      <c r="B273" s="1009"/>
      <c r="C273" s="1007"/>
      <c r="D273" s="868">
        <v>2</v>
      </c>
      <c r="E273" s="869" t="e">
        <f t="shared" ref="E273:R273" si="48">E237+E$264+E$266+E$268</f>
        <v>#VALUE!</v>
      </c>
      <c r="F273" s="849">
        <f t="shared" si="48"/>
        <v>0</v>
      </c>
      <c r="G273" s="849">
        <f t="shared" si="48"/>
        <v>0</v>
      </c>
      <c r="H273" s="849">
        <f t="shared" si="48"/>
        <v>231.93814358974365</v>
      </c>
      <c r="I273" s="849">
        <f t="shared" si="48"/>
        <v>360.06000000000006</v>
      </c>
      <c r="J273" s="849">
        <f t="shared" si="48"/>
        <v>5.0177777777777779</v>
      </c>
      <c r="K273" s="849">
        <f t="shared" si="48"/>
        <v>7.2519999999999998</v>
      </c>
      <c r="L273" s="849" t="e">
        <f t="shared" si="48"/>
        <v>#VALUE!</v>
      </c>
      <c r="M273" s="849" t="e">
        <f t="shared" si="48"/>
        <v>#VALUE!</v>
      </c>
      <c r="N273" s="849" t="e">
        <f t="shared" si="48"/>
        <v>#VALUE!</v>
      </c>
      <c r="O273" s="849"/>
      <c r="P273" s="849">
        <f t="shared" si="48"/>
        <v>456.45758547008546</v>
      </c>
      <c r="Q273" s="870">
        <f t="shared" si="48"/>
        <v>367.99358974358972</v>
      </c>
      <c r="R273" s="870">
        <f t="shared" si="48"/>
        <v>88.463995726495739</v>
      </c>
      <c r="S273" s="870"/>
      <c r="T273" s="849" t="e">
        <f>'[1]IV. DONGIA CHỈNH LÝ'!N269</f>
        <v>#VALUE!</v>
      </c>
      <c r="U273" s="849" t="e">
        <f t="shared" si="44"/>
        <v>#VALUE!</v>
      </c>
      <c r="W273" s="854"/>
    </row>
    <row r="274" spans="1:23" s="830" customFormat="1" ht="19.5" customHeight="1">
      <c r="A274" s="1006"/>
      <c r="B274" s="1009"/>
      <c r="C274" s="1007"/>
      <c r="D274" s="868">
        <v>3</v>
      </c>
      <c r="E274" s="869" t="e">
        <f t="shared" ref="E274:R274" si="49">E238+E$264+E$266+E$268</f>
        <v>#VALUE!</v>
      </c>
      <c r="F274" s="849">
        <f t="shared" si="49"/>
        <v>0</v>
      </c>
      <c r="G274" s="849">
        <f t="shared" si="49"/>
        <v>0</v>
      </c>
      <c r="H274" s="849">
        <f t="shared" si="49"/>
        <v>285.82474437321946</v>
      </c>
      <c r="I274" s="849">
        <f t="shared" si="49"/>
        <v>360.06000000000006</v>
      </c>
      <c r="J274" s="849">
        <f t="shared" si="49"/>
        <v>5.0177777777777779</v>
      </c>
      <c r="K274" s="849">
        <f t="shared" si="49"/>
        <v>7.2519999999999998</v>
      </c>
      <c r="L274" s="849" t="e">
        <f t="shared" si="49"/>
        <v>#VALUE!</v>
      </c>
      <c r="M274" s="849" t="e">
        <f t="shared" si="49"/>
        <v>#VALUE!</v>
      </c>
      <c r="N274" s="849" t="e">
        <f t="shared" si="49"/>
        <v>#VALUE!</v>
      </c>
      <c r="O274" s="849"/>
      <c r="P274" s="849">
        <f t="shared" si="49"/>
        <v>539.61997863247859</v>
      </c>
      <c r="Q274" s="870">
        <f t="shared" si="49"/>
        <v>434.52350427350427</v>
      </c>
      <c r="R274" s="870">
        <f t="shared" si="49"/>
        <v>105.09647435897438</v>
      </c>
      <c r="S274" s="870"/>
      <c r="T274" s="849" t="e">
        <f>'[1]IV. DONGIA CHỈNH LÝ'!N270</f>
        <v>#VALUE!</v>
      </c>
      <c r="U274" s="849" t="e">
        <f t="shared" si="44"/>
        <v>#VALUE!</v>
      </c>
      <c r="W274" s="854"/>
    </row>
    <row r="275" spans="1:23" s="830" customFormat="1" ht="19.5" customHeight="1">
      <c r="A275" s="1006"/>
      <c r="B275" s="1009"/>
      <c r="C275" s="1007"/>
      <c r="D275" s="868">
        <v>4</v>
      </c>
      <c r="E275" s="869" t="e">
        <f t="shared" ref="E275:R275" si="50">E239+E$264+E$266+E$268</f>
        <v>#VALUE!</v>
      </c>
      <c r="F275" s="849">
        <f t="shared" si="50"/>
        <v>0</v>
      </c>
      <c r="G275" s="849">
        <f t="shared" si="50"/>
        <v>0</v>
      </c>
      <c r="H275" s="849">
        <f t="shared" si="50"/>
        <v>307.3793846866098</v>
      </c>
      <c r="I275" s="849">
        <f t="shared" si="50"/>
        <v>360.06000000000006</v>
      </c>
      <c r="J275" s="849">
        <f t="shared" si="50"/>
        <v>5.0177777777777779</v>
      </c>
      <c r="K275" s="849">
        <f t="shared" si="50"/>
        <v>7.2519999999999998</v>
      </c>
      <c r="L275" s="849" t="e">
        <f t="shared" si="50"/>
        <v>#VALUE!</v>
      </c>
      <c r="M275" s="849" t="e">
        <f t="shared" si="50"/>
        <v>#VALUE!</v>
      </c>
      <c r="N275" s="849" t="e">
        <f t="shared" si="50"/>
        <v>#VALUE!</v>
      </c>
      <c r="O275" s="849"/>
      <c r="P275" s="849">
        <f t="shared" si="50"/>
        <v>639.4148504273503</v>
      </c>
      <c r="Q275" s="870">
        <f t="shared" si="50"/>
        <v>514.35940170940171</v>
      </c>
      <c r="R275" s="870">
        <f t="shared" si="50"/>
        <v>125.05544871794874</v>
      </c>
      <c r="S275" s="870"/>
      <c r="T275" s="849" t="e">
        <f>'[1]IV. DONGIA CHỈNH LÝ'!N271</f>
        <v>#VALUE!</v>
      </c>
      <c r="U275" s="849" t="e">
        <f t="shared" si="44"/>
        <v>#VALUE!</v>
      </c>
      <c r="W275" s="854"/>
    </row>
    <row r="276" spans="1:23" s="830" customFormat="1" ht="19.5" customHeight="1">
      <c r="A276" s="1006"/>
      <c r="B276" s="1009"/>
      <c r="C276" s="1007"/>
      <c r="D276" s="868"/>
      <c r="E276" s="869"/>
      <c r="F276" s="849"/>
      <c r="G276" s="849"/>
      <c r="H276" s="849"/>
      <c r="I276" s="849"/>
      <c r="J276" s="849"/>
      <c r="K276" s="849"/>
      <c r="L276" s="849"/>
      <c r="M276" s="849"/>
      <c r="N276" s="849"/>
      <c r="O276" s="849">
        <v>0</v>
      </c>
      <c r="P276" s="849"/>
      <c r="Q276" s="872"/>
      <c r="R276" s="872"/>
      <c r="S276" s="873"/>
      <c r="T276" s="849">
        <f>'[1]IV. DONGIA CHỈNH LÝ'!N272</f>
        <v>0</v>
      </c>
      <c r="U276" s="849">
        <f t="shared" si="44"/>
        <v>0</v>
      </c>
      <c r="W276" s="854"/>
    </row>
    <row r="277" spans="1:23" s="830" customFormat="1" ht="19.5" customHeight="1">
      <c r="A277" s="1006" t="s">
        <v>4</v>
      </c>
      <c r="B277" s="1009" t="s">
        <v>516</v>
      </c>
      <c r="C277" s="1007" t="s">
        <v>278</v>
      </c>
      <c r="D277" s="868">
        <v>1</v>
      </c>
      <c r="E277" s="869" t="e">
        <f t="shared" ref="E277:R277" si="51">E241++E246+E254+E$259+E$262</f>
        <v>#VALUE!</v>
      </c>
      <c r="F277" s="849">
        <f t="shared" si="51"/>
        <v>10951.6</v>
      </c>
      <c r="G277" s="849">
        <f t="shared" si="51"/>
        <v>0</v>
      </c>
      <c r="H277" s="849">
        <f t="shared" si="51"/>
        <v>1271.4199596089741</v>
      </c>
      <c r="I277" s="849">
        <f t="shared" si="51"/>
        <v>7439.588099999999</v>
      </c>
      <c r="J277" s="849">
        <f t="shared" si="51"/>
        <v>4608.2348000000002</v>
      </c>
      <c r="K277" s="849">
        <f t="shared" si="51"/>
        <v>539.7041999999999</v>
      </c>
      <c r="L277" s="849" t="e">
        <f t="shared" si="51"/>
        <v>#VALUE!</v>
      </c>
      <c r="M277" s="849" t="e">
        <f t="shared" si="51"/>
        <v>#VALUE!</v>
      </c>
      <c r="N277" s="849" t="e">
        <f t="shared" si="51"/>
        <v>#VALUE!</v>
      </c>
      <c r="O277" s="849">
        <v>1672.0000000000291</v>
      </c>
      <c r="P277" s="849">
        <f t="shared" si="51"/>
        <v>4779.9961538461539</v>
      </c>
      <c r="Q277" s="898">
        <f t="shared" si="51"/>
        <v>3859.9230769230767</v>
      </c>
      <c r="R277" s="899">
        <f t="shared" si="51"/>
        <v>920.073076923077</v>
      </c>
      <c r="S277" s="899"/>
      <c r="T277" s="849" t="e">
        <f>'[1]IV. DONGIA CHỈNH LÝ'!N273</f>
        <v>#VALUE!</v>
      </c>
      <c r="U277" s="849" t="e">
        <f t="shared" si="44"/>
        <v>#VALUE!</v>
      </c>
      <c r="W277" s="854"/>
    </row>
    <row r="278" spans="1:23" s="830" customFormat="1" ht="19.5" customHeight="1">
      <c r="A278" s="1006"/>
      <c r="B278" s="1009"/>
      <c r="C278" s="1007"/>
      <c r="D278" s="868">
        <v>2</v>
      </c>
      <c r="E278" s="869" t="e">
        <f t="shared" ref="E278:R278" si="52">E242++E247+E255+E$259+E$262</f>
        <v>#VALUE!</v>
      </c>
      <c r="F278" s="849">
        <f t="shared" si="52"/>
        <v>13139.3</v>
      </c>
      <c r="G278" s="849">
        <f t="shared" si="52"/>
        <v>0</v>
      </c>
      <c r="H278" s="849">
        <f t="shared" si="52"/>
        <v>1543.1255828445508</v>
      </c>
      <c r="I278" s="849">
        <f t="shared" si="52"/>
        <v>7439.588099999999</v>
      </c>
      <c r="J278" s="849">
        <f t="shared" si="52"/>
        <v>5277.2064</v>
      </c>
      <c r="K278" s="849">
        <f t="shared" si="52"/>
        <v>558.97379999999998</v>
      </c>
      <c r="L278" s="849" t="e">
        <f t="shared" si="52"/>
        <v>#VALUE!</v>
      </c>
      <c r="M278" s="849" t="e">
        <f t="shared" si="52"/>
        <v>#VALUE!</v>
      </c>
      <c r="N278" s="849" t="e">
        <f t="shared" si="52"/>
        <v>#VALUE!</v>
      </c>
      <c r="O278" s="849">
        <v>2006</v>
      </c>
      <c r="P278" s="849">
        <f t="shared" si="52"/>
        <v>5645.7255769230778</v>
      </c>
      <c r="Q278" s="898">
        <f t="shared" si="52"/>
        <v>4554.3884615384613</v>
      </c>
      <c r="R278" s="899">
        <f t="shared" si="52"/>
        <v>1091.3371153846156</v>
      </c>
      <c r="S278" s="899"/>
      <c r="T278" s="849" t="e">
        <f>'[1]IV. DONGIA CHỈNH LÝ'!N274</f>
        <v>#VALUE!</v>
      </c>
      <c r="U278" s="849" t="e">
        <f t="shared" si="44"/>
        <v>#VALUE!</v>
      </c>
      <c r="W278" s="854"/>
    </row>
    <row r="279" spans="1:23" s="830" customFormat="1" ht="19.5" customHeight="1">
      <c r="A279" s="1006"/>
      <c r="B279" s="1009"/>
      <c r="C279" s="1007"/>
      <c r="D279" s="868">
        <v>3</v>
      </c>
      <c r="E279" s="869" t="e">
        <f t="shared" ref="E279:R279" si="53">E243++E248+E256+E$259+E$262</f>
        <v>#VALUE!</v>
      </c>
      <c r="F279" s="849">
        <f t="shared" si="53"/>
        <v>15759.3</v>
      </c>
      <c r="G279" s="849">
        <f t="shared" si="53"/>
        <v>0</v>
      </c>
      <c r="H279" s="849">
        <f t="shared" si="53"/>
        <v>1995.968288237179</v>
      </c>
      <c r="I279" s="849">
        <f t="shared" si="53"/>
        <v>7439.588099999999</v>
      </c>
      <c r="J279" s="849">
        <f t="shared" si="53"/>
        <v>6957.9879999999994</v>
      </c>
      <c r="K279" s="849">
        <f t="shared" si="53"/>
        <v>609.16800000000001</v>
      </c>
      <c r="L279" s="849" t="e">
        <f t="shared" si="53"/>
        <v>#VALUE!</v>
      </c>
      <c r="M279" s="849" t="e">
        <f t="shared" si="53"/>
        <v>#VALUE!</v>
      </c>
      <c r="N279" s="849" t="e">
        <f t="shared" si="53"/>
        <v>#VALUE!</v>
      </c>
      <c r="O279" s="849">
        <v>2406.0000000000582</v>
      </c>
      <c r="P279" s="849">
        <f t="shared" si="53"/>
        <v>6774.6728846153856</v>
      </c>
      <c r="Q279" s="898">
        <f t="shared" si="53"/>
        <v>5462.165384615384</v>
      </c>
      <c r="R279" s="899">
        <f t="shared" si="53"/>
        <v>1312.5075000000002</v>
      </c>
      <c r="S279" s="899"/>
      <c r="T279" s="849" t="e">
        <f>'[1]IV. DONGIA CHỈNH LÝ'!N275</f>
        <v>#VALUE!</v>
      </c>
      <c r="U279" s="849" t="e">
        <f t="shared" si="44"/>
        <v>#VALUE!</v>
      </c>
      <c r="W279" s="854"/>
    </row>
    <row r="280" spans="1:23" s="830" customFormat="1" ht="19.5" customHeight="1">
      <c r="A280" s="1006"/>
      <c r="B280" s="1009"/>
      <c r="C280" s="1007"/>
      <c r="D280" s="868">
        <v>4</v>
      </c>
      <c r="E280" s="869" t="e">
        <f t="shared" ref="E280:R280" si="54">E244++E249+E257+E$259+E$262</f>
        <v>#VALUE!</v>
      </c>
      <c r="F280" s="849">
        <f t="shared" si="54"/>
        <v>18916.400000000001</v>
      </c>
      <c r="G280" s="849">
        <f t="shared" si="54"/>
        <v>0</v>
      </c>
      <c r="H280" s="849">
        <f t="shared" si="54"/>
        <v>2177.1053703942307</v>
      </c>
      <c r="I280" s="849">
        <f t="shared" si="54"/>
        <v>7439.588099999999</v>
      </c>
      <c r="J280" s="849">
        <f t="shared" si="54"/>
        <v>7639.9379999999992</v>
      </c>
      <c r="K280" s="849">
        <f t="shared" si="54"/>
        <v>628.28219999999999</v>
      </c>
      <c r="L280" s="849" t="e">
        <f t="shared" si="54"/>
        <v>#VALUE!</v>
      </c>
      <c r="M280" s="849" t="e">
        <f t="shared" si="54"/>
        <v>#VALUE!</v>
      </c>
      <c r="N280" s="849" t="e">
        <f t="shared" si="54"/>
        <v>#VALUE!</v>
      </c>
      <c r="O280" s="849">
        <v>2888</v>
      </c>
      <c r="P280" s="849">
        <f t="shared" si="54"/>
        <v>7991.2436538461543</v>
      </c>
      <c r="Q280" s="874">
        <f t="shared" si="54"/>
        <v>6437.3038461538463</v>
      </c>
      <c r="R280" s="900">
        <f t="shared" si="54"/>
        <v>1553.9398076923078</v>
      </c>
      <c r="S280" s="900"/>
      <c r="T280" s="849" t="e">
        <f>'[1]IV. DONGIA CHỈNH LÝ'!N276</f>
        <v>#VALUE!</v>
      </c>
      <c r="U280" s="849" t="e">
        <f t="shared" si="44"/>
        <v>#VALUE!</v>
      </c>
      <c r="W280" s="854"/>
    </row>
    <row r="281" spans="1:23" s="830" customFormat="1" ht="22.15" customHeight="1">
      <c r="A281" s="910"/>
      <c r="B281" s="910"/>
      <c r="C281" s="910"/>
      <c r="D281" s="911"/>
      <c r="E281" s="912"/>
      <c r="F281" s="913"/>
      <c r="G281" s="913"/>
      <c r="H281" s="913"/>
      <c r="I281" s="913"/>
      <c r="J281" s="913"/>
      <c r="K281" s="913"/>
      <c r="L281" s="913"/>
      <c r="M281" s="913"/>
      <c r="N281" s="913"/>
      <c r="O281" s="913"/>
      <c r="P281" s="894"/>
      <c r="Q281" s="894"/>
      <c r="R281" s="894"/>
      <c r="S281" s="895"/>
      <c r="T281" s="849">
        <f>'[1]IV. DONGIA CHỈNH LÝ'!N277</f>
        <v>0</v>
      </c>
      <c r="U281" s="849">
        <f t="shared" si="44"/>
        <v>0</v>
      </c>
      <c r="W281" s="854"/>
    </row>
    <row r="282" spans="1:23" s="830" customFormat="1" ht="24.75" customHeight="1">
      <c r="A282" s="999" t="s">
        <v>522</v>
      </c>
      <c r="B282" s="999"/>
      <c r="C282" s="999"/>
      <c r="D282" s="999"/>
      <c r="E282" s="999"/>
      <c r="F282" s="999"/>
      <c r="G282" s="999"/>
      <c r="H282" s="999"/>
      <c r="I282" s="999"/>
      <c r="J282" s="999"/>
      <c r="K282" s="999"/>
      <c r="L282" s="999"/>
      <c r="M282" s="999"/>
      <c r="N282" s="999"/>
      <c r="O282" s="999"/>
      <c r="P282" s="999"/>
      <c r="Q282" s="907"/>
      <c r="R282" s="905"/>
      <c r="S282" s="906"/>
      <c r="T282" s="849">
        <f>'[1]IV. DONGIA CHỈNH LÝ'!N278</f>
        <v>0</v>
      </c>
      <c r="U282" s="849">
        <f t="shared" si="44"/>
        <v>0</v>
      </c>
      <c r="W282" s="854"/>
    </row>
    <row r="283" spans="1:23" s="830" customFormat="1" ht="12.75">
      <c r="A283" s="1001" t="s">
        <v>574</v>
      </c>
      <c r="B283" s="1001"/>
      <c r="C283" s="1001"/>
      <c r="D283" s="1001"/>
      <c r="E283" s="1001"/>
      <c r="F283" s="1001"/>
      <c r="G283" s="1001"/>
      <c r="H283" s="1001"/>
      <c r="I283" s="1001"/>
      <c r="J283" s="1001"/>
      <c r="K283" s="1001"/>
      <c r="L283" s="1001"/>
      <c r="M283" s="1001"/>
      <c r="N283" s="1001"/>
      <c r="O283" s="1001"/>
      <c r="P283" s="1001"/>
      <c r="Q283" s="907"/>
      <c r="R283" s="905"/>
      <c r="S283" s="906"/>
      <c r="T283" s="849"/>
      <c r="U283" s="849"/>
      <c r="W283" s="854"/>
    </row>
    <row r="284" spans="1:23" s="830" customFormat="1" ht="16.5" customHeight="1">
      <c r="A284" s="718"/>
      <c r="B284" s="882"/>
      <c r="C284" s="883"/>
      <c r="D284" s="884"/>
      <c r="E284" s="885"/>
      <c r="F284" s="886"/>
      <c r="G284" s="886"/>
      <c r="H284" s="886"/>
      <c r="I284" s="886"/>
      <c r="J284" s="886"/>
      <c r="K284" s="886"/>
      <c r="L284" s="886"/>
      <c r="M284" s="887"/>
      <c r="N284" s="1008" t="s">
        <v>428</v>
      </c>
      <c r="O284" s="1008"/>
      <c r="P284" s="1008"/>
      <c r="Q284" s="879"/>
      <c r="R284" s="915"/>
      <c r="S284" s="916"/>
      <c r="T284" s="849"/>
      <c r="U284" s="849"/>
      <c r="W284" s="854"/>
    </row>
    <row r="285" spans="1:23" s="830" customFormat="1" ht="30" customHeight="1">
      <c r="A285" s="1004" t="s">
        <v>376</v>
      </c>
      <c r="B285" s="1013" t="s">
        <v>377</v>
      </c>
      <c r="C285" s="1002" t="s">
        <v>378</v>
      </c>
      <c r="D285" s="1004" t="s">
        <v>91</v>
      </c>
      <c r="E285" s="1010" t="s">
        <v>368</v>
      </c>
      <c r="F285" s="1011"/>
      <c r="G285" s="1011"/>
      <c r="H285" s="1011"/>
      <c r="I285" s="1011"/>
      <c r="J285" s="1011"/>
      <c r="K285" s="1011"/>
      <c r="L285" s="1012"/>
      <c r="M285" s="1002" t="s">
        <v>427</v>
      </c>
      <c r="N285" s="1002" t="s">
        <v>379</v>
      </c>
      <c r="O285" s="1002" t="s">
        <v>562</v>
      </c>
      <c r="P285" s="827" t="s">
        <v>18</v>
      </c>
      <c r="Q285" s="828" t="s">
        <v>19</v>
      </c>
      <c r="R285" s="828" t="s">
        <v>19</v>
      </c>
      <c r="S285" s="829" t="s">
        <v>16</v>
      </c>
      <c r="T285" s="849"/>
      <c r="U285" s="849"/>
      <c r="W285" s="854"/>
    </row>
    <row r="286" spans="1:23" s="830" customFormat="1" ht="26.25" customHeight="1">
      <c r="A286" s="1005"/>
      <c r="B286" s="1014"/>
      <c r="C286" s="1003"/>
      <c r="D286" s="1005"/>
      <c r="E286" s="832" t="s">
        <v>369</v>
      </c>
      <c r="F286" s="831" t="s">
        <v>370</v>
      </c>
      <c r="G286" s="833">
        <v>0</v>
      </c>
      <c r="H286" s="831" t="s">
        <v>257</v>
      </c>
      <c r="I286" s="831" t="s">
        <v>280</v>
      </c>
      <c r="J286" s="831" t="s">
        <v>261</v>
      </c>
      <c r="K286" s="831" t="s">
        <v>371</v>
      </c>
      <c r="L286" s="831" t="s">
        <v>372</v>
      </c>
      <c r="M286" s="1003"/>
      <c r="N286" s="1003"/>
      <c r="O286" s="1003"/>
      <c r="P286" s="939" t="s">
        <v>20</v>
      </c>
      <c r="Q286" s="834" t="s">
        <v>21</v>
      </c>
      <c r="R286" s="834" t="s">
        <v>22</v>
      </c>
      <c r="S286" s="835" t="s">
        <v>17</v>
      </c>
      <c r="T286" s="849">
        <f>'[1]IV. DONGIA CHỈNH LÝ'!N281</f>
        <v>0</v>
      </c>
      <c r="U286" s="849"/>
      <c r="W286" s="854"/>
    </row>
    <row r="287" spans="1:23" s="830" customFormat="1" ht="14.25" customHeight="1">
      <c r="A287" s="331" t="s">
        <v>52</v>
      </c>
      <c r="B287" s="586" t="s">
        <v>53</v>
      </c>
      <c r="C287" s="586" t="s">
        <v>54</v>
      </c>
      <c r="D287" s="331" t="s">
        <v>55</v>
      </c>
      <c r="E287" s="332" t="s">
        <v>56</v>
      </c>
      <c r="F287" s="332" t="s">
        <v>57</v>
      </c>
      <c r="G287" s="332"/>
      <c r="H287" s="332" t="s">
        <v>58</v>
      </c>
      <c r="I287" s="332" t="s">
        <v>59</v>
      </c>
      <c r="J287" s="332" t="s">
        <v>60</v>
      </c>
      <c r="K287" s="332" t="s">
        <v>61</v>
      </c>
      <c r="L287" s="334" t="s">
        <v>373</v>
      </c>
      <c r="M287" s="334" t="s">
        <v>374</v>
      </c>
      <c r="N287" s="334" t="s">
        <v>375</v>
      </c>
      <c r="O287" s="332" t="s">
        <v>62</v>
      </c>
      <c r="P287" s="332" t="s">
        <v>561</v>
      </c>
      <c r="Q287" s="890"/>
      <c r="R287" s="890"/>
      <c r="S287" s="891"/>
      <c r="T287" s="849" t="str">
        <f>'[1]IV. DONGIA CHỈNH LÝ'!N282</f>
        <v xml:space="preserve"> (9)=(7)+(8) </v>
      </c>
      <c r="U287" s="849"/>
      <c r="W287" s="854"/>
    </row>
    <row r="288" spans="1:23" s="830" customFormat="1" ht="19.5" customHeight="1">
      <c r="A288" s="841" t="s">
        <v>3</v>
      </c>
      <c r="B288" s="842" t="s">
        <v>380</v>
      </c>
      <c r="C288" s="586"/>
      <c r="D288" s="331"/>
      <c r="E288" s="843"/>
      <c r="F288" s="334"/>
      <c r="G288" s="334"/>
      <c r="H288" s="334"/>
      <c r="I288" s="334"/>
      <c r="J288" s="334"/>
      <c r="K288" s="334"/>
      <c r="L288" s="334"/>
      <c r="M288" s="334"/>
      <c r="N288" s="334"/>
      <c r="O288" s="334"/>
      <c r="P288" s="844"/>
      <c r="Q288" s="845"/>
      <c r="R288" s="846"/>
      <c r="S288" s="847"/>
      <c r="T288" s="849">
        <f>'[1]IV. DONGIA CHỈNH LÝ'!N283</f>
        <v>0</v>
      </c>
      <c r="U288" s="849">
        <f t="shared" ref="U288:U333" si="55">T288-N288</f>
        <v>0</v>
      </c>
      <c r="W288" s="854"/>
    </row>
    <row r="289" spans="1:23" s="830" customFormat="1" ht="19.5" customHeight="1">
      <c r="A289" s="331" t="s">
        <v>9</v>
      </c>
      <c r="B289" s="848" t="s">
        <v>73</v>
      </c>
      <c r="C289" s="586" t="s">
        <v>1</v>
      </c>
      <c r="D289" s="331" t="s">
        <v>9</v>
      </c>
      <c r="E289" s="843" t="e">
        <f>'NC-CLBD'!Q5/3600</f>
        <v>#VALUE!</v>
      </c>
      <c r="F289" s="826"/>
      <c r="G289" s="826">
        <f t="shared" ref="G289:G304" si="56">$R$1*10*Q289</f>
        <v>0</v>
      </c>
      <c r="H289" s="826">
        <f>'DCu-CLBD'!R23</f>
        <v>48.497940705128194</v>
      </c>
      <c r="I289" s="826">
        <f>'VL-CLBD'!P16</f>
        <v>20.85</v>
      </c>
      <c r="J289" s="826"/>
      <c r="K289" s="826"/>
      <c r="L289" s="826" t="e">
        <f>SUM(E289:K289)</f>
        <v>#VALUE!</v>
      </c>
      <c r="M289" s="826" t="e">
        <f>L289*'He so chung'!$D$16/100</f>
        <v>#VALUE!</v>
      </c>
      <c r="N289" s="849" t="e">
        <f>M289+L289</f>
        <v>#VALUE!</v>
      </c>
      <c r="O289" s="849"/>
      <c r="P289" s="850">
        <f>'He so chung'!$D$18*S289</f>
        <v>129.94123931623932</v>
      </c>
      <c r="Q289" s="851">
        <f>'He so chung'!$D$19*S289</f>
        <v>103.95299145299144</v>
      </c>
      <c r="R289" s="852">
        <f>'He so chung'!$D$20*S289</f>
        <v>25.988247863247867</v>
      </c>
      <c r="S289" s="853">
        <f>'NC-CLBD'!P5/3600</f>
        <v>1.9444444444444445E-2</v>
      </c>
      <c r="T289" s="849" t="e">
        <f>'[1]IV. DONGIA CHỈNH LÝ'!N284</f>
        <v>#VALUE!</v>
      </c>
      <c r="U289" s="849" t="e">
        <f t="shared" si="55"/>
        <v>#VALUE!</v>
      </c>
      <c r="W289" s="854"/>
    </row>
    <row r="290" spans="1:23" s="830" customFormat="1" ht="19.5" customHeight="1">
      <c r="A290" s="848"/>
      <c r="B290" s="848"/>
      <c r="C290" s="586"/>
      <c r="D290" s="331" t="s">
        <v>10</v>
      </c>
      <c r="E290" s="843" t="e">
        <f>'NC-CLBD'!Q7/3600</f>
        <v>#VALUE!</v>
      </c>
      <c r="F290" s="826"/>
      <c r="G290" s="826">
        <f t="shared" si="56"/>
        <v>0</v>
      </c>
      <c r="H290" s="826">
        <f>'DCu-CLBD'!R24</f>
        <v>60.622425881410251</v>
      </c>
      <c r="I290" s="826">
        <f>I289</f>
        <v>20.85</v>
      </c>
      <c r="J290" s="826"/>
      <c r="K290" s="826"/>
      <c r="L290" s="826" t="e">
        <f>SUM(E290:K290)</f>
        <v>#VALUE!</v>
      </c>
      <c r="M290" s="826" t="e">
        <f>L290*'He so chung'!$D$16/100</f>
        <v>#VALUE!</v>
      </c>
      <c r="N290" s="849" t="e">
        <f>M290+L290</f>
        <v>#VALUE!</v>
      </c>
      <c r="O290" s="849"/>
      <c r="P290" s="850">
        <f>'He so chung'!$D$18*S290</f>
        <v>155.92948717948718</v>
      </c>
      <c r="Q290" s="851">
        <f>'He so chung'!$D$19*S290</f>
        <v>124.74358974358974</v>
      </c>
      <c r="R290" s="852">
        <f>'He so chung'!$D$20*S290</f>
        <v>31.185897435897441</v>
      </c>
      <c r="S290" s="853">
        <f>'NC-CLBD'!P7/3600</f>
        <v>2.3333333333333334E-2</v>
      </c>
      <c r="T290" s="849" t="e">
        <f>'[1]IV. DONGIA CHỈNH LÝ'!N285</f>
        <v>#VALUE!</v>
      </c>
      <c r="U290" s="849" t="e">
        <f t="shared" si="55"/>
        <v>#VALUE!</v>
      </c>
      <c r="W290" s="854"/>
    </row>
    <row r="291" spans="1:23" s="830" customFormat="1" ht="19.5" customHeight="1">
      <c r="A291" s="331"/>
      <c r="B291" s="848"/>
      <c r="C291" s="586"/>
      <c r="D291" s="331" t="s">
        <v>11</v>
      </c>
      <c r="E291" s="843" t="e">
        <f>'NC-CLBD'!Q9/3600</f>
        <v>#VALUE!</v>
      </c>
      <c r="F291" s="826"/>
      <c r="G291" s="826">
        <f t="shared" si="56"/>
        <v>0</v>
      </c>
      <c r="H291" s="826">
        <f>'DCu-CLBD'!R25</f>
        <v>80.829901175213664</v>
      </c>
      <c r="I291" s="826">
        <f>I290</f>
        <v>20.85</v>
      </c>
      <c r="J291" s="826"/>
      <c r="K291" s="826"/>
      <c r="L291" s="826" t="e">
        <f>SUM(E291:K291)</f>
        <v>#VALUE!</v>
      </c>
      <c r="M291" s="826" t="e">
        <f>L291*'He so chung'!$D$16/100</f>
        <v>#VALUE!</v>
      </c>
      <c r="N291" s="849" t="e">
        <f>M291+L291</f>
        <v>#VALUE!</v>
      </c>
      <c r="O291" s="849"/>
      <c r="P291" s="850">
        <f>'He so chung'!$D$18*S291</f>
        <v>187.11538461538461</v>
      </c>
      <c r="Q291" s="851">
        <f>'He so chung'!$D$19*S291</f>
        <v>149.69230769230768</v>
      </c>
      <c r="R291" s="852">
        <f>'He so chung'!$D$20*S291</f>
        <v>37.423076923076927</v>
      </c>
      <c r="S291" s="853">
        <f>'NC-CLBD'!P9/3600</f>
        <v>2.8000000000000001E-2</v>
      </c>
      <c r="T291" s="849" t="e">
        <f>'[1]IV. DONGIA CHỈNH LÝ'!N286</f>
        <v>#VALUE!</v>
      </c>
      <c r="U291" s="849" t="e">
        <f t="shared" si="55"/>
        <v>#VALUE!</v>
      </c>
      <c r="W291" s="854"/>
    </row>
    <row r="292" spans="1:23" s="830" customFormat="1" ht="19.5" customHeight="1">
      <c r="A292" s="331"/>
      <c r="B292" s="848"/>
      <c r="C292" s="586"/>
      <c r="D292" s="331" t="s">
        <v>12</v>
      </c>
      <c r="E292" s="843" t="e">
        <f>'NC-CLBD'!Q11/3600</f>
        <v>#VALUE!</v>
      </c>
      <c r="F292" s="826"/>
      <c r="G292" s="826">
        <f t="shared" si="56"/>
        <v>0</v>
      </c>
      <c r="H292" s="826">
        <f>'DCu-CLBD'!R26</f>
        <v>88.91289129273504</v>
      </c>
      <c r="I292" s="826">
        <f>I291</f>
        <v>20.85</v>
      </c>
      <c r="J292" s="826"/>
      <c r="K292" s="826"/>
      <c r="L292" s="826" t="e">
        <f>SUM(E292:K292)</f>
        <v>#VALUE!</v>
      </c>
      <c r="M292" s="826" t="e">
        <f>L292*'He so chung'!$D$16/100</f>
        <v>#VALUE!</v>
      </c>
      <c r="N292" s="849" t="e">
        <f>M292+L292</f>
        <v>#VALUE!</v>
      </c>
      <c r="O292" s="849"/>
      <c r="P292" s="850">
        <f>'He so chung'!$D$18*S292</f>
        <v>224.53846153846152</v>
      </c>
      <c r="Q292" s="851">
        <f>'He so chung'!$D$19*S292</f>
        <v>179.6307692307692</v>
      </c>
      <c r="R292" s="852">
        <f>'He so chung'!$D$20*S292</f>
        <v>44.907692307692308</v>
      </c>
      <c r="S292" s="853">
        <f>'NC-CLBD'!P11/3600</f>
        <v>3.3599999999999998E-2</v>
      </c>
      <c r="T292" s="849" t="e">
        <f>'[1]IV. DONGIA CHỈNH LÝ'!N287</f>
        <v>#VALUE!</v>
      </c>
      <c r="U292" s="849" t="e">
        <f t="shared" si="55"/>
        <v>#VALUE!</v>
      </c>
      <c r="W292" s="854"/>
    </row>
    <row r="293" spans="1:23" s="830" customFormat="1" ht="19.5" customHeight="1">
      <c r="A293" s="331"/>
      <c r="B293" s="848"/>
      <c r="C293" s="848"/>
      <c r="D293" s="331"/>
      <c r="E293" s="843"/>
      <c r="F293" s="826"/>
      <c r="G293" s="826">
        <f t="shared" si="56"/>
        <v>0</v>
      </c>
      <c r="H293" s="826"/>
      <c r="I293" s="826"/>
      <c r="J293" s="826"/>
      <c r="K293" s="826"/>
      <c r="L293" s="826"/>
      <c r="M293" s="826"/>
      <c r="N293" s="849"/>
      <c r="O293" s="849"/>
      <c r="P293" s="850"/>
      <c r="Q293" s="851"/>
      <c r="R293" s="852"/>
      <c r="S293" s="853"/>
      <c r="T293" s="849">
        <f>'[1]IV. DONGIA CHỈNH LÝ'!N288</f>
        <v>0</v>
      </c>
      <c r="U293" s="849">
        <f t="shared" si="55"/>
        <v>0</v>
      </c>
      <c r="W293" s="854"/>
    </row>
    <row r="294" spans="1:23" s="830" customFormat="1" ht="19.5" customHeight="1">
      <c r="A294" s="331" t="s">
        <v>10</v>
      </c>
      <c r="B294" s="848" t="s">
        <v>381</v>
      </c>
      <c r="C294" s="586" t="s">
        <v>278</v>
      </c>
      <c r="D294" s="331" t="s">
        <v>9</v>
      </c>
      <c r="E294" s="843" t="e">
        <f>'NC-CLBD'!Q17/100</f>
        <v>#VALUE!</v>
      </c>
      <c r="F294" s="826"/>
      <c r="G294" s="826">
        <f t="shared" si="56"/>
        <v>0</v>
      </c>
      <c r="H294" s="826">
        <f>'DCu-CLBD'!R67</f>
        <v>128.9132451923077</v>
      </c>
      <c r="I294" s="826">
        <f>'VL-CLBD'!P45</f>
        <v>70.113600000000005</v>
      </c>
      <c r="J294" s="826">
        <f>'TBI-CLBD'!I44</f>
        <v>497.92</v>
      </c>
      <c r="K294" s="826">
        <f>'NL-CLBD'!F24</f>
        <v>2.4864000000000002</v>
      </c>
      <c r="L294" s="826" t="e">
        <f>SUM(E294:K294)</f>
        <v>#VALUE!</v>
      </c>
      <c r="M294" s="826" t="e">
        <f>L294*'He so chung'!$D$16/100</f>
        <v>#VALUE!</v>
      </c>
      <c r="N294" s="849" t="e">
        <f>M294+L294</f>
        <v>#VALUE!</v>
      </c>
      <c r="O294" s="849"/>
      <c r="P294" s="850">
        <f>'He so chung'!$D$18*S294</f>
        <v>541.29807692307702</v>
      </c>
      <c r="Q294" s="851">
        <f>'He so chung'!$D$19*S294</f>
        <v>433.0384615384616</v>
      </c>
      <c r="R294" s="852">
        <f>'He so chung'!$D$20*S294</f>
        <v>108.25961538461542</v>
      </c>
      <c r="S294" s="853">
        <f>'NC-CLBD'!P17/100</f>
        <v>8.1000000000000016E-2</v>
      </c>
      <c r="T294" s="849" t="e">
        <f>'[1]IV. DONGIA CHỈNH LÝ'!N289</f>
        <v>#VALUE!</v>
      </c>
      <c r="U294" s="849" t="e">
        <f t="shared" si="55"/>
        <v>#VALUE!</v>
      </c>
      <c r="W294" s="854"/>
    </row>
    <row r="295" spans="1:23" s="830" customFormat="1" ht="19.5" customHeight="1">
      <c r="A295" s="848"/>
      <c r="B295" s="848"/>
      <c r="C295" s="586"/>
      <c r="D295" s="331" t="s">
        <v>10</v>
      </c>
      <c r="E295" s="843" t="e">
        <f>'NC-CLBD'!Q19/100</f>
        <v>#VALUE!</v>
      </c>
      <c r="F295" s="826"/>
      <c r="G295" s="826">
        <f t="shared" si="56"/>
        <v>0</v>
      </c>
      <c r="H295" s="826">
        <f>'DCu-CLBD'!R68</f>
        <v>161.14155649038463</v>
      </c>
      <c r="I295" s="826">
        <f>I294</f>
        <v>70.113600000000005</v>
      </c>
      <c r="J295" s="826">
        <f>'TBI-CLBD'!K44</f>
        <v>565.91999999999996</v>
      </c>
      <c r="K295" s="826">
        <f>'NL-CLBD'!H24</f>
        <v>3.1080000000000001</v>
      </c>
      <c r="L295" s="826" t="e">
        <f>SUM(E295:K295)</f>
        <v>#VALUE!</v>
      </c>
      <c r="M295" s="826" t="e">
        <f>L295*'He so chung'!$D$16/100</f>
        <v>#VALUE!</v>
      </c>
      <c r="N295" s="849" t="e">
        <f>M295+L295</f>
        <v>#VALUE!</v>
      </c>
      <c r="O295" s="849"/>
      <c r="P295" s="850">
        <f>'He so chung'!$D$18*S295</f>
        <v>621.49038461538464</v>
      </c>
      <c r="Q295" s="851">
        <f>'He so chung'!$D$19*S295</f>
        <v>497.19230769230774</v>
      </c>
      <c r="R295" s="852">
        <f>'He so chung'!$D$20*S295</f>
        <v>124.29807692307695</v>
      </c>
      <c r="S295" s="853">
        <f>'NC-CLBD'!P19/100</f>
        <v>9.3000000000000013E-2</v>
      </c>
      <c r="T295" s="849" t="e">
        <f>'[1]IV. DONGIA CHỈNH LÝ'!N290</f>
        <v>#VALUE!</v>
      </c>
      <c r="U295" s="849" t="e">
        <f t="shared" si="55"/>
        <v>#VALUE!</v>
      </c>
      <c r="W295" s="854"/>
    </row>
    <row r="296" spans="1:23" s="830" customFormat="1" ht="19.5" customHeight="1">
      <c r="A296" s="331"/>
      <c r="B296" s="848"/>
      <c r="C296" s="586"/>
      <c r="D296" s="331" t="s">
        <v>11</v>
      </c>
      <c r="E296" s="843" t="e">
        <f>'NC-CLBD'!Q21/100</f>
        <v>#VALUE!</v>
      </c>
      <c r="F296" s="826"/>
      <c r="G296" s="826">
        <f t="shared" si="56"/>
        <v>0</v>
      </c>
      <c r="H296" s="826">
        <f>'DCu-CLBD'!R69</f>
        <v>214.85540865384618</v>
      </c>
      <c r="I296" s="826">
        <f>I295</f>
        <v>70.113600000000005</v>
      </c>
      <c r="J296" s="826">
        <f>'TBI-CLBD'!M44</f>
        <v>746.88</v>
      </c>
      <c r="K296" s="826">
        <f>'NL-CLBD'!J24</f>
        <v>3.5742000000000003</v>
      </c>
      <c r="L296" s="826" t="e">
        <f>SUM(E296:K296)</f>
        <v>#VALUE!</v>
      </c>
      <c r="M296" s="826" t="e">
        <f>L296*'He so chung'!$D$16/100</f>
        <v>#VALUE!</v>
      </c>
      <c r="N296" s="849" t="e">
        <f>M296+L296</f>
        <v>#VALUE!</v>
      </c>
      <c r="O296" s="849"/>
      <c r="P296" s="850">
        <f>'He so chung'!$D$18*S296</f>
        <v>828.65384615384619</v>
      </c>
      <c r="Q296" s="851">
        <f>'He so chung'!$D$19*S296</f>
        <v>662.92307692307691</v>
      </c>
      <c r="R296" s="852">
        <f>'He so chung'!$D$20*S296</f>
        <v>165.73076923076925</v>
      </c>
      <c r="S296" s="853">
        <f>'NC-CLBD'!P21/100</f>
        <v>0.124</v>
      </c>
      <c r="T296" s="849" t="e">
        <f>'[1]IV. DONGIA CHỈNH LÝ'!N291</f>
        <v>#VALUE!</v>
      </c>
      <c r="U296" s="849" t="e">
        <f t="shared" si="55"/>
        <v>#VALUE!</v>
      </c>
      <c r="W296" s="854"/>
    </row>
    <row r="297" spans="1:23" s="830" customFormat="1" ht="19.5" customHeight="1">
      <c r="A297" s="331"/>
      <c r="B297" s="848"/>
      <c r="C297" s="586"/>
      <c r="D297" s="331" t="s">
        <v>12</v>
      </c>
      <c r="E297" s="843" t="e">
        <f>'NC-CLBD'!Q23/100</f>
        <v>#VALUE!</v>
      </c>
      <c r="F297" s="826"/>
      <c r="G297" s="826">
        <f t="shared" si="56"/>
        <v>0</v>
      </c>
      <c r="H297" s="826">
        <f>'DCu-CLBD'!R70</f>
        <v>236.34094951923083</v>
      </c>
      <c r="I297" s="826">
        <f>I296</f>
        <v>70.113600000000005</v>
      </c>
      <c r="J297" s="826">
        <f>'TBI-CLBD'!O44</f>
        <v>828.24</v>
      </c>
      <c r="K297" s="826">
        <f>'NL-CLBD'!L24</f>
        <v>4.1958000000000002</v>
      </c>
      <c r="L297" s="826" t="e">
        <f>SUM(E297:K297)</f>
        <v>#VALUE!</v>
      </c>
      <c r="M297" s="826" t="e">
        <f>L297*'He so chung'!$D$16/100</f>
        <v>#VALUE!</v>
      </c>
      <c r="N297" s="849" t="e">
        <f>M297+L297</f>
        <v>#VALUE!</v>
      </c>
      <c r="O297" s="849"/>
      <c r="P297" s="850">
        <f>'He so chung'!$D$18*S297</f>
        <v>908.84615384615392</v>
      </c>
      <c r="Q297" s="851">
        <f>'He so chung'!$D$19*S297</f>
        <v>727.07692307692309</v>
      </c>
      <c r="R297" s="852">
        <f>'He so chung'!$D$20*S297</f>
        <v>181.7692307692308</v>
      </c>
      <c r="S297" s="853">
        <f>'NC-CLBD'!P23/100</f>
        <v>0.13600000000000001</v>
      </c>
      <c r="T297" s="849" t="e">
        <f>'[1]IV. DONGIA CHỈNH LÝ'!N292</f>
        <v>#VALUE!</v>
      </c>
      <c r="U297" s="849" t="e">
        <f t="shared" si="55"/>
        <v>#VALUE!</v>
      </c>
      <c r="W297" s="854"/>
    </row>
    <row r="298" spans="1:23" s="830" customFormat="1" ht="19.5" customHeight="1">
      <c r="A298" s="331"/>
      <c r="B298" s="848"/>
      <c r="C298" s="848"/>
      <c r="D298" s="331"/>
      <c r="E298" s="843"/>
      <c r="F298" s="826"/>
      <c r="G298" s="826">
        <f t="shared" si="56"/>
        <v>0</v>
      </c>
      <c r="H298" s="826"/>
      <c r="I298" s="826"/>
      <c r="J298" s="826"/>
      <c r="K298" s="826"/>
      <c r="L298" s="826"/>
      <c r="M298" s="826"/>
      <c r="N298" s="849"/>
      <c r="O298" s="849"/>
      <c r="P298" s="850"/>
      <c r="Q298" s="851"/>
      <c r="R298" s="852"/>
      <c r="S298" s="853"/>
      <c r="T298" s="849">
        <f>'[1]IV. DONGIA CHỈNH LÝ'!N293</f>
        <v>0</v>
      </c>
      <c r="U298" s="849">
        <f t="shared" si="55"/>
        <v>0</v>
      </c>
      <c r="W298" s="854"/>
    </row>
    <row r="299" spans="1:23" s="830" customFormat="1" ht="19.5" customHeight="1">
      <c r="A299" s="331" t="s">
        <v>11</v>
      </c>
      <c r="B299" s="848" t="s">
        <v>77</v>
      </c>
      <c r="C299" s="586" t="s">
        <v>278</v>
      </c>
      <c r="D299" s="331" t="s">
        <v>9</v>
      </c>
      <c r="E299" s="843" t="e">
        <f>'NC-CLBD'!Q28/100</f>
        <v>#VALUE!</v>
      </c>
      <c r="F299" s="826">
        <f>'NC-CLBD'!Q29/100</f>
        <v>21903.200000000001</v>
      </c>
      <c r="G299" s="826">
        <f t="shared" si="56"/>
        <v>0</v>
      </c>
      <c r="H299" s="826">
        <f>'DCu-CLBD'!R112</f>
        <v>1740.5675673076917</v>
      </c>
      <c r="I299" s="826">
        <f>'VL-CLBD'!P39</f>
        <v>1402.2720000000002</v>
      </c>
      <c r="J299" s="826">
        <f>'TBI-CLBD'!I94</f>
        <v>5991</v>
      </c>
      <c r="K299" s="826">
        <f>'NL-CLBD'!F48</f>
        <v>30.302999999999997</v>
      </c>
      <c r="L299" s="826" t="e">
        <f>SUM(E299:K299)</f>
        <v>#VALUE!</v>
      </c>
      <c r="M299" s="826" t="e">
        <f>L299*'He so chung'!$D$16/100</f>
        <v>#VALUE!</v>
      </c>
      <c r="N299" s="849" t="e">
        <f>M299+L299</f>
        <v>#VALUE!</v>
      </c>
      <c r="O299" s="849">
        <v>3344.0000000000582</v>
      </c>
      <c r="P299" s="850">
        <f>'He so chung'!$D$18*S299</f>
        <v>7985.8173076923076</v>
      </c>
      <c r="Q299" s="851">
        <f>'He so chung'!$D$19*S299</f>
        <v>6388.6538461538457</v>
      </c>
      <c r="R299" s="852">
        <f>'He so chung'!$D$20*S299</f>
        <v>1597.1634615384617</v>
      </c>
      <c r="S299" s="853">
        <f>'NC-CLBD'!P28/100</f>
        <v>1.1950000000000001</v>
      </c>
      <c r="T299" s="849" t="e">
        <f>'[1]IV. DONGIA CHỈNH LÝ'!N294</f>
        <v>#VALUE!</v>
      </c>
      <c r="U299" s="849" t="e">
        <f t="shared" si="55"/>
        <v>#VALUE!</v>
      </c>
      <c r="W299" s="854"/>
    </row>
    <row r="300" spans="1:23" s="830" customFormat="1" ht="19.5" customHeight="1">
      <c r="A300" s="331"/>
      <c r="B300" s="848"/>
      <c r="C300" s="586"/>
      <c r="D300" s="331" t="s">
        <v>10</v>
      </c>
      <c r="E300" s="843" t="e">
        <f>'NC-CLBD'!Q32/100</f>
        <v>#VALUE!</v>
      </c>
      <c r="F300" s="826">
        <f>'NC-CLBD'!Q33/100</f>
        <v>26265.5</v>
      </c>
      <c r="G300" s="826">
        <f t="shared" si="56"/>
        <v>0</v>
      </c>
      <c r="H300" s="826">
        <f>'DCu-CLBD'!R113</f>
        <v>2175.7094591346145</v>
      </c>
      <c r="I300" s="826">
        <f>I299</f>
        <v>1402.2720000000002</v>
      </c>
      <c r="J300" s="826">
        <f>'TBI-CLBD'!K94</f>
        <v>6909.96</v>
      </c>
      <c r="K300" s="826">
        <f>'NL-CLBD'!H48</f>
        <v>34.343400000000003</v>
      </c>
      <c r="L300" s="826" t="e">
        <f>SUM(E300:K300)</f>
        <v>#VALUE!</v>
      </c>
      <c r="M300" s="826" t="e">
        <f>L300*'He so chung'!$D$16/100</f>
        <v>#VALUE!</v>
      </c>
      <c r="N300" s="849" t="e">
        <f>M300+L300</f>
        <v>#VALUE!</v>
      </c>
      <c r="O300" s="849">
        <v>4010</v>
      </c>
      <c r="P300" s="850">
        <f>'He so chung'!$D$18*S300</f>
        <v>1916.5961538461538</v>
      </c>
      <c r="Q300" s="851">
        <f>'He so chung'!$D$19*S300</f>
        <v>1533.2769230769229</v>
      </c>
      <c r="R300" s="852">
        <f>'He so chung'!$D$20*S300</f>
        <v>383.31923076923078</v>
      </c>
      <c r="S300" s="853">
        <f>'NC-CLBD'!P32/100</f>
        <v>0.2868</v>
      </c>
      <c r="T300" s="849" t="e">
        <f>'[1]IV. DONGIA CHỈNH LÝ'!N295</f>
        <v>#VALUE!</v>
      </c>
      <c r="U300" s="849" t="e">
        <f t="shared" si="55"/>
        <v>#VALUE!</v>
      </c>
      <c r="W300" s="854"/>
    </row>
    <row r="301" spans="1:23" s="830" customFormat="1" ht="19.5" customHeight="1">
      <c r="A301" s="331"/>
      <c r="B301" s="848"/>
      <c r="C301" s="586"/>
      <c r="D301" s="331" t="s">
        <v>11</v>
      </c>
      <c r="E301" s="843" t="e">
        <f>'NC-CLBD'!Q36/100</f>
        <v>#VALUE!</v>
      </c>
      <c r="F301" s="826">
        <f>'NC-CLBD'!Q37/100</f>
        <v>31518.6</v>
      </c>
      <c r="G301" s="826">
        <f t="shared" si="56"/>
        <v>0</v>
      </c>
      <c r="H301" s="826">
        <f>'DCu-CLBD'!R114</f>
        <v>2900.9459455128194</v>
      </c>
      <c r="I301" s="826">
        <f>I300</f>
        <v>1402.2720000000002</v>
      </c>
      <c r="J301" s="826">
        <f>'TBI-CLBD'!M94</f>
        <v>9219.8799999999992</v>
      </c>
      <c r="K301" s="826">
        <f>'NL-CLBD'!J48</f>
        <v>46.464599999999997</v>
      </c>
      <c r="L301" s="826" t="e">
        <f>SUM(E301:K301)</f>
        <v>#VALUE!</v>
      </c>
      <c r="M301" s="826" t="e">
        <f>L301*'He so chung'!$D$16/100</f>
        <v>#VALUE!</v>
      </c>
      <c r="N301" s="849" t="e">
        <f>M301+L301</f>
        <v>#VALUE!</v>
      </c>
      <c r="O301" s="849">
        <v>4812.0000000001164</v>
      </c>
      <c r="P301" s="850">
        <f>'He so chung'!$D$18*S301</f>
        <v>11497.572115384615</v>
      </c>
      <c r="Q301" s="851">
        <f>'He so chung'!$D$19*S301</f>
        <v>9198.0576923076915</v>
      </c>
      <c r="R301" s="852">
        <f>'He so chung'!$D$20*S301</f>
        <v>2299.5144230769233</v>
      </c>
      <c r="S301" s="853">
        <f>'NC-CLBD'!P36/100</f>
        <v>1.7204999999999999</v>
      </c>
      <c r="T301" s="849" t="e">
        <f>'[1]IV. DONGIA CHỈNH LÝ'!N296</f>
        <v>#VALUE!</v>
      </c>
      <c r="U301" s="849" t="e">
        <f t="shared" si="55"/>
        <v>#VALUE!</v>
      </c>
      <c r="W301" s="854"/>
    </row>
    <row r="302" spans="1:23" s="830" customFormat="1" ht="19.5" customHeight="1">
      <c r="A302" s="331"/>
      <c r="B302" s="848"/>
      <c r="C302" s="586"/>
      <c r="D302" s="331" t="s">
        <v>12</v>
      </c>
      <c r="E302" s="843" t="e">
        <f>'NC-CLBD'!Q40/100</f>
        <v>#VALUE!</v>
      </c>
      <c r="F302" s="826">
        <f>'NC-CLBD'!Q41/100</f>
        <v>37832.800000000003</v>
      </c>
      <c r="G302" s="826">
        <f t="shared" si="56"/>
        <v>0</v>
      </c>
      <c r="H302" s="826">
        <f>'DCu-CLBD'!R115</f>
        <v>3191.0405400641016</v>
      </c>
      <c r="I302" s="826">
        <f>I301</f>
        <v>1402.2720000000002</v>
      </c>
      <c r="J302" s="826">
        <f>'TBI-CLBD'!O94</f>
        <v>10145.44</v>
      </c>
      <c r="K302" s="826">
        <f>'NL-CLBD'!L48</f>
        <v>50.505000000000003</v>
      </c>
      <c r="L302" s="826" t="e">
        <f>SUM(E302:K302)</f>
        <v>#VALUE!</v>
      </c>
      <c r="M302" s="826" t="e">
        <f>L302*'He so chung'!$D$16/100</f>
        <v>#VALUE!</v>
      </c>
      <c r="N302" s="849" t="e">
        <f>M302+L302</f>
        <v>#VALUE!</v>
      </c>
      <c r="O302" s="849">
        <v>5775.9999999998836</v>
      </c>
      <c r="P302" s="850">
        <f>'He so chung'!$D$18*S302</f>
        <v>13799.759615384615</v>
      </c>
      <c r="Q302" s="851">
        <f>'He so chung'!$D$19*S302</f>
        <v>11039.807692307691</v>
      </c>
      <c r="R302" s="852">
        <f>'He so chung'!$D$20*S302</f>
        <v>2759.9519230769233</v>
      </c>
      <c r="S302" s="853">
        <f>'NC-CLBD'!P40/100</f>
        <v>2.0649999999999999</v>
      </c>
      <c r="T302" s="849" t="e">
        <f>'[1]IV. DONGIA CHỈNH LÝ'!N297</f>
        <v>#VALUE!</v>
      </c>
      <c r="U302" s="849" t="e">
        <f t="shared" si="55"/>
        <v>#VALUE!</v>
      </c>
      <c r="W302" s="854"/>
    </row>
    <row r="303" spans="1:23" s="830" customFormat="1" ht="19.5" customHeight="1">
      <c r="A303" s="331"/>
      <c r="B303" s="848"/>
      <c r="C303" s="586"/>
      <c r="D303" s="331"/>
      <c r="E303" s="843"/>
      <c r="F303" s="826"/>
      <c r="G303" s="826">
        <f t="shared" si="56"/>
        <v>0</v>
      </c>
      <c r="H303" s="826"/>
      <c r="I303" s="826"/>
      <c r="J303" s="826"/>
      <c r="K303" s="826"/>
      <c r="L303" s="826"/>
      <c r="M303" s="826"/>
      <c r="N303" s="849"/>
      <c r="O303" s="849"/>
      <c r="P303" s="850"/>
      <c r="Q303" s="851"/>
      <c r="R303" s="852"/>
      <c r="S303" s="853"/>
      <c r="T303" s="849">
        <f>'[1]IV. DONGIA CHỈNH LÝ'!N298</f>
        <v>0</v>
      </c>
      <c r="U303" s="849">
        <f t="shared" si="55"/>
        <v>0</v>
      </c>
      <c r="W303" s="854"/>
    </row>
    <row r="304" spans="1:23" s="830" customFormat="1" ht="19.5" customHeight="1">
      <c r="A304" s="841" t="s">
        <v>4</v>
      </c>
      <c r="B304" s="842" t="s">
        <v>382</v>
      </c>
      <c r="C304" s="586"/>
      <c r="D304" s="331"/>
      <c r="E304" s="843"/>
      <c r="F304" s="826"/>
      <c r="G304" s="826">
        <f t="shared" si="56"/>
        <v>0</v>
      </c>
      <c r="H304" s="826"/>
      <c r="I304" s="826"/>
      <c r="J304" s="826"/>
      <c r="K304" s="826"/>
      <c r="L304" s="826"/>
      <c r="M304" s="826"/>
      <c r="N304" s="849"/>
      <c r="O304" s="849"/>
      <c r="P304" s="850"/>
      <c r="Q304" s="851"/>
      <c r="R304" s="852"/>
      <c r="S304" s="853"/>
      <c r="T304" s="849">
        <f>'[1]IV. DONGIA CHỈNH LÝ'!N299</f>
        <v>0</v>
      </c>
      <c r="U304" s="849">
        <f t="shared" si="55"/>
        <v>0</v>
      </c>
      <c r="W304" s="854"/>
    </row>
    <row r="305" spans="1:23" s="830" customFormat="1" ht="19.5" customHeight="1">
      <c r="A305" s="331" t="s">
        <v>9</v>
      </c>
      <c r="B305" s="848" t="s">
        <v>383</v>
      </c>
      <c r="C305" s="586"/>
      <c r="D305" s="331"/>
      <c r="E305" s="843"/>
      <c r="F305" s="826"/>
      <c r="G305" s="826"/>
      <c r="H305" s="826"/>
      <c r="I305" s="826"/>
      <c r="J305" s="826"/>
      <c r="K305" s="826"/>
      <c r="L305" s="826"/>
      <c r="M305" s="826"/>
      <c r="N305" s="849"/>
      <c r="O305" s="849"/>
      <c r="P305" s="850"/>
      <c r="Q305" s="851"/>
      <c r="R305" s="852"/>
      <c r="S305" s="853"/>
      <c r="T305" s="849">
        <f>'[1]IV. DONGIA CHỈNH LÝ'!N300</f>
        <v>0</v>
      </c>
      <c r="U305" s="849">
        <f t="shared" si="55"/>
        <v>0</v>
      </c>
      <c r="W305" s="854"/>
    </row>
    <row r="306" spans="1:23" s="830" customFormat="1" ht="16.5" customHeight="1">
      <c r="A306" s="848"/>
      <c r="B306" s="848"/>
      <c r="C306" s="848"/>
      <c r="D306" s="331"/>
      <c r="E306" s="843"/>
      <c r="F306" s="826"/>
      <c r="G306" s="826"/>
      <c r="H306" s="826"/>
      <c r="I306" s="826"/>
      <c r="J306" s="826"/>
      <c r="K306" s="826"/>
      <c r="L306" s="826"/>
      <c r="M306" s="826"/>
      <c r="N306" s="849"/>
      <c r="O306" s="849"/>
      <c r="P306" s="850"/>
      <c r="Q306" s="851"/>
      <c r="R306" s="852"/>
      <c r="S306" s="853"/>
      <c r="T306" s="849">
        <f>'[1]IV. DONGIA CHỈNH LÝ'!N301</f>
        <v>0</v>
      </c>
      <c r="U306" s="849">
        <f t="shared" si="55"/>
        <v>0</v>
      </c>
      <c r="W306" s="854"/>
    </row>
    <row r="307" spans="1:23" s="830" customFormat="1" ht="16.5" customHeight="1">
      <c r="A307" s="331" t="s">
        <v>10</v>
      </c>
      <c r="B307" s="848" t="s">
        <v>81</v>
      </c>
      <c r="C307" s="586" t="s">
        <v>278</v>
      </c>
      <c r="D307" s="331" t="s">
        <v>9</v>
      </c>
      <c r="E307" s="843" t="e">
        <f>'NC-CLBD'!Q54/100</f>
        <v>#VALUE!</v>
      </c>
      <c r="F307" s="826"/>
      <c r="G307" s="826">
        <f>$R$1*10*Q307</f>
        <v>0</v>
      </c>
      <c r="H307" s="826">
        <f>'DCu-CLBD'!R156</f>
        <v>304.16417338461548</v>
      </c>
      <c r="I307" s="826">
        <f>'VL-CLBD'!P71</f>
        <v>5618.5919999999996</v>
      </c>
      <c r="J307" s="826">
        <f>'TBI-CLBD'!I140</f>
        <v>268.11959999999999</v>
      </c>
      <c r="K307" s="826">
        <f>'NL-CLBD'!F74</f>
        <v>485.15879999999999</v>
      </c>
      <c r="L307" s="826" t="e">
        <f>SUM(E307:K307)</f>
        <v>#VALUE!</v>
      </c>
      <c r="M307" s="826" t="e">
        <f>L307*'He so chung'!$D$17/100</f>
        <v>#VALUE!</v>
      </c>
      <c r="N307" s="849" t="e">
        <f>M307+L307</f>
        <v>#VALUE!</v>
      </c>
      <c r="O307" s="849"/>
      <c r="P307" s="850">
        <f>'He so chung'!$D$21*S307</f>
        <v>270.51538461538462</v>
      </c>
      <c r="Q307" s="851">
        <f>'He so chung'!$D$22*S307</f>
        <v>235.23076923076923</v>
      </c>
      <c r="R307" s="852">
        <f>'He so chung'!$D$23*S307</f>
        <v>35.284615384615385</v>
      </c>
      <c r="S307" s="853">
        <f>'NC-CLBD'!P54/100</f>
        <v>4.4000000000000004E-2</v>
      </c>
      <c r="T307" s="849" t="e">
        <f>'[1]IV. DONGIA CHỈNH LÝ'!N302</f>
        <v>#VALUE!</v>
      </c>
      <c r="U307" s="849" t="e">
        <f t="shared" si="55"/>
        <v>#VALUE!</v>
      </c>
      <c r="W307" s="854"/>
    </row>
    <row r="308" spans="1:23" s="830" customFormat="1" ht="16.5" customHeight="1">
      <c r="A308" s="331"/>
      <c r="B308" s="848"/>
      <c r="C308" s="586"/>
      <c r="D308" s="331" t="s">
        <v>10</v>
      </c>
      <c r="E308" s="843" t="e">
        <f>'NC-CLBD'!Q56/100</f>
        <v>#VALUE!</v>
      </c>
      <c r="F308" s="826"/>
      <c r="G308" s="826">
        <f>$R$1*10*Q308</f>
        <v>0</v>
      </c>
      <c r="H308" s="826">
        <f>'DCu-CLBD'!R157</f>
        <v>380.20521673076934</v>
      </c>
      <c r="I308" s="826">
        <f>I307</f>
        <v>5618.5919999999996</v>
      </c>
      <c r="J308" s="826">
        <f>'TBI-CLBD'!K140</f>
        <v>281.88279999999997</v>
      </c>
      <c r="K308" s="826">
        <f>'NL-CLBD'!H74</f>
        <v>509.24580000000003</v>
      </c>
      <c r="L308" s="826" t="e">
        <f>SUM(E308:K308)</f>
        <v>#VALUE!</v>
      </c>
      <c r="M308" s="826" t="e">
        <f>L308*'He so chung'!$D$17/100</f>
        <v>#VALUE!</v>
      </c>
      <c r="N308" s="849" t="e">
        <f>M308+L308</f>
        <v>#VALUE!</v>
      </c>
      <c r="O308" s="849"/>
      <c r="P308" s="850">
        <f>'He so chung'!$D$21*S308</f>
        <v>297.56692307692305</v>
      </c>
      <c r="Q308" s="851">
        <f>'He so chung'!$D$22*S308</f>
        <v>258.7538461538461</v>
      </c>
      <c r="R308" s="852">
        <f>'He so chung'!$D$23*S308</f>
        <v>38.81307692307692</v>
      </c>
      <c r="S308" s="853">
        <f>'NC-CLBD'!P56/100</f>
        <v>4.8399999999999999E-2</v>
      </c>
      <c r="T308" s="849" t="e">
        <f>'[1]IV. DONGIA CHỈNH LÝ'!N303</f>
        <v>#VALUE!</v>
      </c>
      <c r="U308" s="849" t="e">
        <f t="shared" si="55"/>
        <v>#VALUE!</v>
      </c>
      <c r="W308" s="854"/>
    </row>
    <row r="309" spans="1:23" s="830" customFormat="1" ht="16.5" customHeight="1">
      <c r="A309" s="331"/>
      <c r="B309" s="848"/>
      <c r="C309" s="586"/>
      <c r="D309" s="331" t="s">
        <v>11</v>
      </c>
      <c r="E309" s="843" t="e">
        <f>'NC-CLBD'!Q58/100</f>
        <v>#VALUE!</v>
      </c>
      <c r="F309" s="826"/>
      <c r="G309" s="826">
        <f>$R$1*10*Q309</f>
        <v>0</v>
      </c>
      <c r="H309" s="826">
        <f>'DCu-CLBD'!R158</f>
        <v>506.94028897435913</v>
      </c>
      <c r="I309" s="826">
        <f>I308</f>
        <v>5618.5919999999996</v>
      </c>
      <c r="J309" s="826">
        <f>'TBI-CLBD'!M140</f>
        <v>315.36600000000004</v>
      </c>
      <c r="K309" s="826">
        <f>'NL-CLBD'!J74</f>
        <v>569.38559999999995</v>
      </c>
      <c r="L309" s="826" t="e">
        <f>SUM(E309:K309)</f>
        <v>#VALUE!</v>
      </c>
      <c r="M309" s="826" t="e">
        <f>L309*'He so chung'!$D$17/100</f>
        <v>#VALUE!</v>
      </c>
      <c r="N309" s="849" t="e">
        <f>M309+L309</f>
        <v>#VALUE!</v>
      </c>
      <c r="O309" s="849"/>
      <c r="P309" s="850">
        <f>'He so chung'!$D$21*S309</f>
        <v>363.96615384615387</v>
      </c>
      <c r="Q309" s="851">
        <f>'He so chung'!$D$22*S309</f>
        <v>316.49230769230769</v>
      </c>
      <c r="R309" s="852">
        <f>'He so chung'!$D$23*S309</f>
        <v>47.473846153846154</v>
      </c>
      <c r="S309" s="853">
        <f>'NC-CLBD'!P58/100</f>
        <v>5.9200000000000003E-2</v>
      </c>
      <c r="T309" s="849" t="e">
        <f>'[1]IV. DONGIA CHỈNH LÝ'!N304</f>
        <v>#VALUE!</v>
      </c>
      <c r="U309" s="849" t="e">
        <f t="shared" si="55"/>
        <v>#VALUE!</v>
      </c>
      <c r="W309" s="854"/>
    </row>
    <row r="310" spans="1:23" s="830" customFormat="1" ht="16.5" customHeight="1">
      <c r="A310" s="331"/>
      <c r="B310" s="848"/>
      <c r="C310" s="586"/>
      <c r="D310" s="331" t="s">
        <v>12</v>
      </c>
      <c r="E310" s="843" t="e">
        <f>'NC-CLBD'!Q60/100</f>
        <v>#VALUE!</v>
      </c>
      <c r="F310" s="826"/>
      <c r="G310" s="826">
        <f>$R$1*10*Q310</f>
        <v>0</v>
      </c>
      <c r="H310" s="826">
        <f>'DCu-CLBD'!R159</f>
        <v>557.63431787179513</v>
      </c>
      <c r="I310" s="826">
        <f>I309</f>
        <v>5618.5919999999996</v>
      </c>
      <c r="J310" s="826">
        <f>'TBI-CLBD'!O140</f>
        <v>328.56080000000003</v>
      </c>
      <c r="K310" s="826">
        <f>'NL-CLBD'!L74</f>
        <v>592.69560000000001</v>
      </c>
      <c r="L310" s="826" t="e">
        <f>SUM(E310:K310)</f>
        <v>#VALUE!</v>
      </c>
      <c r="M310" s="826" t="e">
        <f>L310*'He so chung'!$D$17/100</f>
        <v>#VALUE!</v>
      </c>
      <c r="N310" s="849" t="e">
        <f>M310+L310</f>
        <v>#VALUE!</v>
      </c>
      <c r="O310" s="849"/>
      <c r="P310" s="850">
        <f>'He so chung'!$D$21*S310</f>
        <v>391.0176923076923</v>
      </c>
      <c r="Q310" s="851">
        <f>'He so chung'!$D$22*S310</f>
        <v>340.01538461538462</v>
      </c>
      <c r="R310" s="852">
        <f>'He so chung'!$D$23*S310</f>
        <v>51.002307692307696</v>
      </c>
      <c r="S310" s="853">
        <f>'NC-CLBD'!P60/100</f>
        <v>6.3600000000000004E-2</v>
      </c>
      <c r="T310" s="849" t="e">
        <f>'[1]IV. DONGIA CHỈNH LÝ'!N305</f>
        <v>#VALUE!</v>
      </c>
      <c r="U310" s="849" t="e">
        <f t="shared" si="55"/>
        <v>#VALUE!</v>
      </c>
      <c r="W310" s="854"/>
    </row>
    <row r="311" spans="1:23" s="830" customFormat="1" ht="16.5" customHeight="1">
      <c r="A311" s="331"/>
      <c r="B311" s="848"/>
      <c r="C311" s="586"/>
      <c r="D311" s="331"/>
      <c r="E311" s="843"/>
      <c r="F311" s="826"/>
      <c r="G311" s="826">
        <f>$R$1*10*Q311</f>
        <v>0</v>
      </c>
      <c r="H311" s="826"/>
      <c r="I311" s="826"/>
      <c r="J311" s="826"/>
      <c r="K311" s="826"/>
      <c r="L311" s="826"/>
      <c r="M311" s="826"/>
      <c r="N311" s="849"/>
      <c r="O311" s="849"/>
      <c r="P311" s="850"/>
      <c r="Q311" s="851"/>
      <c r="R311" s="852"/>
      <c r="S311" s="853"/>
      <c r="T311" s="849">
        <f>'[1]IV. DONGIA CHỈNH LÝ'!N306</f>
        <v>0</v>
      </c>
      <c r="U311" s="849">
        <f t="shared" si="55"/>
        <v>0</v>
      </c>
      <c r="W311" s="854"/>
    </row>
    <row r="312" spans="1:23" s="830" customFormat="1" ht="16.5" customHeight="1">
      <c r="A312" s="331" t="s">
        <v>11</v>
      </c>
      <c r="B312" s="848" t="s">
        <v>384</v>
      </c>
      <c r="C312" s="586" t="s">
        <v>278</v>
      </c>
      <c r="D312" s="331" t="s">
        <v>15</v>
      </c>
      <c r="E312" s="843" t="e">
        <f>'NC-CLBD'!Q64/100</f>
        <v>#VALUE!</v>
      </c>
      <c r="F312" s="826"/>
      <c r="G312" s="826">
        <f t="shared" ref="G312:G321" si="57">$R$1*10*Q312</f>
        <v>0</v>
      </c>
      <c r="H312" s="826"/>
      <c r="I312" s="826"/>
      <c r="J312" s="826"/>
      <c r="K312" s="826"/>
      <c r="L312" s="826" t="e">
        <f>SUM(E312:K312)</f>
        <v>#VALUE!</v>
      </c>
      <c r="M312" s="826" t="e">
        <f>L312*'He so chung'!$D$17/100</f>
        <v>#VALUE!</v>
      </c>
      <c r="N312" s="849" t="e">
        <f>M312+L312</f>
        <v>#VALUE!</v>
      </c>
      <c r="O312" s="849"/>
      <c r="P312" s="850">
        <f>'He so chung'!$D$21*S312</f>
        <v>184.44230769230768</v>
      </c>
      <c r="Q312" s="851">
        <f>'He so chung'!$D$22*S312</f>
        <v>160.38461538461536</v>
      </c>
      <c r="R312" s="852">
        <f>'He so chung'!$D$23*S312</f>
        <v>24.057692307692307</v>
      </c>
      <c r="S312" s="853">
        <f>'NC-CLBD'!P64/100</f>
        <v>0.03</v>
      </c>
      <c r="T312" s="849" t="e">
        <f>'[1]IV. DONGIA CHỈNH LÝ'!N307</f>
        <v>#VALUE!</v>
      </c>
      <c r="U312" s="849" t="e">
        <f t="shared" si="55"/>
        <v>#VALUE!</v>
      </c>
      <c r="W312" s="854"/>
    </row>
    <row r="313" spans="1:23" s="830" customFormat="1" ht="16.5" customHeight="1">
      <c r="A313" s="331"/>
      <c r="B313" s="848" t="s">
        <v>385</v>
      </c>
      <c r="C313" s="586"/>
      <c r="D313" s="331"/>
      <c r="E313" s="843"/>
      <c r="F313" s="826"/>
      <c r="G313" s="826">
        <f t="shared" si="57"/>
        <v>0</v>
      </c>
      <c r="H313" s="826"/>
      <c r="I313" s="826"/>
      <c r="J313" s="826"/>
      <c r="K313" s="826"/>
      <c r="L313" s="826"/>
      <c r="M313" s="826"/>
      <c r="N313" s="849"/>
      <c r="O313" s="849"/>
      <c r="P313" s="850"/>
      <c r="Q313" s="851"/>
      <c r="R313" s="852"/>
      <c r="S313" s="853"/>
      <c r="T313" s="849">
        <f>'[1]IV. DONGIA CHỈNH LÝ'!N308</f>
        <v>0</v>
      </c>
      <c r="U313" s="849">
        <f t="shared" si="55"/>
        <v>0</v>
      </c>
      <c r="W313" s="854"/>
    </row>
    <row r="314" spans="1:23" s="830" customFormat="1" ht="16.5" customHeight="1">
      <c r="A314" s="331"/>
      <c r="B314" s="848"/>
      <c r="C314" s="586"/>
      <c r="D314" s="331"/>
      <c r="E314" s="843"/>
      <c r="F314" s="826"/>
      <c r="G314" s="826">
        <f t="shared" si="57"/>
        <v>0</v>
      </c>
      <c r="H314" s="826"/>
      <c r="I314" s="826"/>
      <c r="J314" s="826"/>
      <c r="K314" s="826"/>
      <c r="L314" s="826"/>
      <c r="M314" s="826"/>
      <c r="N314" s="849"/>
      <c r="O314" s="849"/>
      <c r="P314" s="850"/>
      <c r="Q314" s="851"/>
      <c r="R314" s="852"/>
      <c r="S314" s="853"/>
      <c r="T314" s="849">
        <f>'[1]IV. DONGIA CHỈNH LÝ'!N309</f>
        <v>0</v>
      </c>
      <c r="U314" s="849">
        <f t="shared" si="55"/>
        <v>0</v>
      </c>
      <c r="W314" s="854"/>
    </row>
    <row r="315" spans="1:23" s="830" customFormat="1" ht="16.5" customHeight="1">
      <c r="A315" s="331" t="s">
        <v>12</v>
      </c>
      <c r="B315" s="848" t="s">
        <v>363</v>
      </c>
      <c r="C315" s="586" t="s">
        <v>278</v>
      </c>
      <c r="D315" s="331" t="s">
        <v>15</v>
      </c>
      <c r="E315" s="843" t="e">
        <f>'NC-CLBD'!Q67/100</f>
        <v>#VALUE!</v>
      </c>
      <c r="F315" s="826"/>
      <c r="G315" s="826">
        <f t="shared" si="57"/>
        <v>0</v>
      </c>
      <c r="H315" s="826">
        <f>'DCu-CLBD'!R186</f>
        <v>184.59746666666666</v>
      </c>
      <c r="I315" s="826">
        <f>'VL-CLBD'!P92</f>
        <v>1232.28</v>
      </c>
      <c r="J315" s="826">
        <f>'TBI-CLBD'!I155</f>
        <v>105.78</v>
      </c>
      <c r="K315" s="826">
        <f>'NL-CLBD'!F86</f>
        <v>191.142</v>
      </c>
      <c r="L315" s="826" t="e">
        <f>SUM(E315:K315)</f>
        <v>#VALUE!</v>
      </c>
      <c r="M315" s="826" t="e">
        <f>L315*'He so chung'!$D$17/100</f>
        <v>#VALUE!</v>
      </c>
      <c r="N315" s="849" t="e">
        <f>M315+L315</f>
        <v>#VALUE!</v>
      </c>
      <c r="O315" s="849"/>
      <c r="P315" s="850">
        <f>'He so chung'!$D$21*S315</f>
        <v>159.85000000000002</v>
      </c>
      <c r="Q315" s="851">
        <f>'He so chung'!$D$22*S315</f>
        <v>139</v>
      </c>
      <c r="R315" s="852">
        <f>'He so chung'!$D$23*S315</f>
        <v>20.85</v>
      </c>
      <c r="S315" s="941">
        <f>'NC-CLBD'!P67/100</f>
        <v>2.6000000000000002E-2</v>
      </c>
      <c r="T315" s="849" t="e">
        <f>'[1]IV. DONGIA CHỈNH LÝ'!N310</f>
        <v>#VALUE!</v>
      </c>
      <c r="U315" s="849" t="e">
        <f t="shared" si="55"/>
        <v>#VALUE!</v>
      </c>
      <c r="W315" s="854"/>
    </row>
    <row r="316" spans="1:23" s="830" customFormat="1" ht="16.5" customHeight="1">
      <c r="A316" s="331"/>
      <c r="B316" s="848"/>
      <c r="C316" s="586"/>
      <c r="D316" s="331"/>
      <c r="E316" s="843"/>
      <c r="F316" s="826"/>
      <c r="G316" s="826">
        <f t="shared" si="57"/>
        <v>0</v>
      </c>
      <c r="H316" s="826"/>
      <c r="I316" s="826"/>
      <c r="J316" s="826"/>
      <c r="K316" s="826"/>
      <c r="L316" s="826"/>
      <c r="M316" s="826"/>
      <c r="N316" s="849"/>
      <c r="O316" s="849"/>
      <c r="P316" s="850"/>
      <c r="Q316" s="851"/>
      <c r="R316" s="852"/>
      <c r="S316" s="942"/>
      <c r="T316" s="849">
        <f>'[1]IV. DONGIA CHỈNH LÝ'!N311</f>
        <v>0</v>
      </c>
      <c r="U316" s="849">
        <f t="shared" si="55"/>
        <v>0</v>
      </c>
      <c r="W316" s="854"/>
    </row>
    <row r="317" spans="1:23" s="830" customFormat="1" ht="16.5" customHeight="1">
      <c r="A317" s="331" t="s">
        <v>13</v>
      </c>
      <c r="B317" s="848" t="s">
        <v>364</v>
      </c>
      <c r="C317" s="586" t="s">
        <v>1</v>
      </c>
      <c r="D317" s="331" t="s">
        <v>15</v>
      </c>
      <c r="E317" s="843" t="e">
        <f>'NC-CLBD'!Q69/3600</f>
        <v>#VALUE!</v>
      </c>
      <c r="F317" s="826"/>
      <c r="G317" s="826">
        <f t="shared" si="57"/>
        <v>0</v>
      </c>
      <c r="H317" s="826">
        <f>'DCu-CLBD'!R209</f>
        <v>11.713056873219372</v>
      </c>
      <c r="I317" s="826">
        <f>'VL-CLBD'!P112</f>
        <v>23.055</v>
      </c>
      <c r="J317" s="826">
        <f>'TBI-CLBD'!I198</f>
        <v>1.6863888888888889</v>
      </c>
      <c r="K317" s="826">
        <f>'NL-CLBD'!F113</f>
        <v>1.8345833333333332</v>
      </c>
      <c r="L317" s="826" t="e">
        <f>SUM(E317:K317)</f>
        <v>#VALUE!</v>
      </c>
      <c r="M317" s="826" t="e">
        <f>L317*'He so chung'!$D$17/100</f>
        <v>#VALUE!</v>
      </c>
      <c r="N317" s="849" t="e">
        <f>M317+L317</f>
        <v>#VALUE!</v>
      </c>
      <c r="O317" s="849"/>
      <c r="P317" s="850">
        <f>'He so chung'!$D$21*S317</f>
        <v>1.7077991452991452</v>
      </c>
      <c r="Q317" s="851">
        <f>'He so chung'!$D$22*S317</f>
        <v>1.4850427350427349</v>
      </c>
      <c r="R317" s="940">
        <f>'He so chung'!$D$23*S317</f>
        <v>0.22275641025641024</v>
      </c>
      <c r="S317" s="942">
        <f>'NC-CLBD'!P69/3600</f>
        <v>2.7777777777777778E-4</v>
      </c>
      <c r="T317" s="849" t="e">
        <f>'[1]IV. DONGIA CHỈNH LÝ'!N312</f>
        <v>#VALUE!</v>
      </c>
      <c r="U317" s="849" t="e">
        <f t="shared" si="55"/>
        <v>#VALUE!</v>
      </c>
      <c r="W317" s="854"/>
    </row>
    <row r="318" spans="1:23" s="830" customFormat="1" ht="16.5" customHeight="1">
      <c r="A318" s="331"/>
      <c r="B318" s="848"/>
      <c r="C318" s="586"/>
      <c r="D318" s="331"/>
      <c r="E318" s="843"/>
      <c r="F318" s="826"/>
      <c r="G318" s="826">
        <f t="shared" si="57"/>
        <v>0</v>
      </c>
      <c r="H318" s="826"/>
      <c r="I318" s="826"/>
      <c r="J318" s="826"/>
      <c r="K318" s="826"/>
      <c r="L318" s="826"/>
      <c r="M318" s="826"/>
      <c r="N318" s="849"/>
      <c r="O318" s="849"/>
      <c r="P318" s="850"/>
      <c r="Q318" s="851"/>
      <c r="R318" s="940"/>
      <c r="S318" s="942"/>
      <c r="T318" s="849">
        <f>'[1]IV. DONGIA CHỈNH LÝ'!N313</f>
        <v>0</v>
      </c>
      <c r="U318" s="849">
        <f t="shared" si="55"/>
        <v>0</v>
      </c>
      <c r="W318" s="854"/>
    </row>
    <row r="319" spans="1:23" s="830" customFormat="1" ht="16.5" customHeight="1">
      <c r="A319" s="331" t="s">
        <v>14</v>
      </c>
      <c r="B319" s="848" t="s">
        <v>365</v>
      </c>
      <c r="C319" s="586" t="s">
        <v>1</v>
      </c>
      <c r="D319" s="331" t="s">
        <v>15</v>
      </c>
      <c r="E319" s="843" t="e">
        <f>'NC-CLBD'!Q71/3600</f>
        <v>#VALUE!</v>
      </c>
      <c r="F319" s="826"/>
      <c r="G319" s="826">
        <f t="shared" si="57"/>
        <v>0</v>
      </c>
      <c r="H319" s="826">
        <f>'DCu-CLBD'!R209</f>
        <v>11.713056873219372</v>
      </c>
      <c r="I319" s="826">
        <f>'VL-CLBD'!P112</f>
        <v>23.055</v>
      </c>
      <c r="J319" s="826"/>
      <c r="K319" s="826"/>
      <c r="L319" s="826" t="e">
        <f>SUM(E319:K319)</f>
        <v>#VALUE!</v>
      </c>
      <c r="M319" s="826" t="e">
        <f>L319*'He so chung'!$D$17/100</f>
        <v>#VALUE!</v>
      </c>
      <c r="N319" s="849" t="e">
        <f>M319+L319</f>
        <v>#VALUE!</v>
      </c>
      <c r="O319" s="849"/>
      <c r="P319" s="850">
        <f>'He so chung'!$D$21*S319</f>
        <v>3.4155982905982905</v>
      </c>
      <c r="Q319" s="851">
        <f>'He so chung'!$D$22*S319</f>
        <v>2.9700854700854697</v>
      </c>
      <c r="R319" s="852">
        <f>'He so chung'!$D$23*S319</f>
        <v>0.44551282051282048</v>
      </c>
      <c r="S319" s="942">
        <f>'NC-CLBD'!P71/3600</f>
        <v>5.5555555555555556E-4</v>
      </c>
      <c r="T319" s="849" t="e">
        <f>'[1]IV. DONGIA CHỈNH LÝ'!N314</f>
        <v>#VALUE!</v>
      </c>
      <c r="U319" s="849" t="e">
        <f t="shared" si="55"/>
        <v>#VALUE!</v>
      </c>
      <c r="W319" s="854"/>
    </row>
    <row r="320" spans="1:23" s="830" customFormat="1" ht="16.5" customHeight="1">
      <c r="A320" s="331"/>
      <c r="B320" s="848"/>
      <c r="C320" s="586"/>
      <c r="D320" s="331"/>
      <c r="E320" s="843"/>
      <c r="F320" s="826"/>
      <c r="G320" s="826">
        <f t="shared" si="57"/>
        <v>0</v>
      </c>
      <c r="H320" s="826"/>
      <c r="I320" s="826"/>
      <c r="J320" s="826"/>
      <c r="K320" s="826"/>
      <c r="L320" s="826"/>
      <c r="M320" s="826"/>
      <c r="N320" s="849"/>
      <c r="O320" s="849"/>
      <c r="P320" s="850"/>
      <c r="Q320" s="851"/>
      <c r="R320" s="852"/>
      <c r="S320" s="942"/>
      <c r="T320" s="849">
        <f>'[1]IV. DONGIA CHỈNH LÝ'!N315</f>
        <v>0</v>
      </c>
      <c r="U320" s="849">
        <f t="shared" si="55"/>
        <v>0</v>
      </c>
      <c r="W320" s="854"/>
    </row>
    <row r="321" spans="1:23" s="830" customFormat="1" ht="16.5" customHeight="1">
      <c r="A321" s="331" t="s">
        <v>85</v>
      </c>
      <c r="B321" s="848" t="s">
        <v>366</v>
      </c>
      <c r="C321" s="586" t="s">
        <v>1</v>
      </c>
      <c r="D321" s="331" t="s">
        <v>15</v>
      </c>
      <c r="E321" s="843" t="e">
        <f>'NC-CLBD'!Q73/3600</f>
        <v>#VALUE!</v>
      </c>
      <c r="F321" s="826"/>
      <c r="G321" s="826">
        <f t="shared" si="57"/>
        <v>0</v>
      </c>
      <c r="H321" s="826">
        <f>'DCu-CLBD'!R209</f>
        <v>11.713056873219372</v>
      </c>
      <c r="I321" s="826">
        <f>'VL-CLBD'!P112</f>
        <v>23.055</v>
      </c>
      <c r="J321" s="826"/>
      <c r="K321" s="826"/>
      <c r="L321" s="826" t="e">
        <f>SUM(E321:K321)</f>
        <v>#VALUE!</v>
      </c>
      <c r="M321" s="826" t="e">
        <f>L321*'He so chung'!$D$17/100</f>
        <v>#VALUE!</v>
      </c>
      <c r="N321" s="849" t="e">
        <f>M321+L321</f>
        <v>#VALUE!</v>
      </c>
      <c r="O321" s="849"/>
      <c r="P321" s="850">
        <f>'He so chung'!$D$21*S321</f>
        <v>6.8311965811965809</v>
      </c>
      <c r="Q321" s="851">
        <f>'He so chung'!$D$22*S321</f>
        <v>5.9401709401709395</v>
      </c>
      <c r="R321" s="852">
        <f>'He so chung'!$D$23*S321</f>
        <v>0.89102564102564097</v>
      </c>
      <c r="S321" s="942">
        <f>'NC-CLBD'!P73/3600</f>
        <v>1.1111111111111111E-3</v>
      </c>
      <c r="T321" s="849" t="e">
        <f>'[1]IV. DONGIA CHỈNH LÝ'!N316</f>
        <v>#VALUE!</v>
      </c>
      <c r="U321" s="849" t="e">
        <f t="shared" si="55"/>
        <v>#VALUE!</v>
      </c>
      <c r="W321" s="854"/>
    </row>
    <row r="322" spans="1:23" s="830" customFormat="1" ht="16.5" customHeight="1">
      <c r="A322" s="331"/>
      <c r="B322" s="848"/>
      <c r="C322" s="586"/>
      <c r="D322" s="331"/>
      <c r="E322" s="843"/>
      <c r="F322" s="826"/>
      <c r="G322" s="826"/>
      <c r="H322" s="826"/>
      <c r="I322" s="826"/>
      <c r="J322" s="826"/>
      <c r="K322" s="826"/>
      <c r="L322" s="826"/>
      <c r="M322" s="826"/>
      <c r="N322" s="849"/>
      <c r="O322" s="849"/>
      <c r="P322" s="850"/>
      <c r="Q322" s="859"/>
      <c r="R322" s="860"/>
      <c r="S322" s="861"/>
      <c r="T322" s="849">
        <f>'[1]IV. DONGIA CHỈNH LÝ'!N317</f>
        <v>0</v>
      </c>
      <c r="U322" s="849">
        <f t="shared" si="55"/>
        <v>0</v>
      </c>
      <c r="W322" s="854"/>
    </row>
    <row r="323" spans="1:23" s="830" customFormat="1" ht="19.5" hidden="1" customHeight="1">
      <c r="A323" s="331"/>
      <c r="B323" s="848"/>
      <c r="C323" s="848"/>
      <c r="D323" s="331"/>
      <c r="E323" s="927"/>
      <c r="F323" s="848"/>
      <c r="G323" s="848"/>
      <c r="H323" s="848"/>
      <c r="I323" s="848"/>
      <c r="J323" s="848"/>
      <c r="K323" s="848"/>
      <c r="L323" s="848"/>
      <c r="M323" s="848"/>
      <c r="N323" s="848"/>
      <c r="O323" s="848"/>
      <c r="P323" s="850"/>
      <c r="Q323" s="894"/>
      <c r="R323" s="894"/>
      <c r="S323" s="895"/>
      <c r="T323" s="849">
        <f>'[1]IV. DONGIA CHỈNH LÝ'!N318</f>
        <v>0</v>
      </c>
      <c r="U323" s="849">
        <f t="shared" si="55"/>
        <v>0</v>
      </c>
      <c r="W323" s="854"/>
    </row>
    <row r="324" spans="1:23" s="830" customFormat="1" ht="19.5" customHeight="1">
      <c r="A324" s="842"/>
      <c r="B324" s="842" t="s">
        <v>389</v>
      </c>
      <c r="C324" s="842"/>
      <c r="D324" s="841"/>
      <c r="E324" s="862"/>
      <c r="F324" s="842"/>
      <c r="G324" s="842"/>
      <c r="H324" s="842"/>
      <c r="I324" s="842"/>
      <c r="J324" s="842"/>
      <c r="K324" s="842"/>
      <c r="L324" s="842"/>
      <c r="M324" s="842"/>
      <c r="N324" s="842"/>
      <c r="O324" s="842"/>
      <c r="P324" s="863"/>
      <c r="Q324" s="864"/>
      <c r="R324" s="865"/>
      <c r="S324" s="866"/>
      <c r="T324" s="849">
        <f>'[1]IV. DONGIA CHỈNH LÝ'!N319</f>
        <v>0</v>
      </c>
      <c r="U324" s="849">
        <f t="shared" si="55"/>
        <v>0</v>
      </c>
      <c r="W324" s="854"/>
    </row>
    <row r="325" spans="1:23" s="830" customFormat="1" ht="19.5" customHeight="1">
      <c r="A325" s="1006" t="s">
        <v>3</v>
      </c>
      <c r="B325" s="1009" t="s">
        <v>390</v>
      </c>
      <c r="C325" s="1007" t="s">
        <v>1</v>
      </c>
      <c r="D325" s="868">
        <v>1</v>
      </c>
      <c r="E325" s="869" t="e">
        <f t="shared" ref="E325:R325" si="58">E289+E$264+E$266+E$268</f>
        <v>#VALUE!</v>
      </c>
      <c r="F325" s="849">
        <f t="shared" si="58"/>
        <v>0</v>
      </c>
      <c r="G325" s="849">
        <f t="shared" si="58"/>
        <v>0</v>
      </c>
      <c r="H325" s="849">
        <f t="shared" si="58"/>
        <v>118.77628194444443</v>
      </c>
      <c r="I325" s="849">
        <f t="shared" si="58"/>
        <v>297.51</v>
      </c>
      <c r="J325" s="849">
        <f t="shared" si="58"/>
        <v>5.0177777777777779</v>
      </c>
      <c r="K325" s="849">
        <f t="shared" si="58"/>
        <v>7.2519999999999998</v>
      </c>
      <c r="L325" s="849" t="e">
        <f t="shared" si="58"/>
        <v>#VALUE!</v>
      </c>
      <c r="M325" s="849" t="e">
        <f t="shared" si="58"/>
        <v>#VALUE!</v>
      </c>
      <c r="N325" s="849" t="e">
        <f t="shared" si="58"/>
        <v>#VALUE!</v>
      </c>
      <c r="O325" s="849"/>
      <c r="P325" s="849">
        <f t="shared" si="58"/>
        <v>170.58685897435899</v>
      </c>
      <c r="Q325" s="870">
        <f t="shared" si="58"/>
        <v>139.29700854700855</v>
      </c>
      <c r="R325" s="870">
        <f t="shared" si="58"/>
        <v>31.28985042735043</v>
      </c>
      <c r="S325" s="870"/>
      <c r="T325" s="849" t="e">
        <f>'[1]IV. DONGIA CHỈNH LÝ'!N320</f>
        <v>#VALUE!</v>
      </c>
      <c r="U325" s="849" t="e">
        <f t="shared" si="55"/>
        <v>#VALUE!</v>
      </c>
      <c r="W325" s="854"/>
    </row>
    <row r="326" spans="1:23" s="830" customFormat="1" ht="19.5" customHeight="1">
      <c r="A326" s="1006"/>
      <c r="B326" s="1009"/>
      <c r="C326" s="1007"/>
      <c r="D326" s="868">
        <v>2</v>
      </c>
      <c r="E326" s="869" t="e">
        <f t="shared" ref="E326:R326" si="59">E290+E$264+E$266+E$268</f>
        <v>#VALUE!</v>
      </c>
      <c r="F326" s="849">
        <f t="shared" si="59"/>
        <v>0</v>
      </c>
      <c r="G326" s="849">
        <f t="shared" si="59"/>
        <v>0</v>
      </c>
      <c r="H326" s="849">
        <f t="shared" si="59"/>
        <v>130.90076712072647</v>
      </c>
      <c r="I326" s="849">
        <f t="shared" si="59"/>
        <v>297.51</v>
      </c>
      <c r="J326" s="849">
        <f t="shared" si="59"/>
        <v>5.0177777777777779</v>
      </c>
      <c r="K326" s="849">
        <f t="shared" si="59"/>
        <v>7.2519999999999998</v>
      </c>
      <c r="L326" s="849" t="e">
        <f t="shared" si="59"/>
        <v>#VALUE!</v>
      </c>
      <c r="M326" s="849" t="e">
        <f t="shared" si="59"/>
        <v>#VALUE!</v>
      </c>
      <c r="N326" s="849" t="e">
        <f t="shared" si="59"/>
        <v>#VALUE!</v>
      </c>
      <c r="O326" s="849"/>
      <c r="P326" s="849">
        <f t="shared" si="59"/>
        <v>196.57510683760685</v>
      </c>
      <c r="Q326" s="870">
        <f t="shared" si="59"/>
        <v>160.08760683760681</v>
      </c>
      <c r="R326" s="870">
        <f t="shared" si="59"/>
        <v>36.487500000000004</v>
      </c>
      <c r="S326" s="870"/>
      <c r="T326" s="849" t="e">
        <f>'[1]IV. DONGIA CHỈNH LÝ'!N321</f>
        <v>#VALUE!</v>
      </c>
      <c r="U326" s="849" t="e">
        <f t="shared" si="55"/>
        <v>#VALUE!</v>
      </c>
      <c r="W326" s="854"/>
    </row>
    <row r="327" spans="1:23" s="830" customFormat="1" ht="19.5" customHeight="1">
      <c r="A327" s="1006"/>
      <c r="B327" s="1009"/>
      <c r="C327" s="1007"/>
      <c r="D327" s="868">
        <v>3</v>
      </c>
      <c r="E327" s="869" t="e">
        <f t="shared" ref="E327:R327" si="60">E291+E$264+E$266+E$268</f>
        <v>#VALUE!</v>
      </c>
      <c r="F327" s="849">
        <f t="shared" si="60"/>
        <v>0</v>
      </c>
      <c r="G327" s="849">
        <f t="shared" si="60"/>
        <v>0</v>
      </c>
      <c r="H327" s="849">
        <f t="shared" si="60"/>
        <v>151.10824241452991</v>
      </c>
      <c r="I327" s="849">
        <f t="shared" si="60"/>
        <v>297.51</v>
      </c>
      <c r="J327" s="849">
        <f t="shared" si="60"/>
        <v>5.0177777777777779</v>
      </c>
      <c r="K327" s="849">
        <f t="shared" si="60"/>
        <v>7.2519999999999998</v>
      </c>
      <c r="L327" s="849" t="e">
        <f t="shared" si="60"/>
        <v>#VALUE!</v>
      </c>
      <c r="M327" s="849" t="e">
        <f t="shared" si="60"/>
        <v>#VALUE!</v>
      </c>
      <c r="N327" s="849" t="e">
        <f t="shared" si="60"/>
        <v>#VALUE!</v>
      </c>
      <c r="O327" s="849"/>
      <c r="P327" s="849">
        <f t="shared" si="60"/>
        <v>227.76100427350428</v>
      </c>
      <c r="Q327" s="870">
        <f t="shared" si="60"/>
        <v>185.03632478632477</v>
      </c>
      <c r="R327" s="870">
        <f t="shared" si="60"/>
        <v>42.724679487179486</v>
      </c>
      <c r="S327" s="870"/>
      <c r="T327" s="849" t="e">
        <f>'[1]IV. DONGIA CHỈNH LÝ'!N322</f>
        <v>#VALUE!</v>
      </c>
      <c r="U327" s="849" t="e">
        <f t="shared" si="55"/>
        <v>#VALUE!</v>
      </c>
      <c r="W327" s="854"/>
    </row>
    <row r="328" spans="1:23" s="830" customFormat="1" ht="19.5" customHeight="1">
      <c r="A328" s="1006"/>
      <c r="B328" s="1009"/>
      <c r="C328" s="1007"/>
      <c r="D328" s="868">
        <v>4</v>
      </c>
      <c r="E328" s="869" t="e">
        <f t="shared" ref="E328:R328" si="61">E292+E$264+E$266+E$268</f>
        <v>#VALUE!</v>
      </c>
      <c r="F328" s="849">
        <f t="shared" si="61"/>
        <v>0</v>
      </c>
      <c r="G328" s="849">
        <f t="shared" si="61"/>
        <v>0</v>
      </c>
      <c r="H328" s="849">
        <f t="shared" si="61"/>
        <v>159.19123253205126</v>
      </c>
      <c r="I328" s="849">
        <f t="shared" si="61"/>
        <v>297.51</v>
      </c>
      <c r="J328" s="849">
        <f t="shared" si="61"/>
        <v>5.0177777777777779</v>
      </c>
      <c r="K328" s="849">
        <f t="shared" si="61"/>
        <v>7.2519999999999998</v>
      </c>
      <c r="L328" s="849" t="e">
        <f t="shared" si="61"/>
        <v>#VALUE!</v>
      </c>
      <c r="M328" s="849" t="e">
        <f t="shared" si="61"/>
        <v>#VALUE!</v>
      </c>
      <c r="N328" s="849" t="e">
        <f t="shared" si="61"/>
        <v>#VALUE!</v>
      </c>
      <c r="O328" s="849"/>
      <c r="P328" s="849">
        <f t="shared" si="61"/>
        <v>265.18408119658119</v>
      </c>
      <c r="Q328" s="870">
        <f t="shared" si="61"/>
        <v>214.97478632478629</v>
      </c>
      <c r="R328" s="870">
        <f t="shared" si="61"/>
        <v>50.209294871794867</v>
      </c>
      <c r="S328" s="870"/>
      <c r="T328" s="849" t="e">
        <f>'[1]IV. DONGIA CHỈNH LÝ'!N323</f>
        <v>#VALUE!</v>
      </c>
      <c r="U328" s="849" t="e">
        <f t="shared" si="55"/>
        <v>#VALUE!</v>
      </c>
      <c r="W328" s="854"/>
    </row>
    <row r="329" spans="1:23" s="830" customFormat="1" ht="19.5" customHeight="1">
      <c r="A329" s="1006"/>
      <c r="B329" s="1009"/>
      <c r="C329" s="1007"/>
      <c r="D329" s="868"/>
      <c r="E329" s="869"/>
      <c r="F329" s="849"/>
      <c r="G329" s="849"/>
      <c r="H329" s="849"/>
      <c r="I329" s="849"/>
      <c r="J329" s="849"/>
      <c r="K329" s="849"/>
      <c r="L329" s="849"/>
      <c r="M329" s="849"/>
      <c r="N329" s="849"/>
      <c r="O329" s="849">
        <v>0</v>
      </c>
      <c r="P329" s="849"/>
      <c r="Q329" s="872"/>
      <c r="R329" s="872"/>
      <c r="S329" s="873"/>
      <c r="T329" s="849">
        <f>'[1]IV. DONGIA CHỈNH LÝ'!N324</f>
        <v>0</v>
      </c>
      <c r="U329" s="849">
        <f t="shared" si="55"/>
        <v>0</v>
      </c>
      <c r="W329" s="854"/>
    </row>
    <row r="330" spans="1:23" s="830" customFormat="1" ht="19.5" customHeight="1">
      <c r="A330" s="1006" t="s">
        <v>4</v>
      </c>
      <c r="B330" s="1009" t="s">
        <v>516</v>
      </c>
      <c r="C330" s="1007" t="s">
        <v>278</v>
      </c>
      <c r="D330" s="868">
        <v>1</v>
      </c>
      <c r="E330" s="869" t="e">
        <f t="shared" ref="E330:R330" si="62">E294++E299+E307+E$259+E$262</f>
        <v>#VALUE!</v>
      </c>
      <c r="F330" s="849">
        <f t="shared" si="62"/>
        <v>21903.200000000001</v>
      </c>
      <c r="G330" s="849">
        <f t="shared" si="62"/>
        <v>0</v>
      </c>
      <c r="H330" s="849">
        <f t="shared" si="62"/>
        <v>2358.2424525512815</v>
      </c>
      <c r="I330" s="849">
        <f t="shared" si="62"/>
        <v>8323.2576000000008</v>
      </c>
      <c r="J330" s="849">
        <f t="shared" si="62"/>
        <v>6862.8195999999998</v>
      </c>
      <c r="K330" s="849">
        <f t="shared" si="62"/>
        <v>709.0902000000001</v>
      </c>
      <c r="L330" s="849" t="e">
        <f t="shared" si="62"/>
        <v>#VALUE!</v>
      </c>
      <c r="M330" s="849" t="e">
        <f t="shared" si="62"/>
        <v>#VALUE!</v>
      </c>
      <c r="N330" s="849" t="e">
        <f t="shared" si="62"/>
        <v>#VALUE!</v>
      </c>
      <c r="O330" s="849">
        <v>3344.0000000001164</v>
      </c>
      <c r="P330" s="849">
        <f t="shared" si="62"/>
        <v>9141.923076923078</v>
      </c>
      <c r="Q330" s="898">
        <f t="shared" si="62"/>
        <v>7356.3076923076924</v>
      </c>
      <c r="R330" s="899">
        <f t="shared" si="62"/>
        <v>1785.6153846153848</v>
      </c>
      <c r="S330" s="899"/>
      <c r="T330" s="849" t="e">
        <f>'[1]IV. DONGIA CHỈNH LÝ'!N325</f>
        <v>#VALUE!</v>
      </c>
      <c r="U330" s="849" t="e">
        <f t="shared" si="55"/>
        <v>#VALUE!</v>
      </c>
      <c r="W330" s="854"/>
    </row>
    <row r="331" spans="1:23" s="830" customFormat="1" ht="19.5" customHeight="1">
      <c r="A331" s="1006"/>
      <c r="B331" s="1009"/>
      <c r="C331" s="1007"/>
      <c r="D331" s="868">
        <v>2</v>
      </c>
      <c r="E331" s="869" t="e">
        <f t="shared" ref="E331:R331" si="63">E295++E300+E308+E$259+E$262</f>
        <v>#VALUE!</v>
      </c>
      <c r="F331" s="849">
        <f t="shared" si="63"/>
        <v>26265.5</v>
      </c>
      <c r="G331" s="849">
        <f t="shared" si="63"/>
        <v>0</v>
      </c>
      <c r="H331" s="849">
        <f t="shared" si="63"/>
        <v>2901.6536990224349</v>
      </c>
      <c r="I331" s="849">
        <f t="shared" si="63"/>
        <v>8323.2576000000008</v>
      </c>
      <c r="J331" s="849">
        <f t="shared" si="63"/>
        <v>7863.5428000000002</v>
      </c>
      <c r="K331" s="849">
        <f t="shared" si="63"/>
        <v>737.83920000000012</v>
      </c>
      <c r="L331" s="849" t="e">
        <f t="shared" si="63"/>
        <v>#VALUE!</v>
      </c>
      <c r="M331" s="849" t="e">
        <f t="shared" si="63"/>
        <v>#VALUE!</v>
      </c>
      <c r="N331" s="849" t="e">
        <f t="shared" si="63"/>
        <v>#VALUE!</v>
      </c>
      <c r="O331" s="849">
        <v>4010</v>
      </c>
      <c r="P331" s="849">
        <f t="shared" si="63"/>
        <v>3179.9457692307692</v>
      </c>
      <c r="Q331" s="898">
        <f t="shared" si="63"/>
        <v>2588.6076923076921</v>
      </c>
      <c r="R331" s="899">
        <f t="shared" si="63"/>
        <v>591.33807692307698</v>
      </c>
      <c r="S331" s="899"/>
      <c r="T331" s="849" t="e">
        <f>'[1]IV. DONGIA CHỈNH LÝ'!N326</f>
        <v>#VALUE!</v>
      </c>
      <c r="U331" s="849" t="e">
        <f t="shared" si="55"/>
        <v>#VALUE!</v>
      </c>
      <c r="W331" s="854"/>
    </row>
    <row r="332" spans="1:23" s="830" customFormat="1" ht="19.5" customHeight="1">
      <c r="A332" s="1006"/>
      <c r="B332" s="1009"/>
      <c r="C332" s="1007"/>
      <c r="D332" s="868">
        <v>3</v>
      </c>
      <c r="E332" s="869" t="e">
        <f t="shared" ref="E332:R332" si="64">E296++E301+E309+E$259+E$262</f>
        <v>#VALUE!</v>
      </c>
      <c r="F332" s="849">
        <f t="shared" si="64"/>
        <v>31518.6</v>
      </c>
      <c r="G332" s="849">
        <f t="shared" si="64"/>
        <v>0</v>
      </c>
      <c r="H332" s="849">
        <f t="shared" si="64"/>
        <v>3807.3391098076913</v>
      </c>
      <c r="I332" s="849">
        <f t="shared" si="64"/>
        <v>8323.2576000000008</v>
      </c>
      <c r="J332" s="849">
        <f t="shared" si="64"/>
        <v>10387.905999999999</v>
      </c>
      <c r="K332" s="849">
        <f t="shared" si="64"/>
        <v>810.56639999999993</v>
      </c>
      <c r="L332" s="849" t="e">
        <f t="shared" si="64"/>
        <v>#VALUE!</v>
      </c>
      <c r="M332" s="849" t="e">
        <f t="shared" si="64"/>
        <v>#VALUE!</v>
      </c>
      <c r="N332" s="849" t="e">
        <f t="shared" si="64"/>
        <v>#VALUE!</v>
      </c>
      <c r="O332" s="849">
        <v>4812.0000000001164</v>
      </c>
      <c r="P332" s="849">
        <f t="shared" si="64"/>
        <v>13034.484423076923</v>
      </c>
      <c r="Q332" s="898">
        <f t="shared" si="64"/>
        <v>10476.857692307691</v>
      </c>
      <c r="R332" s="899">
        <f t="shared" si="64"/>
        <v>2557.626730769231</v>
      </c>
      <c r="S332" s="899"/>
      <c r="T332" s="849" t="e">
        <f>'[1]IV. DONGIA CHỈNH LÝ'!N327</f>
        <v>#VALUE!</v>
      </c>
      <c r="U332" s="849" t="e">
        <f t="shared" si="55"/>
        <v>#VALUE!</v>
      </c>
      <c r="W332" s="854"/>
    </row>
    <row r="333" spans="1:23" s="830" customFormat="1" ht="19.5" customHeight="1">
      <c r="A333" s="1006"/>
      <c r="B333" s="1009"/>
      <c r="C333" s="1007"/>
      <c r="D333" s="868">
        <v>4</v>
      </c>
      <c r="E333" s="869" t="e">
        <f t="shared" ref="E333:R333" si="65">E297++E302+E310+E$259+E$262</f>
        <v>#VALUE!</v>
      </c>
      <c r="F333" s="849">
        <f t="shared" si="65"/>
        <v>37832.800000000003</v>
      </c>
      <c r="G333" s="849">
        <f t="shared" si="65"/>
        <v>0</v>
      </c>
      <c r="H333" s="849">
        <f t="shared" si="65"/>
        <v>4169.6132741217943</v>
      </c>
      <c r="I333" s="849">
        <f t="shared" si="65"/>
        <v>8323.2576000000008</v>
      </c>
      <c r="J333" s="849">
        <f t="shared" si="65"/>
        <v>11408.0208</v>
      </c>
      <c r="K333" s="849">
        <f t="shared" si="65"/>
        <v>838.53839999999991</v>
      </c>
      <c r="L333" s="849" t="e">
        <f t="shared" si="65"/>
        <v>#VALUE!</v>
      </c>
      <c r="M333" s="849" t="e">
        <f t="shared" si="65"/>
        <v>#VALUE!</v>
      </c>
      <c r="N333" s="849" t="e">
        <f t="shared" si="65"/>
        <v>#VALUE!</v>
      </c>
      <c r="O333" s="849">
        <v>5775.9999999998836</v>
      </c>
      <c r="P333" s="849">
        <f t="shared" si="65"/>
        <v>15443.915769230771</v>
      </c>
      <c r="Q333" s="874">
        <f t="shared" si="65"/>
        <v>12406.284615384615</v>
      </c>
      <c r="R333" s="900">
        <f t="shared" si="65"/>
        <v>3037.6311538461541</v>
      </c>
      <c r="S333" s="900"/>
      <c r="T333" s="849" t="e">
        <f>'[1]IV. DONGIA CHỈNH LÝ'!N328</f>
        <v>#VALUE!</v>
      </c>
      <c r="U333" s="849" t="e">
        <f t="shared" si="55"/>
        <v>#VALUE!</v>
      </c>
      <c r="W333" s="854"/>
    </row>
    <row r="334" spans="1:23" s="830" customFormat="1" ht="12">
      <c r="A334" s="875"/>
      <c r="B334" s="876"/>
      <c r="C334" s="876"/>
      <c r="D334" s="875"/>
      <c r="E334" s="877"/>
      <c r="F334" s="878"/>
      <c r="G334" s="878"/>
      <c r="H334" s="878"/>
      <c r="I334" s="878"/>
      <c r="J334" s="878"/>
      <c r="K334" s="878"/>
      <c r="L334" s="878"/>
      <c r="M334" s="878"/>
      <c r="N334" s="878"/>
      <c r="O334" s="878"/>
      <c r="P334" s="879"/>
      <c r="Q334" s="879"/>
      <c r="R334" s="879"/>
      <c r="S334" s="880"/>
    </row>
    <row r="335" spans="1:23" s="830" customFormat="1" ht="12">
      <c r="A335" s="875"/>
      <c r="B335" s="876"/>
      <c r="C335" s="876"/>
      <c r="D335" s="875"/>
      <c r="E335" s="877"/>
      <c r="F335" s="878"/>
      <c r="G335" s="878"/>
      <c r="H335" s="878"/>
      <c r="I335" s="878"/>
      <c r="J335" s="878"/>
      <c r="K335" s="878"/>
      <c r="L335" s="878"/>
      <c r="M335" s="878"/>
      <c r="N335" s="878"/>
      <c r="O335" s="878"/>
      <c r="P335" s="879"/>
      <c r="Q335" s="879"/>
      <c r="R335" s="879"/>
      <c r="S335" s="880"/>
    </row>
    <row r="336" spans="1:23" s="830" customFormat="1" ht="12">
      <c r="A336" s="875"/>
      <c r="B336" s="876"/>
      <c r="C336" s="876"/>
      <c r="D336" s="875"/>
      <c r="E336" s="877"/>
      <c r="F336" s="878"/>
      <c r="G336" s="878"/>
      <c r="H336" s="878"/>
      <c r="I336" s="878"/>
      <c r="J336" s="878"/>
      <c r="K336" s="878"/>
      <c r="L336" s="878"/>
      <c r="M336" s="878"/>
      <c r="N336" s="878"/>
      <c r="O336" s="878"/>
      <c r="P336" s="879"/>
      <c r="Q336" s="879"/>
      <c r="R336" s="879"/>
      <c r="S336" s="880"/>
    </row>
    <row r="337" spans="1:19" s="830" customFormat="1" ht="12">
      <c r="A337" s="875"/>
      <c r="B337" s="876"/>
      <c r="C337" s="876"/>
      <c r="D337" s="875"/>
      <c r="E337" s="877"/>
      <c r="F337" s="878"/>
      <c r="G337" s="878"/>
      <c r="H337" s="878"/>
      <c r="I337" s="878"/>
      <c r="J337" s="878"/>
      <c r="K337" s="878"/>
      <c r="L337" s="878"/>
      <c r="M337" s="878"/>
      <c r="N337" s="878"/>
      <c r="O337" s="878"/>
      <c r="P337" s="879"/>
      <c r="Q337" s="879"/>
      <c r="R337" s="879"/>
      <c r="S337" s="880"/>
    </row>
    <row r="338" spans="1:19" s="830" customFormat="1" ht="12">
      <c r="A338" s="875"/>
      <c r="B338" s="876"/>
      <c r="C338" s="876"/>
      <c r="D338" s="875"/>
      <c r="E338" s="877"/>
      <c r="F338" s="878"/>
      <c r="G338" s="878"/>
      <c r="H338" s="878"/>
      <c r="I338" s="878"/>
      <c r="J338" s="878"/>
      <c r="K338" s="878"/>
      <c r="L338" s="878"/>
      <c r="M338" s="878"/>
      <c r="N338" s="878"/>
      <c r="O338" s="878"/>
      <c r="P338" s="879"/>
      <c r="Q338" s="879"/>
      <c r="R338" s="879"/>
      <c r="S338" s="880"/>
    </row>
    <row r="339" spans="1:19" s="830" customFormat="1" ht="12">
      <c r="A339" s="875"/>
      <c r="B339" s="876"/>
      <c r="C339" s="876"/>
      <c r="D339" s="875"/>
      <c r="E339" s="877"/>
      <c r="F339" s="878"/>
      <c r="G339" s="878"/>
      <c r="H339" s="878"/>
      <c r="I339" s="878"/>
      <c r="J339" s="878"/>
      <c r="K339" s="878"/>
      <c r="L339" s="878"/>
      <c r="M339" s="878"/>
      <c r="N339" s="878"/>
      <c r="O339" s="878"/>
      <c r="P339" s="879"/>
      <c r="Q339" s="879"/>
      <c r="R339" s="879"/>
      <c r="S339" s="880"/>
    </row>
    <row r="340" spans="1:19" s="830" customFormat="1" ht="12">
      <c r="A340" s="875"/>
      <c r="B340" s="876"/>
      <c r="C340" s="876"/>
      <c r="D340" s="875"/>
      <c r="E340" s="877"/>
      <c r="F340" s="878"/>
      <c r="G340" s="878"/>
      <c r="H340" s="878"/>
      <c r="I340" s="878"/>
      <c r="J340" s="878"/>
      <c r="K340" s="878"/>
      <c r="L340" s="878"/>
      <c r="M340" s="878"/>
      <c r="N340" s="878"/>
      <c r="O340" s="878"/>
      <c r="P340" s="879"/>
      <c r="Q340" s="879"/>
      <c r="R340" s="879"/>
      <c r="S340" s="880"/>
    </row>
    <row r="341" spans="1:19" s="830" customFormat="1" ht="12">
      <c r="A341" s="875"/>
      <c r="B341" s="876"/>
      <c r="C341" s="876"/>
      <c r="D341" s="875"/>
      <c r="E341" s="877"/>
      <c r="F341" s="878"/>
      <c r="G341" s="878"/>
      <c r="H341" s="878"/>
      <c r="I341" s="878"/>
      <c r="J341" s="878"/>
      <c r="K341" s="878"/>
      <c r="L341" s="878"/>
      <c r="M341" s="878"/>
      <c r="N341" s="878"/>
      <c r="O341" s="878"/>
      <c r="P341" s="879"/>
      <c r="Q341" s="879"/>
      <c r="R341" s="879"/>
      <c r="S341" s="880"/>
    </row>
    <row r="342" spans="1:19" s="830" customFormat="1" ht="12">
      <c r="A342" s="875"/>
      <c r="B342" s="876"/>
      <c r="C342" s="876"/>
      <c r="D342" s="875"/>
      <c r="E342" s="877"/>
      <c r="F342" s="878"/>
      <c r="G342" s="878"/>
      <c r="H342" s="878"/>
      <c r="I342" s="878"/>
      <c r="J342" s="878"/>
      <c r="K342" s="878"/>
      <c r="L342" s="878"/>
      <c r="M342" s="878"/>
      <c r="N342" s="878"/>
      <c r="O342" s="878"/>
      <c r="P342" s="879"/>
      <c r="Q342" s="879"/>
      <c r="R342" s="879"/>
      <c r="S342" s="880"/>
    </row>
    <row r="343" spans="1:19" s="830" customFormat="1" ht="12">
      <c r="A343" s="875"/>
      <c r="B343" s="876"/>
      <c r="C343" s="876"/>
      <c r="D343" s="875"/>
      <c r="E343" s="877"/>
      <c r="F343" s="878"/>
      <c r="G343" s="878"/>
      <c r="H343" s="878"/>
      <c r="I343" s="878"/>
      <c r="J343" s="878"/>
      <c r="K343" s="878"/>
      <c r="L343" s="878"/>
      <c r="M343" s="878"/>
      <c r="N343" s="878"/>
      <c r="O343" s="878"/>
      <c r="P343" s="879"/>
      <c r="Q343" s="879"/>
      <c r="R343" s="879"/>
      <c r="S343" s="880"/>
    </row>
    <row r="344" spans="1:19" s="830" customFormat="1" ht="12">
      <c r="A344" s="875"/>
      <c r="B344" s="876"/>
      <c r="C344" s="876"/>
      <c r="D344" s="875"/>
      <c r="E344" s="877"/>
      <c r="F344" s="878"/>
      <c r="G344" s="878"/>
      <c r="H344" s="878"/>
      <c r="I344" s="878"/>
      <c r="J344" s="878"/>
      <c r="K344" s="878"/>
      <c r="L344" s="878"/>
      <c r="M344" s="878"/>
      <c r="N344" s="878"/>
      <c r="O344" s="878"/>
      <c r="P344" s="879"/>
      <c r="Q344" s="879"/>
      <c r="R344" s="879"/>
      <c r="S344" s="880"/>
    </row>
    <row r="345" spans="1:19" s="830" customFormat="1" ht="12">
      <c r="A345" s="875"/>
      <c r="B345" s="876"/>
      <c r="C345" s="876"/>
      <c r="D345" s="875"/>
      <c r="E345" s="877"/>
      <c r="F345" s="878"/>
      <c r="G345" s="878"/>
      <c r="H345" s="878"/>
      <c r="I345" s="878"/>
      <c r="J345" s="878"/>
      <c r="K345" s="878"/>
      <c r="L345" s="878"/>
      <c r="M345" s="878"/>
      <c r="N345" s="878"/>
      <c r="O345" s="878"/>
      <c r="P345" s="879"/>
      <c r="Q345" s="879"/>
      <c r="R345" s="879"/>
      <c r="S345" s="880"/>
    </row>
    <row r="346" spans="1:19" s="830" customFormat="1" ht="12">
      <c r="A346" s="875"/>
      <c r="B346" s="876"/>
      <c r="C346" s="876"/>
      <c r="D346" s="875"/>
      <c r="E346" s="877"/>
      <c r="F346" s="878"/>
      <c r="G346" s="878"/>
      <c r="H346" s="878"/>
      <c r="I346" s="878"/>
      <c r="J346" s="878"/>
      <c r="K346" s="878"/>
      <c r="L346" s="878"/>
      <c r="M346" s="878"/>
      <c r="N346" s="878"/>
      <c r="O346" s="878"/>
      <c r="P346" s="879"/>
      <c r="Q346" s="879"/>
      <c r="R346" s="879"/>
      <c r="S346" s="880"/>
    </row>
    <row r="347" spans="1:19" s="830" customFormat="1" ht="12">
      <c r="A347" s="875"/>
      <c r="B347" s="876"/>
      <c r="C347" s="876"/>
      <c r="D347" s="875"/>
      <c r="E347" s="877"/>
      <c r="F347" s="878"/>
      <c r="G347" s="878"/>
      <c r="H347" s="878"/>
      <c r="I347" s="878"/>
      <c r="J347" s="878"/>
      <c r="K347" s="878"/>
      <c r="L347" s="878"/>
      <c r="M347" s="878"/>
      <c r="N347" s="878"/>
      <c r="O347" s="878"/>
      <c r="P347" s="879"/>
      <c r="Q347" s="879"/>
      <c r="R347" s="879"/>
      <c r="S347" s="880"/>
    </row>
    <row r="348" spans="1:19" s="830" customFormat="1" ht="12">
      <c r="A348" s="875"/>
      <c r="B348" s="876"/>
      <c r="C348" s="876"/>
      <c r="D348" s="875"/>
      <c r="E348" s="877"/>
      <c r="F348" s="878"/>
      <c r="G348" s="878"/>
      <c r="H348" s="878"/>
      <c r="I348" s="878"/>
      <c r="J348" s="878"/>
      <c r="K348" s="878"/>
      <c r="L348" s="878"/>
      <c r="M348" s="878"/>
      <c r="N348" s="878"/>
      <c r="O348" s="878"/>
      <c r="P348" s="879"/>
      <c r="Q348" s="879"/>
      <c r="R348" s="879"/>
      <c r="S348" s="880"/>
    </row>
    <row r="349" spans="1:19" s="830" customFormat="1" ht="12">
      <c r="A349" s="875"/>
      <c r="B349" s="876"/>
      <c r="C349" s="876"/>
      <c r="D349" s="875"/>
      <c r="E349" s="877"/>
      <c r="F349" s="878"/>
      <c r="G349" s="878"/>
      <c r="H349" s="878"/>
      <c r="I349" s="878"/>
      <c r="J349" s="878"/>
      <c r="K349" s="878"/>
      <c r="L349" s="878"/>
      <c r="M349" s="878"/>
      <c r="N349" s="878"/>
      <c r="O349" s="878"/>
      <c r="P349" s="879"/>
      <c r="Q349" s="879"/>
      <c r="R349" s="879"/>
      <c r="S349" s="880"/>
    </row>
    <row r="350" spans="1:19" s="830" customFormat="1" ht="12">
      <c r="A350" s="875"/>
      <c r="B350" s="876"/>
      <c r="C350" s="876"/>
      <c r="D350" s="875"/>
      <c r="E350" s="877"/>
      <c r="F350" s="878"/>
      <c r="G350" s="878"/>
      <c r="H350" s="878"/>
      <c r="I350" s="878"/>
      <c r="J350" s="878"/>
      <c r="K350" s="878"/>
      <c r="L350" s="878"/>
      <c r="M350" s="878"/>
      <c r="N350" s="878"/>
      <c r="O350" s="878"/>
      <c r="P350" s="879"/>
      <c r="Q350" s="879"/>
      <c r="R350" s="879"/>
      <c r="S350" s="880"/>
    </row>
    <row r="351" spans="1:19" s="830" customFormat="1" ht="12">
      <c r="A351" s="875"/>
      <c r="B351" s="876"/>
      <c r="C351" s="876"/>
      <c r="D351" s="875"/>
      <c r="E351" s="877"/>
      <c r="F351" s="878"/>
      <c r="G351" s="878"/>
      <c r="H351" s="878"/>
      <c r="I351" s="878"/>
      <c r="J351" s="878"/>
      <c r="K351" s="878"/>
      <c r="L351" s="878"/>
      <c r="M351" s="878"/>
      <c r="N351" s="878"/>
      <c r="O351" s="878"/>
      <c r="P351" s="879"/>
      <c r="Q351" s="879"/>
      <c r="R351" s="879"/>
      <c r="S351" s="880"/>
    </row>
    <row r="352" spans="1:19" s="830" customFormat="1" ht="12">
      <c r="A352" s="875"/>
      <c r="B352" s="876"/>
      <c r="C352" s="876"/>
      <c r="D352" s="875"/>
      <c r="E352" s="877"/>
      <c r="F352" s="878"/>
      <c r="G352" s="878"/>
      <c r="H352" s="878"/>
      <c r="I352" s="878"/>
      <c r="J352" s="878"/>
      <c r="K352" s="878"/>
      <c r="L352" s="878"/>
      <c r="M352" s="878"/>
      <c r="N352" s="878"/>
      <c r="O352" s="878"/>
      <c r="P352" s="879"/>
      <c r="Q352" s="879"/>
      <c r="R352" s="879"/>
      <c r="S352" s="880"/>
    </row>
    <row r="353" spans="1:19" s="830" customFormat="1" ht="12">
      <c r="A353" s="875"/>
      <c r="B353" s="876"/>
      <c r="C353" s="876"/>
      <c r="D353" s="875"/>
      <c r="E353" s="877"/>
      <c r="F353" s="878"/>
      <c r="G353" s="878"/>
      <c r="H353" s="878"/>
      <c r="I353" s="878"/>
      <c r="J353" s="878"/>
      <c r="K353" s="878"/>
      <c r="L353" s="878"/>
      <c r="M353" s="878"/>
      <c r="N353" s="878"/>
      <c r="O353" s="878"/>
      <c r="P353" s="879"/>
      <c r="Q353" s="879"/>
      <c r="R353" s="879"/>
      <c r="S353" s="880"/>
    </row>
    <row r="354" spans="1:19" s="830" customFormat="1" ht="12">
      <c r="A354" s="875"/>
      <c r="B354" s="876"/>
      <c r="C354" s="876"/>
      <c r="D354" s="875"/>
      <c r="E354" s="877"/>
      <c r="F354" s="878"/>
      <c r="G354" s="878"/>
      <c r="H354" s="878"/>
      <c r="I354" s="878"/>
      <c r="J354" s="878"/>
      <c r="K354" s="878"/>
      <c r="L354" s="878"/>
      <c r="M354" s="878"/>
      <c r="N354" s="878"/>
      <c r="O354" s="878"/>
      <c r="P354" s="879"/>
      <c r="Q354" s="879"/>
      <c r="R354" s="879"/>
      <c r="S354" s="880"/>
    </row>
    <row r="355" spans="1:19" s="830" customFormat="1" ht="12">
      <c r="A355" s="875"/>
      <c r="B355" s="876"/>
      <c r="C355" s="876"/>
      <c r="D355" s="875"/>
      <c r="E355" s="877"/>
      <c r="F355" s="878"/>
      <c r="G355" s="878"/>
      <c r="H355" s="878"/>
      <c r="I355" s="878"/>
      <c r="J355" s="878"/>
      <c r="K355" s="878"/>
      <c r="L355" s="878"/>
      <c r="M355" s="878"/>
      <c r="N355" s="878"/>
      <c r="O355" s="878"/>
      <c r="P355" s="879"/>
      <c r="Q355" s="879"/>
      <c r="R355" s="879"/>
      <c r="S355" s="880"/>
    </row>
    <row r="356" spans="1:19" s="830" customFormat="1" ht="12">
      <c r="A356" s="875"/>
      <c r="B356" s="876"/>
      <c r="C356" s="876"/>
      <c r="D356" s="875"/>
      <c r="E356" s="877"/>
      <c r="F356" s="878"/>
      <c r="G356" s="878"/>
      <c r="H356" s="878"/>
      <c r="I356" s="878"/>
      <c r="J356" s="878"/>
      <c r="K356" s="878"/>
      <c r="L356" s="878"/>
      <c r="M356" s="878"/>
      <c r="N356" s="878"/>
      <c r="O356" s="878"/>
      <c r="P356" s="879"/>
      <c r="Q356" s="879"/>
      <c r="R356" s="879"/>
      <c r="S356" s="880"/>
    </row>
    <row r="357" spans="1:19" s="830" customFormat="1" ht="12">
      <c r="A357" s="875"/>
      <c r="B357" s="876"/>
      <c r="C357" s="876"/>
      <c r="D357" s="875"/>
      <c r="E357" s="877"/>
      <c r="F357" s="878"/>
      <c r="G357" s="878"/>
      <c r="H357" s="878"/>
      <c r="I357" s="878"/>
      <c r="J357" s="878"/>
      <c r="K357" s="878"/>
      <c r="L357" s="878"/>
      <c r="M357" s="878"/>
      <c r="N357" s="878"/>
      <c r="O357" s="878"/>
      <c r="P357" s="879"/>
      <c r="Q357" s="879"/>
      <c r="R357" s="879"/>
      <c r="S357" s="880"/>
    </row>
    <row r="358" spans="1:19" s="830" customFormat="1" ht="12">
      <c r="A358" s="875"/>
      <c r="B358" s="876"/>
      <c r="C358" s="876"/>
      <c r="D358" s="875"/>
      <c r="E358" s="877"/>
      <c r="F358" s="878"/>
      <c r="G358" s="878"/>
      <c r="H358" s="878"/>
      <c r="I358" s="878"/>
      <c r="J358" s="878"/>
      <c r="K358" s="878"/>
      <c r="L358" s="878"/>
      <c r="M358" s="878"/>
      <c r="N358" s="878"/>
      <c r="O358" s="878"/>
      <c r="P358" s="879"/>
      <c r="Q358" s="879"/>
      <c r="R358" s="879"/>
      <c r="S358" s="880"/>
    </row>
    <row r="359" spans="1:19" s="830" customFormat="1" ht="12">
      <c r="A359" s="875"/>
      <c r="B359" s="876"/>
      <c r="C359" s="876"/>
      <c r="D359" s="875"/>
      <c r="E359" s="877"/>
      <c r="F359" s="878"/>
      <c r="G359" s="878"/>
      <c r="H359" s="878"/>
      <c r="I359" s="878"/>
      <c r="J359" s="878"/>
      <c r="K359" s="878"/>
      <c r="L359" s="878"/>
      <c r="M359" s="878"/>
      <c r="N359" s="878"/>
      <c r="O359" s="878"/>
      <c r="P359" s="879"/>
      <c r="Q359" s="879"/>
      <c r="R359" s="879"/>
      <c r="S359" s="880"/>
    </row>
    <row r="360" spans="1:19" s="830" customFormat="1" ht="12">
      <c r="A360" s="875"/>
      <c r="B360" s="876"/>
      <c r="C360" s="876"/>
      <c r="D360" s="875"/>
      <c r="E360" s="877"/>
      <c r="F360" s="878"/>
      <c r="G360" s="878"/>
      <c r="H360" s="878"/>
      <c r="I360" s="878"/>
      <c r="J360" s="878"/>
      <c r="K360" s="878"/>
      <c r="L360" s="878"/>
      <c r="M360" s="878"/>
      <c r="N360" s="878"/>
      <c r="O360" s="878"/>
      <c r="P360" s="879"/>
      <c r="Q360" s="879"/>
      <c r="R360" s="879"/>
      <c r="S360" s="880"/>
    </row>
    <row r="361" spans="1:19" s="830" customFormat="1" ht="12">
      <c r="A361" s="875"/>
      <c r="B361" s="876"/>
      <c r="C361" s="876"/>
      <c r="D361" s="875"/>
      <c r="E361" s="877"/>
      <c r="F361" s="878"/>
      <c r="G361" s="878"/>
      <c r="H361" s="878"/>
      <c r="I361" s="878"/>
      <c r="J361" s="878"/>
      <c r="K361" s="878"/>
      <c r="L361" s="878"/>
      <c r="M361" s="878"/>
      <c r="N361" s="878"/>
      <c r="O361" s="878"/>
      <c r="P361" s="879"/>
      <c r="Q361" s="879"/>
      <c r="R361" s="879"/>
      <c r="S361" s="880"/>
    </row>
    <row r="362" spans="1:19" s="830" customFormat="1" ht="12">
      <c r="A362" s="875"/>
      <c r="B362" s="876"/>
      <c r="C362" s="876"/>
      <c r="D362" s="875"/>
      <c r="E362" s="877"/>
      <c r="F362" s="878"/>
      <c r="G362" s="878"/>
      <c r="H362" s="878"/>
      <c r="I362" s="878"/>
      <c r="J362" s="878"/>
      <c r="K362" s="878"/>
      <c r="L362" s="878"/>
      <c r="M362" s="878"/>
      <c r="N362" s="878"/>
      <c r="O362" s="878"/>
      <c r="P362" s="879"/>
      <c r="Q362" s="879"/>
      <c r="R362" s="879"/>
      <c r="S362" s="880"/>
    </row>
    <row r="363" spans="1:19" s="830" customFormat="1" ht="12">
      <c r="A363" s="875"/>
      <c r="B363" s="876"/>
      <c r="C363" s="876"/>
      <c r="D363" s="875"/>
      <c r="E363" s="877"/>
      <c r="F363" s="878"/>
      <c r="G363" s="878"/>
      <c r="H363" s="878"/>
      <c r="I363" s="878"/>
      <c r="J363" s="878"/>
      <c r="K363" s="878"/>
      <c r="L363" s="878"/>
      <c r="M363" s="878"/>
      <c r="N363" s="878"/>
      <c r="O363" s="878"/>
      <c r="P363" s="879"/>
      <c r="Q363" s="879"/>
      <c r="R363" s="879"/>
      <c r="S363" s="880"/>
    </row>
    <row r="364" spans="1:19" s="830" customFormat="1" ht="12">
      <c r="A364" s="875"/>
      <c r="B364" s="876"/>
      <c r="C364" s="876"/>
      <c r="D364" s="875"/>
      <c r="E364" s="877"/>
      <c r="F364" s="878"/>
      <c r="G364" s="878"/>
      <c r="H364" s="878"/>
      <c r="I364" s="878"/>
      <c r="J364" s="878"/>
      <c r="K364" s="878"/>
      <c r="L364" s="878"/>
      <c r="M364" s="878"/>
      <c r="N364" s="878"/>
      <c r="O364" s="878"/>
      <c r="P364" s="879"/>
      <c r="Q364" s="879"/>
      <c r="R364" s="879"/>
      <c r="S364" s="880"/>
    </row>
    <row r="365" spans="1:19" s="830" customFormat="1" ht="12">
      <c r="A365" s="875"/>
      <c r="B365" s="876"/>
      <c r="C365" s="876"/>
      <c r="D365" s="875"/>
      <c r="E365" s="877"/>
      <c r="F365" s="878"/>
      <c r="G365" s="878"/>
      <c r="H365" s="878"/>
      <c r="I365" s="878"/>
      <c r="J365" s="878"/>
      <c r="K365" s="878"/>
      <c r="L365" s="878"/>
      <c r="M365" s="878"/>
      <c r="N365" s="878"/>
      <c r="O365" s="878"/>
      <c r="P365" s="879"/>
      <c r="Q365" s="879"/>
      <c r="R365" s="879"/>
      <c r="S365" s="880"/>
    </row>
    <row r="366" spans="1:19" s="830" customFormat="1" ht="12">
      <c r="A366" s="875"/>
      <c r="B366" s="876"/>
      <c r="C366" s="876"/>
      <c r="D366" s="875"/>
      <c r="E366" s="877"/>
      <c r="F366" s="878"/>
      <c r="G366" s="878"/>
      <c r="H366" s="878"/>
      <c r="I366" s="878"/>
      <c r="J366" s="878"/>
      <c r="K366" s="878"/>
      <c r="L366" s="878"/>
      <c r="M366" s="878"/>
      <c r="N366" s="878"/>
      <c r="O366" s="878"/>
      <c r="P366" s="879"/>
      <c r="Q366" s="879"/>
      <c r="R366" s="879"/>
      <c r="S366" s="880"/>
    </row>
    <row r="367" spans="1:19" s="830" customFormat="1" ht="12">
      <c r="A367" s="875"/>
      <c r="B367" s="876"/>
      <c r="C367" s="876"/>
      <c r="D367" s="875"/>
      <c r="E367" s="877"/>
      <c r="F367" s="878"/>
      <c r="G367" s="878"/>
      <c r="H367" s="878"/>
      <c r="I367" s="878"/>
      <c r="J367" s="878"/>
      <c r="K367" s="878"/>
      <c r="L367" s="878"/>
      <c r="M367" s="878"/>
      <c r="N367" s="878"/>
      <c r="O367" s="878"/>
      <c r="P367" s="879"/>
      <c r="Q367" s="879"/>
      <c r="R367" s="879"/>
      <c r="S367" s="880"/>
    </row>
    <row r="368" spans="1:19" s="830" customFormat="1" ht="12">
      <c r="A368" s="875"/>
      <c r="B368" s="876"/>
      <c r="C368" s="876"/>
      <c r="D368" s="875"/>
      <c r="E368" s="877"/>
      <c r="F368" s="878"/>
      <c r="G368" s="878"/>
      <c r="H368" s="878"/>
      <c r="I368" s="878"/>
      <c r="J368" s="878"/>
      <c r="K368" s="878"/>
      <c r="L368" s="878"/>
      <c r="M368" s="878"/>
      <c r="N368" s="878"/>
      <c r="O368" s="878"/>
      <c r="P368" s="879"/>
      <c r="Q368" s="879"/>
      <c r="R368" s="879"/>
      <c r="S368" s="880"/>
    </row>
    <row r="369" spans="1:19" s="830" customFormat="1" ht="12">
      <c r="A369" s="875"/>
      <c r="B369" s="876"/>
      <c r="C369" s="876"/>
      <c r="D369" s="875"/>
      <c r="E369" s="877"/>
      <c r="F369" s="878"/>
      <c r="G369" s="878"/>
      <c r="H369" s="878"/>
      <c r="I369" s="878"/>
      <c r="J369" s="878"/>
      <c r="K369" s="878"/>
      <c r="L369" s="878"/>
      <c r="M369" s="878"/>
      <c r="N369" s="878"/>
      <c r="O369" s="878"/>
      <c r="P369" s="879"/>
      <c r="Q369" s="879"/>
      <c r="R369" s="879"/>
      <c r="S369" s="880"/>
    </row>
    <row r="370" spans="1:19" s="830" customFormat="1" ht="12">
      <c r="A370" s="875"/>
      <c r="B370" s="876"/>
      <c r="C370" s="876"/>
      <c r="D370" s="875"/>
      <c r="E370" s="877"/>
      <c r="F370" s="878"/>
      <c r="G370" s="878"/>
      <c r="H370" s="878"/>
      <c r="I370" s="878"/>
      <c r="J370" s="878"/>
      <c r="K370" s="878"/>
      <c r="L370" s="878"/>
      <c r="M370" s="878"/>
      <c r="N370" s="878"/>
      <c r="O370" s="878"/>
      <c r="P370" s="879"/>
      <c r="Q370" s="879"/>
      <c r="R370" s="879"/>
      <c r="S370" s="880"/>
    </row>
    <row r="371" spans="1:19" s="830" customFormat="1" ht="12">
      <c r="A371" s="875"/>
      <c r="B371" s="876"/>
      <c r="C371" s="876"/>
      <c r="D371" s="875"/>
      <c r="E371" s="877"/>
      <c r="F371" s="878"/>
      <c r="G371" s="878"/>
      <c r="H371" s="878"/>
      <c r="I371" s="878"/>
      <c r="J371" s="878"/>
      <c r="K371" s="878"/>
      <c r="L371" s="878"/>
      <c r="M371" s="878"/>
      <c r="N371" s="878"/>
      <c r="O371" s="878"/>
      <c r="P371" s="879"/>
      <c r="Q371" s="879"/>
      <c r="R371" s="879"/>
      <c r="S371" s="880"/>
    </row>
    <row r="372" spans="1:19" s="830" customFormat="1" ht="12">
      <c r="A372" s="875"/>
      <c r="B372" s="876"/>
      <c r="C372" s="876"/>
      <c r="D372" s="875"/>
      <c r="E372" s="877"/>
      <c r="F372" s="878"/>
      <c r="G372" s="878"/>
      <c r="H372" s="878"/>
      <c r="I372" s="878"/>
      <c r="J372" s="878"/>
      <c r="K372" s="878"/>
      <c r="L372" s="878"/>
      <c r="M372" s="878"/>
      <c r="N372" s="878"/>
      <c r="O372" s="878"/>
      <c r="P372" s="879"/>
      <c r="Q372" s="879"/>
      <c r="R372" s="879"/>
      <c r="S372" s="880"/>
    </row>
    <row r="373" spans="1:19" s="830" customFormat="1" ht="12">
      <c r="A373" s="875"/>
      <c r="B373" s="876"/>
      <c r="C373" s="876"/>
      <c r="D373" s="875"/>
      <c r="E373" s="877"/>
      <c r="F373" s="878"/>
      <c r="G373" s="878"/>
      <c r="H373" s="878"/>
      <c r="I373" s="878"/>
      <c r="J373" s="878"/>
      <c r="K373" s="878"/>
      <c r="L373" s="878"/>
      <c r="M373" s="878"/>
      <c r="N373" s="878"/>
      <c r="O373" s="878"/>
      <c r="P373" s="879"/>
      <c r="Q373" s="879"/>
      <c r="R373" s="879"/>
      <c r="S373" s="880"/>
    </row>
    <row r="374" spans="1:19" s="830" customFormat="1" ht="12">
      <c r="A374" s="875"/>
      <c r="B374" s="876"/>
      <c r="C374" s="876"/>
      <c r="D374" s="875"/>
      <c r="E374" s="877"/>
      <c r="F374" s="878"/>
      <c r="G374" s="878"/>
      <c r="H374" s="878"/>
      <c r="I374" s="878"/>
      <c r="J374" s="878"/>
      <c r="K374" s="878"/>
      <c r="L374" s="878"/>
      <c r="M374" s="878"/>
      <c r="N374" s="878"/>
      <c r="O374" s="878"/>
      <c r="P374" s="879"/>
      <c r="Q374" s="879"/>
      <c r="R374" s="879"/>
      <c r="S374" s="880"/>
    </row>
    <row r="375" spans="1:19" s="830" customFormat="1" ht="12">
      <c r="A375" s="875"/>
      <c r="B375" s="876"/>
      <c r="C375" s="876"/>
      <c r="D375" s="875"/>
      <c r="E375" s="877"/>
      <c r="F375" s="878"/>
      <c r="G375" s="878"/>
      <c r="H375" s="878"/>
      <c r="I375" s="878"/>
      <c r="J375" s="878"/>
      <c r="K375" s="878"/>
      <c r="L375" s="878"/>
      <c r="M375" s="878"/>
      <c r="N375" s="878"/>
      <c r="O375" s="878"/>
      <c r="P375" s="879"/>
      <c r="Q375" s="879"/>
      <c r="R375" s="879"/>
      <c r="S375" s="880"/>
    </row>
    <row r="376" spans="1:19" s="830" customFormat="1" ht="12">
      <c r="A376" s="875"/>
      <c r="B376" s="876"/>
      <c r="C376" s="876"/>
      <c r="D376" s="875"/>
      <c r="E376" s="877"/>
      <c r="F376" s="878"/>
      <c r="G376" s="878"/>
      <c r="H376" s="878"/>
      <c r="I376" s="878"/>
      <c r="J376" s="878"/>
      <c r="K376" s="878"/>
      <c r="L376" s="878"/>
      <c r="M376" s="878"/>
      <c r="N376" s="878"/>
      <c r="O376" s="878"/>
      <c r="P376" s="879"/>
      <c r="Q376" s="879"/>
      <c r="R376" s="879"/>
      <c r="S376" s="880"/>
    </row>
    <row r="377" spans="1:19" s="830" customFormat="1" ht="12">
      <c r="A377" s="875"/>
      <c r="B377" s="876"/>
      <c r="C377" s="876"/>
      <c r="D377" s="875"/>
      <c r="E377" s="877"/>
      <c r="F377" s="878"/>
      <c r="G377" s="878"/>
      <c r="H377" s="878"/>
      <c r="I377" s="878"/>
      <c r="J377" s="878"/>
      <c r="K377" s="878"/>
      <c r="L377" s="878"/>
      <c r="M377" s="878"/>
      <c r="N377" s="878"/>
      <c r="O377" s="878"/>
      <c r="P377" s="879"/>
      <c r="Q377" s="879"/>
      <c r="R377" s="879"/>
      <c r="S377" s="880"/>
    </row>
    <row r="378" spans="1:19" s="830" customFormat="1" ht="12">
      <c r="A378" s="875"/>
      <c r="B378" s="876"/>
      <c r="C378" s="876"/>
      <c r="D378" s="875"/>
      <c r="E378" s="877"/>
      <c r="F378" s="878"/>
      <c r="G378" s="878"/>
      <c r="H378" s="878"/>
      <c r="I378" s="878"/>
      <c r="J378" s="878"/>
      <c r="K378" s="878"/>
      <c r="L378" s="878"/>
      <c r="M378" s="878"/>
      <c r="N378" s="878"/>
      <c r="O378" s="878"/>
      <c r="P378" s="879"/>
      <c r="Q378" s="879"/>
      <c r="R378" s="879"/>
      <c r="S378" s="880"/>
    </row>
    <row r="379" spans="1:19" s="830" customFormat="1" ht="12">
      <c r="A379" s="875"/>
      <c r="B379" s="876"/>
      <c r="C379" s="876"/>
      <c r="D379" s="875"/>
      <c r="E379" s="877"/>
      <c r="F379" s="878"/>
      <c r="G379" s="878"/>
      <c r="H379" s="878"/>
      <c r="I379" s="878"/>
      <c r="J379" s="878"/>
      <c r="K379" s="878"/>
      <c r="L379" s="878"/>
      <c r="M379" s="878"/>
      <c r="N379" s="878"/>
      <c r="O379" s="878"/>
      <c r="P379" s="879"/>
      <c r="Q379" s="879"/>
      <c r="R379" s="879"/>
      <c r="S379" s="880"/>
    </row>
    <row r="380" spans="1:19" s="830" customFormat="1" ht="12">
      <c r="A380" s="875"/>
      <c r="B380" s="876"/>
      <c r="C380" s="876"/>
      <c r="D380" s="875"/>
      <c r="E380" s="877"/>
      <c r="F380" s="878"/>
      <c r="G380" s="878"/>
      <c r="H380" s="878"/>
      <c r="I380" s="878"/>
      <c r="J380" s="878"/>
      <c r="K380" s="878"/>
      <c r="L380" s="878"/>
      <c r="M380" s="878"/>
      <c r="N380" s="878"/>
      <c r="O380" s="878"/>
      <c r="P380" s="879"/>
      <c r="Q380" s="879"/>
      <c r="R380" s="879"/>
      <c r="S380" s="880"/>
    </row>
    <row r="381" spans="1:19" s="830" customFormat="1" ht="12">
      <c r="A381" s="875"/>
      <c r="B381" s="876"/>
      <c r="C381" s="876"/>
      <c r="D381" s="875"/>
      <c r="E381" s="877"/>
      <c r="F381" s="878"/>
      <c r="G381" s="878"/>
      <c r="H381" s="878"/>
      <c r="I381" s="878"/>
      <c r="J381" s="878"/>
      <c r="K381" s="878"/>
      <c r="L381" s="878"/>
      <c r="M381" s="878"/>
      <c r="N381" s="878"/>
      <c r="O381" s="878"/>
      <c r="P381" s="879"/>
      <c r="Q381" s="879"/>
      <c r="R381" s="879"/>
      <c r="S381" s="880"/>
    </row>
    <row r="382" spans="1:19" s="830" customFormat="1" ht="12">
      <c r="A382" s="875"/>
      <c r="B382" s="876"/>
      <c r="C382" s="876"/>
      <c r="D382" s="875"/>
      <c r="E382" s="877"/>
      <c r="F382" s="878"/>
      <c r="G382" s="878"/>
      <c r="H382" s="878"/>
      <c r="I382" s="878"/>
      <c r="J382" s="878"/>
      <c r="K382" s="878"/>
      <c r="L382" s="878"/>
      <c r="M382" s="878"/>
      <c r="N382" s="878"/>
      <c r="O382" s="878"/>
      <c r="P382" s="879"/>
      <c r="Q382" s="879"/>
      <c r="R382" s="879"/>
      <c r="S382" s="880"/>
    </row>
    <row r="383" spans="1:19" s="830" customFormat="1" ht="12">
      <c r="A383" s="875"/>
      <c r="B383" s="876"/>
      <c r="C383" s="876"/>
      <c r="D383" s="875"/>
      <c r="E383" s="877"/>
      <c r="F383" s="878"/>
      <c r="G383" s="878"/>
      <c r="H383" s="878"/>
      <c r="I383" s="878"/>
      <c r="J383" s="878"/>
      <c r="K383" s="878"/>
      <c r="L383" s="878"/>
      <c r="M383" s="878"/>
      <c r="N383" s="878"/>
      <c r="O383" s="878"/>
      <c r="P383" s="879"/>
      <c r="Q383" s="879"/>
      <c r="R383" s="879"/>
      <c r="S383" s="880"/>
    </row>
    <row r="384" spans="1:19" s="830" customFormat="1" ht="12">
      <c r="A384" s="875"/>
      <c r="B384" s="876"/>
      <c r="C384" s="876"/>
      <c r="D384" s="875"/>
      <c r="E384" s="877"/>
      <c r="F384" s="878"/>
      <c r="G384" s="878"/>
      <c r="H384" s="878"/>
      <c r="I384" s="878"/>
      <c r="J384" s="878"/>
      <c r="K384" s="878"/>
      <c r="L384" s="878"/>
      <c r="M384" s="878"/>
      <c r="N384" s="878"/>
      <c r="O384" s="878"/>
      <c r="P384" s="879"/>
      <c r="Q384" s="879"/>
      <c r="R384" s="879"/>
      <c r="S384" s="880"/>
    </row>
    <row r="385" spans="1:19" s="830" customFormat="1" ht="12">
      <c r="A385" s="875"/>
      <c r="B385" s="876"/>
      <c r="C385" s="876"/>
      <c r="D385" s="875"/>
      <c r="E385" s="877"/>
      <c r="F385" s="878"/>
      <c r="G385" s="878"/>
      <c r="H385" s="878"/>
      <c r="I385" s="878"/>
      <c r="J385" s="878"/>
      <c r="K385" s="878"/>
      <c r="L385" s="878"/>
      <c r="M385" s="878"/>
      <c r="N385" s="878"/>
      <c r="O385" s="878"/>
      <c r="P385" s="879"/>
      <c r="Q385" s="879"/>
      <c r="R385" s="879"/>
      <c r="S385" s="880"/>
    </row>
    <row r="386" spans="1:19" s="830" customFormat="1" ht="12">
      <c r="A386" s="875"/>
      <c r="B386" s="876"/>
      <c r="C386" s="876"/>
      <c r="D386" s="875"/>
      <c r="E386" s="877"/>
      <c r="F386" s="878"/>
      <c r="G386" s="878"/>
      <c r="H386" s="878"/>
      <c r="I386" s="878"/>
      <c r="J386" s="878"/>
      <c r="K386" s="878"/>
      <c r="L386" s="878"/>
      <c r="M386" s="878"/>
      <c r="N386" s="878"/>
      <c r="O386" s="878"/>
      <c r="P386" s="879"/>
      <c r="Q386" s="879"/>
      <c r="R386" s="879"/>
      <c r="S386" s="880"/>
    </row>
    <row r="387" spans="1:19" s="830" customFormat="1" ht="12">
      <c r="A387" s="875"/>
      <c r="B387" s="876"/>
      <c r="C387" s="876"/>
      <c r="D387" s="875"/>
      <c r="E387" s="877"/>
      <c r="F387" s="878"/>
      <c r="G387" s="878"/>
      <c r="H387" s="878"/>
      <c r="I387" s="878"/>
      <c r="J387" s="878"/>
      <c r="K387" s="878"/>
      <c r="L387" s="878"/>
      <c r="M387" s="878"/>
      <c r="N387" s="878"/>
      <c r="O387" s="878"/>
      <c r="P387" s="879"/>
      <c r="Q387" s="879"/>
      <c r="R387" s="879"/>
      <c r="S387" s="880"/>
    </row>
    <row r="388" spans="1:19" s="830" customFormat="1" ht="12">
      <c r="A388" s="875"/>
      <c r="B388" s="876"/>
      <c r="C388" s="876"/>
      <c r="D388" s="875"/>
      <c r="E388" s="877"/>
      <c r="F388" s="878"/>
      <c r="G388" s="878"/>
      <c r="H388" s="878"/>
      <c r="I388" s="878"/>
      <c r="J388" s="878"/>
      <c r="K388" s="878"/>
      <c r="L388" s="878"/>
      <c r="M388" s="878"/>
      <c r="N388" s="878"/>
      <c r="O388" s="878"/>
      <c r="P388" s="879"/>
      <c r="Q388" s="879"/>
      <c r="R388" s="879"/>
      <c r="S388" s="880"/>
    </row>
    <row r="389" spans="1:19" s="830" customFormat="1" ht="12">
      <c r="A389" s="875"/>
      <c r="B389" s="876"/>
      <c r="C389" s="876"/>
      <c r="D389" s="875"/>
      <c r="E389" s="877"/>
      <c r="F389" s="878"/>
      <c r="G389" s="878"/>
      <c r="H389" s="878"/>
      <c r="I389" s="878"/>
      <c r="J389" s="878"/>
      <c r="K389" s="878"/>
      <c r="L389" s="878"/>
      <c r="M389" s="878"/>
      <c r="N389" s="878"/>
      <c r="O389" s="878"/>
      <c r="P389" s="879"/>
      <c r="Q389" s="879"/>
      <c r="R389" s="879"/>
      <c r="S389" s="880"/>
    </row>
    <row r="390" spans="1:19" s="830" customFormat="1" ht="12">
      <c r="A390" s="875"/>
      <c r="B390" s="876"/>
      <c r="C390" s="876"/>
      <c r="D390" s="875"/>
      <c r="E390" s="877"/>
      <c r="F390" s="878"/>
      <c r="G390" s="878"/>
      <c r="H390" s="878"/>
      <c r="I390" s="878"/>
      <c r="J390" s="878"/>
      <c r="K390" s="878"/>
      <c r="L390" s="878"/>
      <c r="M390" s="878"/>
      <c r="N390" s="878"/>
      <c r="O390" s="878"/>
      <c r="P390" s="879"/>
      <c r="Q390" s="879"/>
      <c r="R390" s="879"/>
      <c r="S390" s="880"/>
    </row>
    <row r="391" spans="1:19" s="830" customFormat="1" ht="12">
      <c r="A391" s="875"/>
      <c r="B391" s="876"/>
      <c r="C391" s="876"/>
      <c r="D391" s="875"/>
      <c r="E391" s="877"/>
      <c r="F391" s="878"/>
      <c r="G391" s="878"/>
      <c r="H391" s="878"/>
      <c r="I391" s="878"/>
      <c r="J391" s="878"/>
      <c r="K391" s="878"/>
      <c r="L391" s="878"/>
      <c r="M391" s="878"/>
      <c r="N391" s="878"/>
      <c r="O391" s="878"/>
      <c r="P391" s="879"/>
      <c r="Q391" s="879"/>
      <c r="R391" s="879"/>
      <c r="S391" s="880"/>
    </row>
    <row r="392" spans="1:19" s="830" customFormat="1" ht="12">
      <c r="A392" s="875"/>
      <c r="B392" s="876"/>
      <c r="C392" s="876"/>
      <c r="D392" s="875"/>
      <c r="E392" s="877"/>
      <c r="F392" s="878"/>
      <c r="G392" s="878"/>
      <c r="H392" s="878"/>
      <c r="I392" s="878"/>
      <c r="J392" s="878"/>
      <c r="K392" s="878"/>
      <c r="L392" s="878"/>
      <c r="M392" s="878"/>
      <c r="N392" s="878"/>
      <c r="O392" s="878"/>
      <c r="P392" s="879"/>
      <c r="Q392" s="879"/>
      <c r="R392" s="879"/>
      <c r="S392" s="880"/>
    </row>
    <row r="393" spans="1:19" s="830" customFormat="1" ht="12">
      <c r="A393" s="875"/>
      <c r="B393" s="876"/>
      <c r="C393" s="876"/>
      <c r="D393" s="875"/>
      <c r="E393" s="877"/>
      <c r="F393" s="878"/>
      <c r="G393" s="878"/>
      <c r="H393" s="878"/>
      <c r="I393" s="878"/>
      <c r="J393" s="878"/>
      <c r="K393" s="878"/>
      <c r="L393" s="878"/>
      <c r="M393" s="878"/>
      <c r="N393" s="878"/>
      <c r="O393" s="878"/>
      <c r="P393" s="879"/>
      <c r="Q393" s="879"/>
      <c r="R393" s="879"/>
      <c r="S393" s="880"/>
    </row>
    <row r="394" spans="1:19" s="830" customFormat="1" ht="12">
      <c r="A394" s="875"/>
      <c r="B394" s="876"/>
      <c r="C394" s="876"/>
      <c r="D394" s="875"/>
      <c r="E394" s="877"/>
      <c r="F394" s="878"/>
      <c r="G394" s="878"/>
      <c r="H394" s="878"/>
      <c r="I394" s="878"/>
      <c r="J394" s="878"/>
      <c r="K394" s="878"/>
      <c r="L394" s="878"/>
      <c r="M394" s="878"/>
      <c r="N394" s="878"/>
      <c r="O394" s="878"/>
      <c r="P394" s="879"/>
      <c r="Q394" s="879"/>
      <c r="R394" s="879"/>
      <c r="S394" s="880"/>
    </row>
    <row r="395" spans="1:19" s="830" customFormat="1" ht="12">
      <c r="A395" s="875"/>
      <c r="B395" s="876"/>
      <c r="C395" s="876"/>
      <c r="D395" s="875"/>
      <c r="E395" s="877"/>
      <c r="F395" s="878"/>
      <c r="G395" s="878"/>
      <c r="H395" s="878"/>
      <c r="I395" s="878"/>
      <c r="J395" s="878"/>
      <c r="K395" s="878"/>
      <c r="L395" s="878"/>
      <c r="M395" s="878"/>
      <c r="N395" s="878"/>
      <c r="O395" s="878"/>
      <c r="P395" s="879"/>
      <c r="Q395" s="879"/>
      <c r="R395" s="879"/>
      <c r="S395" s="880"/>
    </row>
    <row r="396" spans="1:19" s="830" customFormat="1" ht="12">
      <c r="A396" s="875"/>
      <c r="B396" s="876"/>
      <c r="C396" s="876"/>
      <c r="D396" s="875"/>
      <c r="E396" s="877"/>
      <c r="F396" s="878"/>
      <c r="G396" s="878"/>
      <c r="H396" s="878"/>
      <c r="I396" s="878"/>
      <c r="J396" s="878"/>
      <c r="K396" s="878"/>
      <c r="L396" s="878"/>
      <c r="M396" s="878"/>
      <c r="N396" s="878"/>
      <c r="O396" s="878"/>
      <c r="P396" s="879"/>
      <c r="Q396" s="879"/>
      <c r="R396" s="879"/>
      <c r="S396" s="880"/>
    </row>
    <row r="397" spans="1:19" s="830" customFormat="1" ht="12">
      <c r="A397" s="875"/>
      <c r="B397" s="876"/>
      <c r="C397" s="876"/>
      <c r="D397" s="875"/>
      <c r="E397" s="877"/>
      <c r="F397" s="878"/>
      <c r="G397" s="878"/>
      <c r="H397" s="878"/>
      <c r="I397" s="878"/>
      <c r="J397" s="878"/>
      <c r="K397" s="878"/>
      <c r="L397" s="878"/>
      <c r="M397" s="878"/>
      <c r="N397" s="878"/>
      <c r="O397" s="878"/>
      <c r="P397" s="879"/>
      <c r="Q397" s="879"/>
      <c r="R397" s="879"/>
      <c r="S397" s="880"/>
    </row>
    <row r="398" spans="1:19" s="830" customFormat="1" ht="12">
      <c r="A398" s="875"/>
      <c r="B398" s="876"/>
      <c r="C398" s="876"/>
      <c r="D398" s="875"/>
      <c r="E398" s="877"/>
      <c r="F398" s="878"/>
      <c r="G398" s="878"/>
      <c r="H398" s="878"/>
      <c r="I398" s="878"/>
      <c r="J398" s="878"/>
      <c r="K398" s="878"/>
      <c r="L398" s="878"/>
      <c r="M398" s="878"/>
      <c r="N398" s="878"/>
      <c r="O398" s="878"/>
      <c r="P398" s="879"/>
      <c r="Q398" s="879"/>
      <c r="R398" s="879"/>
      <c r="S398" s="880"/>
    </row>
    <row r="399" spans="1:19" s="830" customFormat="1" ht="12">
      <c r="A399" s="875"/>
      <c r="B399" s="876"/>
      <c r="C399" s="876"/>
      <c r="D399" s="875"/>
      <c r="E399" s="877"/>
      <c r="F399" s="878"/>
      <c r="G399" s="878"/>
      <c r="H399" s="878"/>
      <c r="I399" s="878"/>
      <c r="J399" s="878"/>
      <c r="K399" s="878"/>
      <c r="L399" s="878"/>
      <c r="M399" s="878"/>
      <c r="N399" s="878"/>
      <c r="O399" s="878"/>
      <c r="P399" s="879"/>
      <c r="Q399" s="879"/>
      <c r="R399" s="879"/>
      <c r="S399" s="880"/>
    </row>
    <row r="400" spans="1:19" s="830" customFormat="1" ht="12">
      <c r="A400" s="875"/>
      <c r="B400" s="876"/>
      <c r="C400" s="876"/>
      <c r="D400" s="875"/>
      <c r="E400" s="877"/>
      <c r="F400" s="878"/>
      <c r="G400" s="878"/>
      <c r="H400" s="878"/>
      <c r="I400" s="878"/>
      <c r="J400" s="878"/>
      <c r="K400" s="878"/>
      <c r="L400" s="878"/>
      <c r="M400" s="878"/>
      <c r="N400" s="878"/>
      <c r="O400" s="878"/>
      <c r="P400" s="879"/>
      <c r="Q400" s="879"/>
      <c r="R400" s="879"/>
      <c r="S400" s="880"/>
    </row>
    <row r="401" spans="1:19" s="830" customFormat="1" ht="12">
      <c r="A401" s="875"/>
      <c r="B401" s="876"/>
      <c r="C401" s="876"/>
      <c r="D401" s="875"/>
      <c r="E401" s="877"/>
      <c r="F401" s="878"/>
      <c r="G401" s="878"/>
      <c r="H401" s="878"/>
      <c r="I401" s="878"/>
      <c r="J401" s="878"/>
      <c r="K401" s="878"/>
      <c r="L401" s="878"/>
      <c r="M401" s="878"/>
      <c r="N401" s="878"/>
      <c r="O401" s="878"/>
      <c r="P401" s="879"/>
      <c r="Q401" s="879"/>
      <c r="R401" s="879"/>
      <c r="S401" s="880"/>
    </row>
    <row r="402" spans="1:19" s="830" customFormat="1" ht="12">
      <c r="A402" s="875"/>
      <c r="B402" s="876"/>
      <c r="C402" s="876"/>
      <c r="D402" s="875"/>
      <c r="E402" s="877"/>
      <c r="F402" s="878"/>
      <c r="G402" s="878"/>
      <c r="H402" s="878"/>
      <c r="I402" s="878"/>
      <c r="J402" s="878"/>
      <c r="K402" s="878"/>
      <c r="L402" s="878"/>
      <c r="M402" s="878"/>
      <c r="N402" s="878"/>
      <c r="O402" s="878"/>
      <c r="P402" s="879"/>
      <c r="Q402" s="879"/>
      <c r="R402" s="879"/>
      <c r="S402" s="880"/>
    </row>
    <row r="403" spans="1:19" s="830" customFormat="1" ht="12">
      <c r="A403" s="875"/>
      <c r="B403" s="876"/>
      <c r="C403" s="876"/>
      <c r="D403" s="875"/>
      <c r="E403" s="877"/>
      <c r="F403" s="878"/>
      <c r="G403" s="878"/>
      <c r="H403" s="878"/>
      <c r="I403" s="878"/>
      <c r="J403" s="878"/>
      <c r="K403" s="878"/>
      <c r="L403" s="878"/>
      <c r="M403" s="878"/>
      <c r="N403" s="878"/>
      <c r="O403" s="878"/>
      <c r="P403" s="879"/>
      <c r="Q403" s="879"/>
      <c r="R403" s="879"/>
      <c r="S403" s="880"/>
    </row>
    <row r="404" spans="1:19" s="830" customFormat="1" ht="12">
      <c r="A404" s="875"/>
      <c r="B404" s="876"/>
      <c r="C404" s="876"/>
      <c r="D404" s="875"/>
      <c r="E404" s="877"/>
      <c r="F404" s="878"/>
      <c r="G404" s="878"/>
      <c r="H404" s="878"/>
      <c r="I404" s="878"/>
      <c r="J404" s="878"/>
      <c r="K404" s="878"/>
      <c r="L404" s="878"/>
      <c r="M404" s="878"/>
      <c r="N404" s="878"/>
      <c r="O404" s="878"/>
      <c r="P404" s="879"/>
      <c r="Q404" s="879"/>
      <c r="R404" s="879"/>
      <c r="S404" s="880"/>
    </row>
    <row r="405" spans="1:19" s="830" customFormat="1" ht="12">
      <c r="A405" s="875"/>
      <c r="B405" s="876"/>
      <c r="C405" s="876"/>
      <c r="D405" s="875"/>
      <c r="E405" s="877"/>
      <c r="F405" s="878"/>
      <c r="G405" s="878"/>
      <c r="H405" s="878"/>
      <c r="I405" s="878"/>
      <c r="J405" s="878"/>
      <c r="K405" s="878"/>
      <c r="L405" s="878"/>
      <c r="M405" s="878"/>
      <c r="N405" s="878"/>
      <c r="O405" s="878"/>
      <c r="P405" s="879"/>
      <c r="Q405" s="879"/>
      <c r="R405" s="879"/>
      <c r="S405" s="880"/>
    </row>
    <row r="406" spans="1:19" s="830" customFormat="1" ht="12">
      <c r="A406" s="875"/>
      <c r="B406" s="876"/>
      <c r="C406" s="876"/>
      <c r="D406" s="875"/>
      <c r="E406" s="877"/>
      <c r="F406" s="878"/>
      <c r="G406" s="878"/>
      <c r="H406" s="878"/>
      <c r="I406" s="878"/>
      <c r="J406" s="878"/>
      <c r="K406" s="878"/>
      <c r="L406" s="878"/>
      <c r="M406" s="878"/>
      <c r="N406" s="878"/>
      <c r="O406" s="878"/>
      <c r="P406" s="879"/>
      <c r="Q406" s="879"/>
      <c r="R406" s="879"/>
      <c r="S406" s="880"/>
    </row>
    <row r="407" spans="1:19" s="830" customFormat="1" ht="12">
      <c r="A407" s="875"/>
      <c r="B407" s="876"/>
      <c r="C407" s="876"/>
      <c r="D407" s="875"/>
      <c r="E407" s="877"/>
      <c r="F407" s="878"/>
      <c r="G407" s="878"/>
      <c r="H407" s="878"/>
      <c r="I407" s="878"/>
      <c r="J407" s="878"/>
      <c r="K407" s="878"/>
      <c r="L407" s="878"/>
      <c r="M407" s="878"/>
      <c r="N407" s="878"/>
      <c r="O407" s="878"/>
      <c r="P407" s="879"/>
      <c r="Q407" s="879"/>
      <c r="R407" s="879"/>
      <c r="S407" s="880"/>
    </row>
    <row r="408" spans="1:19" s="830" customFormat="1" ht="12">
      <c r="A408" s="875"/>
      <c r="B408" s="876"/>
      <c r="C408" s="876"/>
      <c r="D408" s="875"/>
      <c r="E408" s="877"/>
      <c r="F408" s="878"/>
      <c r="G408" s="878"/>
      <c r="H408" s="878"/>
      <c r="I408" s="878"/>
      <c r="J408" s="878"/>
      <c r="K408" s="878"/>
      <c r="L408" s="878"/>
      <c r="M408" s="878"/>
      <c r="N408" s="878"/>
      <c r="O408" s="878"/>
      <c r="P408" s="879"/>
      <c r="Q408" s="879"/>
      <c r="R408" s="879"/>
      <c r="S408" s="880"/>
    </row>
    <row r="409" spans="1:19" s="830" customFormat="1" ht="12">
      <c r="A409" s="875"/>
      <c r="B409" s="876"/>
      <c r="C409" s="876"/>
      <c r="D409" s="875"/>
      <c r="E409" s="877"/>
      <c r="F409" s="878"/>
      <c r="G409" s="878"/>
      <c r="H409" s="878"/>
      <c r="I409" s="878"/>
      <c r="J409" s="878"/>
      <c r="K409" s="878"/>
      <c r="L409" s="878"/>
      <c r="M409" s="878"/>
      <c r="N409" s="878"/>
      <c r="O409" s="878"/>
      <c r="P409" s="879"/>
      <c r="Q409" s="879"/>
      <c r="R409" s="879"/>
      <c r="S409" s="880"/>
    </row>
    <row r="410" spans="1:19" s="830" customFormat="1" ht="12">
      <c r="A410" s="875"/>
      <c r="B410" s="876"/>
      <c r="C410" s="876"/>
      <c r="D410" s="875"/>
      <c r="E410" s="877"/>
      <c r="F410" s="878"/>
      <c r="G410" s="878"/>
      <c r="H410" s="878"/>
      <c r="I410" s="878"/>
      <c r="J410" s="878"/>
      <c r="K410" s="878"/>
      <c r="L410" s="878"/>
      <c r="M410" s="878"/>
      <c r="N410" s="878"/>
      <c r="O410" s="878"/>
      <c r="P410" s="879"/>
      <c r="Q410" s="879"/>
      <c r="R410" s="879"/>
      <c r="S410" s="880"/>
    </row>
    <row r="411" spans="1:19" s="830" customFormat="1" ht="12">
      <c r="A411" s="875"/>
      <c r="B411" s="876"/>
      <c r="C411" s="876"/>
      <c r="D411" s="875"/>
      <c r="E411" s="877"/>
      <c r="F411" s="878"/>
      <c r="G411" s="878"/>
      <c r="H411" s="878"/>
      <c r="I411" s="878"/>
      <c r="J411" s="878"/>
      <c r="K411" s="878"/>
      <c r="L411" s="878"/>
      <c r="M411" s="878"/>
      <c r="N411" s="878"/>
      <c r="O411" s="878"/>
      <c r="P411" s="879"/>
      <c r="Q411" s="879"/>
      <c r="R411" s="879"/>
      <c r="S411" s="880"/>
    </row>
    <row r="412" spans="1:19" s="830" customFormat="1" ht="12">
      <c r="A412" s="875"/>
      <c r="B412" s="876"/>
      <c r="C412" s="876"/>
      <c r="D412" s="875"/>
      <c r="E412" s="877"/>
      <c r="F412" s="878"/>
      <c r="G412" s="878"/>
      <c r="H412" s="878"/>
      <c r="I412" s="878"/>
      <c r="J412" s="878"/>
      <c r="K412" s="878"/>
      <c r="L412" s="878"/>
      <c r="M412" s="878"/>
      <c r="N412" s="878"/>
      <c r="O412" s="878"/>
      <c r="P412" s="879"/>
      <c r="Q412" s="879"/>
      <c r="R412" s="879"/>
      <c r="S412" s="880"/>
    </row>
    <row r="413" spans="1:19" s="830" customFormat="1" ht="12">
      <c r="A413" s="875"/>
      <c r="B413" s="876"/>
      <c r="C413" s="876"/>
      <c r="D413" s="875"/>
      <c r="E413" s="877"/>
      <c r="F413" s="878"/>
      <c r="G413" s="878"/>
      <c r="H413" s="878"/>
      <c r="I413" s="878"/>
      <c r="J413" s="878"/>
      <c r="K413" s="878"/>
      <c r="L413" s="878"/>
      <c r="M413" s="878"/>
      <c r="N413" s="878"/>
      <c r="O413" s="878"/>
      <c r="P413" s="879"/>
      <c r="Q413" s="879"/>
      <c r="R413" s="879"/>
      <c r="S413" s="880"/>
    </row>
    <row r="414" spans="1:19" s="830" customFormat="1" ht="12">
      <c r="A414" s="875"/>
      <c r="B414" s="876"/>
      <c r="C414" s="876"/>
      <c r="D414" s="875"/>
      <c r="E414" s="877"/>
      <c r="F414" s="878"/>
      <c r="G414" s="878"/>
      <c r="H414" s="878"/>
      <c r="I414" s="878"/>
      <c r="J414" s="878"/>
      <c r="K414" s="878"/>
      <c r="L414" s="878"/>
      <c r="M414" s="878"/>
      <c r="N414" s="878"/>
      <c r="O414" s="878"/>
      <c r="P414" s="879"/>
      <c r="Q414" s="879"/>
      <c r="R414" s="879"/>
      <c r="S414" s="880"/>
    </row>
    <row r="415" spans="1:19" s="830" customFormat="1" ht="12">
      <c r="A415" s="875"/>
      <c r="B415" s="876"/>
      <c r="C415" s="876"/>
      <c r="D415" s="875"/>
      <c r="E415" s="877"/>
      <c r="F415" s="878"/>
      <c r="G415" s="878"/>
      <c r="H415" s="878"/>
      <c r="I415" s="878"/>
      <c r="J415" s="878"/>
      <c r="K415" s="878"/>
      <c r="L415" s="878"/>
      <c r="M415" s="878"/>
      <c r="N415" s="878"/>
      <c r="O415" s="878"/>
      <c r="P415" s="879"/>
      <c r="Q415" s="879"/>
      <c r="R415" s="879"/>
      <c r="S415" s="880"/>
    </row>
    <row r="416" spans="1:19" s="830" customFormat="1" ht="12">
      <c r="A416" s="875"/>
      <c r="B416" s="876"/>
      <c r="C416" s="876"/>
      <c r="D416" s="875"/>
      <c r="E416" s="877"/>
      <c r="F416" s="878"/>
      <c r="G416" s="878"/>
      <c r="H416" s="878"/>
      <c r="I416" s="878"/>
      <c r="J416" s="878"/>
      <c r="K416" s="878"/>
      <c r="L416" s="878"/>
      <c r="M416" s="878"/>
      <c r="N416" s="878"/>
      <c r="O416" s="878"/>
      <c r="P416" s="879"/>
      <c r="Q416" s="879"/>
      <c r="R416" s="879"/>
      <c r="S416" s="880"/>
    </row>
    <row r="417" spans="1:19" s="830" customFormat="1" ht="12">
      <c r="A417" s="875"/>
      <c r="B417" s="876"/>
      <c r="C417" s="876"/>
      <c r="D417" s="875"/>
      <c r="E417" s="877"/>
      <c r="F417" s="878"/>
      <c r="G417" s="878"/>
      <c r="H417" s="878"/>
      <c r="I417" s="878"/>
      <c r="J417" s="878"/>
      <c r="K417" s="878"/>
      <c r="L417" s="878"/>
      <c r="M417" s="878"/>
      <c r="N417" s="878"/>
      <c r="O417" s="878"/>
      <c r="P417" s="879"/>
      <c r="Q417" s="879"/>
      <c r="R417" s="879"/>
      <c r="S417" s="880"/>
    </row>
    <row r="418" spans="1:19" s="830" customFormat="1" ht="12">
      <c r="A418" s="875"/>
      <c r="B418" s="876"/>
      <c r="C418" s="876"/>
      <c r="D418" s="875"/>
      <c r="E418" s="877"/>
      <c r="F418" s="878"/>
      <c r="G418" s="878"/>
      <c r="H418" s="878"/>
      <c r="I418" s="878"/>
      <c r="J418" s="878"/>
      <c r="K418" s="878"/>
      <c r="L418" s="878"/>
      <c r="M418" s="878"/>
      <c r="N418" s="878"/>
      <c r="O418" s="878"/>
      <c r="P418" s="879"/>
      <c r="Q418" s="879"/>
      <c r="R418" s="879"/>
      <c r="S418" s="880"/>
    </row>
    <row r="419" spans="1:19" s="830" customFormat="1" ht="12">
      <c r="A419" s="875"/>
      <c r="B419" s="876"/>
      <c r="C419" s="876"/>
      <c r="D419" s="875"/>
      <c r="E419" s="877"/>
      <c r="F419" s="878"/>
      <c r="G419" s="878"/>
      <c r="H419" s="878"/>
      <c r="I419" s="878"/>
      <c r="J419" s="878"/>
      <c r="K419" s="878"/>
      <c r="L419" s="878"/>
      <c r="M419" s="878"/>
      <c r="N419" s="878"/>
      <c r="O419" s="878"/>
      <c r="P419" s="879"/>
      <c r="Q419" s="879"/>
      <c r="R419" s="879"/>
      <c r="S419" s="880"/>
    </row>
    <row r="420" spans="1:19" s="830" customFormat="1" ht="12">
      <c r="A420" s="875"/>
      <c r="B420" s="876"/>
      <c r="C420" s="876"/>
      <c r="D420" s="875"/>
      <c r="E420" s="877"/>
      <c r="F420" s="878"/>
      <c r="G420" s="878"/>
      <c r="H420" s="878"/>
      <c r="I420" s="878"/>
      <c r="J420" s="878"/>
      <c r="K420" s="878"/>
      <c r="L420" s="878"/>
      <c r="M420" s="878"/>
      <c r="N420" s="878"/>
      <c r="O420" s="878"/>
      <c r="P420" s="879"/>
      <c r="Q420" s="879"/>
      <c r="R420" s="879"/>
      <c r="S420" s="880"/>
    </row>
    <row r="421" spans="1:19" s="830" customFormat="1" ht="12">
      <c r="A421" s="875"/>
      <c r="B421" s="876"/>
      <c r="C421" s="876"/>
      <c r="D421" s="875"/>
      <c r="E421" s="877"/>
      <c r="F421" s="878"/>
      <c r="G421" s="878"/>
      <c r="H421" s="878"/>
      <c r="I421" s="878"/>
      <c r="J421" s="878"/>
      <c r="K421" s="878"/>
      <c r="L421" s="878"/>
      <c r="M421" s="878"/>
      <c r="N421" s="878"/>
      <c r="O421" s="878"/>
      <c r="P421" s="879"/>
      <c r="Q421" s="879"/>
      <c r="R421" s="879"/>
      <c r="S421" s="880"/>
    </row>
    <row r="422" spans="1:19" s="830" customFormat="1" ht="12">
      <c r="A422" s="875"/>
      <c r="B422" s="876"/>
      <c r="C422" s="876"/>
      <c r="D422" s="875"/>
      <c r="E422" s="877"/>
      <c r="F422" s="878"/>
      <c r="G422" s="878"/>
      <c r="H422" s="878"/>
      <c r="I422" s="878"/>
      <c r="J422" s="878"/>
      <c r="K422" s="878"/>
      <c r="L422" s="878"/>
      <c r="M422" s="878"/>
      <c r="N422" s="878"/>
      <c r="O422" s="878"/>
      <c r="P422" s="879"/>
      <c r="Q422" s="879"/>
      <c r="R422" s="879"/>
      <c r="S422" s="880"/>
    </row>
    <row r="423" spans="1:19" s="830" customFormat="1" ht="12">
      <c r="A423" s="943"/>
      <c r="B423" s="944"/>
      <c r="C423" s="944"/>
      <c r="D423" s="943"/>
      <c r="E423" s="945"/>
      <c r="P423" s="946"/>
      <c r="Q423" s="946"/>
      <c r="R423" s="946"/>
      <c r="S423" s="947"/>
    </row>
    <row r="424" spans="1:19" s="830" customFormat="1" ht="12">
      <c r="A424" s="943"/>
      <c r="B424" s="944"/>
      <c r="C424" s="944"/>
      <c r="D424" s="943"/>
      <c r="E424" s="945"/>
      <c r="P424" s="946"/>
      <c r="Q424" s="946"/>
      <c r="R424" s="946"/>
      <c r="S424" s="947"/>
    </row>
    <row r="425" spans="1:19" s="830" customFormat="1" ht="12">
      <c r="A425" s="943"/>
      <c r="B425" s="944"/>
      <c r="C425" s="944"/>
      <c r="D425" s="943"/>
      <c r="E425" s="945"/>
      <c r="P425" s="946"/>
      <c r="Q425" s="946"/>
      <c r="R425" s="946"/>
      <c r="S425" s="947"/>
    </row>
    <row r="426" spans="1:19" s="830" customFormat="1" ht="12">
      <c r="A426" s="943"/>
      <c r="B426" s="944"/>
      <c r="C426" s="944"/>
      <c r="D426" s="943"/>
      <c r="E426" s="945"/>
      <c r="P426" s="946"/>
      <c r="Q426" s="946"/>
      <c r="R426" s="946"/>
      <c r="S426" s="947"/>
    </row>
    <row r="427" spans="1:19" s="830" customFormat="1" ht="12">
      <c r="A427" s="943"/>
      <c r="B427" s="944"/>
      <c r="C427" s="944"/>
      <c r="D427" s="943"/>
      <c r="E427" s="945"/>
      <c r="P427" s="946"/>
      <c r="Q427" s="946"/>
      <c r="R427" s="946"/>
      <c r="S427" s="947"/>
    </row>
    <row r="428" spans="1:19" s="830" customFormat="1" ht="12">
      <c r="A428" s="943"/>
      <c r="B428" s="944"/>
      <c r="C428" s="944"/>
      <c r="D428" s="943"/>
      <c r="E428" s="945"/>
      <c r="P428" s="946"/>
      <c r="Q428" s="946"/>
      <c r="R428" s="946"/>
      <c r="S428" s="947"/>
    </row>
    <row r="429" spans="1:19" s="830" customFormat="1" ht="12">
      <c r="A429" s="943"/>
      <c r="B429" s="944"/>
      <c r="C429" s="944"/>
      <c r="D429" s="943"/>
      <c r="E429" s="945"/>
      <c r="P429" s="946"/>
      <c r="Q429" s="946"/>
      <c r="R429" s="946"/>
      <c r="S429" s="947"/>
    </row>
    <row r="430" spans="1:19" s="830" customFormat="1" ht="12">
      <c r="A430" s="943"/>
      <c r="B430" s="944"/>
      <c r="C430" s="944"/>
      <c r="D430" s="943"/>
      <c r="E430" s="945"/>
      <c r="P430" s="946"/>
      <c r="Q430" s="946"/>
      <c r="R430" s="946"/>
      <c r="S430" s="947"/>
    </row>
    <row r="431" spans="1:19" s="830" customFormat="1" ht="12">
      <c r="A431" s="943"/>
      <c r="B431" s="944"/>
      <c r="C431" s="944"/>
      <c r="D431" s="943"/>
      <c r="E431" s="945"/>
      <c r="P431" s="946"/>
      <c r="Q431" s="946"/>
      <c r="R431" s="946"/>
      <c r="S431" s="947"/>
    </row>
    <row r="432" spans="1:19" s="830" customFormat="1" ht="12">
      <c r="A432" s="943"/>
      <c r="B432" s="944"/>
      <c r="C432" s="944"/>
      <c r="D432" s="943"/>
      <c r="E432" s="945"/>
      <c r="P432" s="946"/>
      <c r="Q432" s="946"/>
      <c r="R432" s="946"/>
      <c r="S432" s="947"/>
    </row>
    <row r="433" spans="1:19" s="830" customFormat="1" ht="12">
      <c r="A433" s="943"/>
      <c r="B433" s="944"/>
      <c r="C433" s="944"/>
      <c r="D433" s="943"/>
      <c r="E433" s="945"/>
      <c r="P433" s="946"/>
      <c r="Q433" s="946"/>
      <c r="R433" s="946"/>
      <c r="S433" s="947"/>
    </row>
    <row r="434" spans="1:19" s="830" customFormat="1" ht="12">
      <c r="A434" s="943"/>
      <c r="B434" s="944"/>
      <c r="C434" s="944"/>
      <c r="D434" s="943"/>
      <c r="E434" s="945"/>
      <c r="P434" s="946"/>
      <c r="Q434" s="946"/>
      <c r="R434" s="946"/>
      <c r="S434" s="947"/>
    </row>
    <row r="435" spans="1:19" s="830" customFormat="1" ht="12">
      <c r="A435" s="943"/>
      <c r="B435" s="944"/>
      <c r="C435" s="944"/>
      <c r="D435" s="943"/>
      <c r="E435" s="945"/>
      <c r="P435" s="946"/>
      <c r="Q435" s="946"/>
      <c r="R435" s="946"/>
      <c r="S435" s="947"/>
    </row>
    <row r="436" spans="1:19" s="830" customFormat="1" ht="12">
      <c r="A436" s="943"/>
      <c r="B436" s="944"/>
      <c r="C436" s="944"/>
      <c r="D436" s="943"/>
      <c r="E436" s="945"/>
      <c r="P436" s="946"/>
      <c r="Q436" s="946"/>
      <c r="R436" s="946"/>
      <c r="S436" s="947"/>
    </row>
    <row r="437" spans="1:19" s="830" customFormat="1" ht="12">
      <c r="A437" s="943"/>
      <c r="B437" s="944"/>
      <c r="C437" s="944"/>
      <c r="D437" s="943"/>
      <c r="E437" s="945"/>
      <c r="P437" s="946"/>
      <c r="Q437" s="946"/>
      <c r="R437" s="946"/>
      <c r="S437" s="947"/>
    </row>
    <row r="438" spans="1:19" s="830" customFormat="1" ht="12">
      <c r="A438" s="943"/>
      <c r="B438" s="944"/>
      <c r="C438" s="944"/>
      <c r="D438" s="943"/>
      <c r="E438" s="945"/>
      <c r="P438" s="946"/>
      <c r="Q438" s="946"/>
      <c r="R438" s="946"/>
      <c r="S438" s="947"/>
    </row>
    <row r="439" spans="1:19" s="830" customFormat="1" ht="12">
      <c r="A439" s="943"/>
      <c r="B439" s="944"/>
      <c r="C439" s="944"/>
      <c r="D439" s="943"/>
      <c r="E439" s="945"/>
      <c r="P439" s="946"/>
      <c r="Q439" s="946"/>
      <c r="R439" s="946"/>
      <c r="S439" s="947"/>
    </row>
    <row r="440" spans="1:19" s="830" customFormat="1" ht="12">
      <c r="A440" s="943"/>
      <c r="B440" s="944"/>
      <c r="C440" s="944"/>
      <c r="D440" s="943"/>
      <c r="E440" s="945"/>
      <c r="P440" s="946"/>
      <c r="Q440" s="946"/>
      <c r="R440" s="946"/>
      <c r="S440" s="947"/>
    </row>
    <row r="441" spans="1:19" s="830" customFormat="1" ht="12">
      <c r="A441" s="943"/>
      <c r="B441" s="944"/>
      <c r="C441" s="944"/>
      <c r="D441" s="943"/>
      <c r="E441" s="945"/>
      <c r="P441" s="946"/>
      <c r="Q441" s="946"/>
      <c r="R441" s="946"/>
      <c r="S441" s="947"/>
    </row>
    <row r="442" spans="1:19" s="830" customFormat="1" ht="12">
      <c r="A442" s="943"/>
      <c r="B442" s="944"/>
      <c r="C442" s="944"/>
      <c r="D442" s="943"/>
      <c r="E442" s="945"/>
      <c r="P442" s="946"/>
      <c r="Q442" s="946"/>
      <c r="R442" s="946"/>
      <c r="S442" s="947"/>
    </row>
    <row r="443" spans="1:19" s="830" customFormat="1" ht="12">
      <c r="A443" s="943"/>
      <c r="B443" s="944"/>
      <c r="C443" s="944"/>
      <c r="D443" s="943"/>
      <c r="E443" s="945"/>
      <c r="P443" s="946"/>
      <c r="Q443" s="946"/>
      <c r="R443" s="946"/>
      <c r="S443" s="947"/>
    </row>
    <row r="444" spans="1:19" s="830" customFormat="1" ht="12">
      <c r="A444" s="943"/>
      <c r="B444" s="944"/>
      <c r="C444" s="944"/>
      <c r="D444" s="943"/>
      <c r="E444" s="945"/>
      <c r="P444" s="946"/>
      <c r="Q444" s="946"/>
      <c r="R444" s="946"/>
      <c r="S444" s="947"/>
    </row>
    <row r="445" spans="1:19" s="830" customFormat="1" ht="12">
      <c r="A445" s="943"/>
      <c r="B445" s="944"/>
      <c r="C445" s="944"/>
      <c r="D445" s="943"/>
      <c r="E445" s="945"/>
      <c r="P445" s="946"/>
      <c r="Q445" s="946"/>
      <c r="R445" s="946"/>
      <c r="S445" s="947"/>
    </row>
    <row r="446" spans="1:19" s="830" customFormat="1" ht="12">
      <c r="A446" s="943"/>
      <c r="B446" s="944"/>
      <c r="C446" s="944"/>
      <c r="D446" s="943"/>
      <c r="E446" s="945"/>
      <c r="P446" s="946"/>
      <c r="Q446" s="946"/>
      <c r="R446" s="946"/>
      <c r="S446" s="947"/>
    </row>
    <row r="447" spans="1:19" s="830" customFormat="1" ht="12">
      <c r="A447" s="943"/>
      <c r="B447" s="944"/>
      <c r="C447" s="944"/>
      <c r="D447" s="943"/>
      <c r="E447" s="945"/>
      <c r="P447" s="946"/>
      <c r="Q447" s="946"/>
      <c r="R447" s="946"/>
      <c r="S447" s="947"/>
    </row>
    <row r="448" spans="1:19" s="948" customFormat="1" ht="12">
      <c r="A448" s="943"/>
      <c r="B448" s="944"/>
      <c r="C448" s="944"/>
      <c r="D448" s="943"/>
      <c r="E448" s="945"/>
      <c r="F448" s="830"/>
      <c r="G448" s="830"/>
      <c r="H448" s="830"/>
      <c r="I448" s="830"/>
      <c r="J448" s="830"/>
      <c r="K448" s="830"/>
      <c r="L448" s="830"/>
      <c r="M448" s="830"/>
      <c r="N448" s="830"/>
      <c r="O448" s="830"/>
      <c r="P448" s="946"/>
      <c r="Q448" s="946"/>
      <c r="R448" s="946"/>
      <c r="S448" s="947"/>
    </row>
    <row r="449" spans="1:19" s="948" customFormat="1" ht="12">
      <c r="A449" s="943"/>
      <c r="B449" s="944"/>
      <c r="C449" s="944"/>
      <c r="D449" s="943"/>
      <c r="E449" s="945"/>
      <c r="F449" s="830"/>
      <c r="G449" s="830"/>
      <c r="H449" s="830"/>
      <c r="I449" s="830"/>
      <c r="J449" s="830"/>
      <c r="K449" s="830"/>
      <c r="L449" s="830"/>
      <c r="M449" s="830"/>
      <c r="N449" s="830"/>
      <c r="O449" s="830"/>
      <c r="P449" s="946"/>
      <c r="Q449" s="946"/>
      <c r="R449" s="946"/>
      <c r="S449" s="947"/>
    </row>
    <row r="450" spans="1:19" s="948" customFormat="1" ht="12">
      <c r="A450" s="943"/>
      <c r="B450" s="944"/>
      <c r="C450" s="944"/>
      <c r="D450" s="943"/>
      <c r="E450" s="945"/>
      <c r="F450" s="830"/>
      <c r="G450" s="830"/>
      <c r="H450" s="830"/>
      <c r="I450" s="830"/>
      <c r="J450" s="830"/>
      <c r="K450" s="830"/>
      <c r="L450" s="830"/>
      <c r="M450" s="830"/>
      <c r="N450" s="830"/>
      <c r="O450" s="830"/>
      <c r="P450" s="946"/>
      <c r="Q450" s="946"/>
      <c r="R450" s="946"/>
      <c r="S450" s="947"/>
    </row>
    <row r="451" spans="1:19" s="948" customFormat="1" ht="12">
      <c r="A451" s="943"/>
      <c r="B451" s="944"/>
      <c r="C451" s="944"/>
      <c r="D451" s="943"/>
      <c r="E451" s="945"/>
      <c r="F451" s="830"/>
      <c r="G451" s="830"/>
      <c r="H451" s="830"/>
      <c r="I451" s="830"/>
      <c r="J451" s="830"/>
      <c r="K451" s="830"/>
      <c r="L451" s="830"/>
      <c r="M451" s="830"/>
      <c r="N451" s="830"/>
      <c r="O451" s="830"/>
      <c r="P451" s="946"/>
      <c r="Q451" s="946"/>
      <c r="R451" s="946"/>
      <c r="S451" s="947"/>
    </row>
    <row r="452" spans="1:19" s="948" customFormat="1" ht="12">
      <c r="A452" s="943"/>
      <c r="B452" s="944"/>
      <c r="C452" s="944"/>
      <c r="D452" s="943"/>
      <c r="E452" s="945"/>
      <c r="F452" s="830"/>
      <c r="G452" s="830"/>
      <c r="H452" s="830"/>
      <c r="I452" s="830"/>
      <c r="J452" s="830"/>
      <c r="K452" s="830"/>
      <c r="L452" s="830"/>
      <c r="M452" s="830"/>
      <c r="N452" s="830"/>
      <c r="O452" s="830"/>
      <c r="P452" s="946"/>
      <c r="Q452" s="946"/>
      <c r="R452" s="946"/>
      <c r="S452" s="947"/>
    </row>
    <row r="453" spans="1:19" s="948" customFormat="1" ht="12">
      <c r="A453" s="943"/>
      <c r="B453" s="944"/>
      <c r="C453" s="944"/>
      <c r="D453" s="943"/>
      <c r="E453" s="945"/>
      <c r="F453" s="830"/>
      <c r="G453" s="830"/>
      <c r="H453" s="830"/>
      <c r="I453" s="830"/>
      <c r="J453" s="830"/>
      <c r="K453" s="830"/>
      <c r="L453" s="830"/>
      <c r="M453" s="830"/>
      <c r="N453" s="830"/>
      <c r="O453" s="830"/>
      <c r="P453" s="946"/>
      <c r="Q453" s="946"/>
      <c r="R453" s="946"/>
      <c r="S453" s="947"/>
    </row>
    <row r="454" spans="1:19" s="948" customFormat="1" ht="12">
      <c r="A454" s="943"/>
      <c r="B454" s="944"/>
      <c r="C454" s="944"/>
      <c r="D454" s="943"/>
      <c r="E454" s="945"/>
      <c r="F454" s="830"/>
      <c r="G454" s="830"/>
      <c r="H454" s="830"/>
      <c r="I454" s="830"/>
      <c r="J454" s="830"/>
      <c r="K454" s="830"/>
      <c r="L454" s="830"/>
      <c r="M454" s="830"/>
      <c r="N454" s="830"/>
      <c r="O454" s="830"/>
      <c r="P454" s="946"/>
      <c r="Q454" s="946"/>
      <c r="R454" s="946"/>
      <c r="S454" s="947"/>
    </row>
    <row r="455" spans="1:19" s="948" customFormat="1" ht="12">
      <c r="A455" s="943"/>
      <c r="B455" s="944"/>
      <c r="C455" s="944"/>
      <c r="D455" s="943"/>
      <c r="E455" s="945"/>
      <c r="F455" s="830"/>
      <c r="G455" s="830"/>
      <c r="H455" s="830"/>
      <c r="I455" s="830"/>
      <c r="J455" s="830"/>
      <c r="K455" s="830"/>
      <c r="L455" s="830"/>
      <c r="M455" s="830"/>
      <c r="N455" s="830"/>
      <c r="O455" s="830"/>
      <c r="P455" s="946"/>
      <c r="Q455" s="946"/>
      <c r="R455" s="946"/>
      <c r="S455" s="947"/>
    </row>
    <row r="456" spans="1:19" s="948" customFormat="1" ht="12">
      <c r="A456" s="943"/>
      <c r="B456" s="944"/>
      <c r="C456" s="944"/>
      <c r="D456" s="943"/>
      <c r="E456" s="945"/>
      <c r="F456" s="830"/>
      <c r="G456" s="830"/>
      <c r="H456" s="830"/>
      <c r="I456" s="830"/>
      <c r="J456" s="830"/>
      <c r="K456" s="830"/>
      <c r="L456" s="830"/>
      <c r="M456" s="830"/>
      <c r="N456" s="830"/>
      <c r="O456" s="830"/>
      <c r="P456" s="946"/>
      <c r="Q456" s="946"/>
      <c r="R456" s="946"/>
      <c r="S456" s="947"/>
    </row>
    <row r="457" spans="1:19" s="948" customFormat="1" ht="12">
      <c r="A457" s="943"/>
      <c r="B457" s="944"/>
      <c r="C457" s="944"/>
      <c r="D457" s="943"/>
      <c r="E457" s="945"/>
      <c r="F457" s="830"/>
      <c r="G457" s="830"/>
      <c r="H457" s="830"/>
      <c r="I457" s="830"/>
      <c r="J457" s="830"/>
      <c r="K457" s="830"/>
      <c r="L457" s="830"/>
      <c r="M457" s="830"/>
      <c r="N457" s="830"/>
      <c r="O457" s="830"/>
      <c r="P457" s="946"/>
      <c r="Q457" s="946"/>
      <c r="R457" s="946"/>
      <c r="S457" s="947"/>
    </row>
    <row r="458" spans="1:19" s="948" customFormat="1" ht="12">
      <c r="A458" s="943"/>
      <c r="B458" s="944"/>
      <c r="C458" s="944"/>
      <c r="D458" s="943"/>
      <c r="E458" s="945"/>
      <c r="F458" s="830"/>
      <c r="G458" s="830"/>
      <c r="H458" s="830"/>
      <c r="I458" s="830"/>
      <c r="J458" s="830"/>
      <c r="K458" s="830"/>
      <c r="L458" s="830"/>
      <c r="M458" s="830"/>
      <c r="N458" s="830"/>
      <c r="O458" s="830"/>
      <c r="P458" s="946"/>
      <c r="Q458" s="946"/>
      <c r="R458" s="946"/>
      <c r="S458" s="947"/>
    </row>
    <row r="459" spans="1:19" s="948" customFormat="1" ht="12">
      <c r="A459" s="943"/>
      <c r="B459" s="944"/>
      <c r="C459" s="944"/>
      <c r="D459" s="943"/>
      <c r="E459" s="945"/>
      <c r="F459" s="830"/>
      <c r="G459" s="830"/>
      <c r="H459" s="830"/>
      <c r="I459" s="830"/>
      <c r="J459" s="830"/>
      <c r="K459" s="830"/>
      <c r="L459" s="830"/>
      <c r="M459" s="830"/>
      <c r="N459" s="830"/>
      <c r="O459" s="830"/>
      <c r="P459" s="946"/>
      <c r="Q459" s="946"/>
      <c r="R459" s="946"/>
      <c r="S459" s="947"/>
    </row>
    <row r="460" spans="1:19" s="948" customFormat="1" ht="12">
      <c r="A460" s="943"/>
      <c r="B460" s="944"/>
      <c r="C460" s="944"/>
      <c r="D460" s="943"/>
      <c r="E460" s="945"/>
      <c r="F460" s="830"/>
      <c r="G460" s="830"/>
      <c r="H460" s="830"/>
      <c r="I460" s="830"/>
      <c r="J460" s="830"/>
      <c r="K460" s="830"/>
      <c r="L460" s="830"/>
      <c r="M460" s="830"/>
      <c r="N460" s="830"/>
      <c r="O460" s="830"/>
      <c r="P460" s="946"/>
      <c r="Q460" s="946"/>
      <c r="R460" s="946"/>
      <c r="S460" s="947"/>
    </row>
    <row r="461" spans="1:19" s="948" customFormat="1" ht="12">
      <c r="A461" s="943"/>
      <c r="B461" s="944"/>
      <c r="C461" s="944"/>
      <c r="D461" s="943"/>
      <c r="E461" s="945"/>
      <c r="F461" s="830"/>
      <c r="G461" s="830"/>
      <c r="H461" s="830"/>
      <c r="I461" s="830"/>
      <c r="J461" s="830"/>
      <c r="K461" s="830"/>
      <c r="L461" s="830"/>
      <c r="M461" s="830"/>
      <c r="N461" s="830"/>
      <c r="O461" s="830"/>
      <c r="P461" s="946"/>
      <c r="Q461" s="946"/>
      <c r="R461" s="946"/>
      <c r="S461" s="947"/>
    </row>
    <row r="462" spans="1:19" s="948" customFormat="1" ht="12">
      <c r="A462" s="943"/>
      <c r="B462" s="944"/>
      <c r="C462" s="944"/>
      <c r="D462" s="943"/>
      <c r="E462" s="945"/>
      <c r="F462" s="830"/>
      <c r="G462" s="830"/>
      <c r="H462" s="830"/>
      <c r="I462" s="830"/>
      <c r="J462" s="830"/>
      <c r="K462" s="830"/>
      <c r="L462" s="830"/>
      <c r="M462" s="830"/>
      <c r="N462" s="830"/>
      <c r="O462" s="830"/>
      <c r="P462" s="946"/>
      <c r="Q462" s="946"/>
      <c r="R462" s="946"/>
      <c r="S462" s="947"/>
    </row>
    <row r="463" spans="1:19" s="948" customFormat="1" ht="12">
      <c r="A463" s="943"/>
      <c r="B463" s="944"/>
      <c r="C463" s="944"/>
      <c r="D463" s="943"/>
      <c r="E463" s="945"/>
      <c r="F463" s="830"/>
      <c r="G463" s="830"/>
      <c r="H463" s="830"/>
      <c r="I463" s="830"/>
      <c r="J463" s="830"/>
      <c r="K463" s="830"/>
      <c r="L463" s="830"/>
      <c r="M463" s="830"/>
      <c r="N463" s="830"/>
      <c r="O463" s="830"/>
      <c r="P463" s="946"/>
      <c r="Q463" s="946"/>
      <c r="R463" s="946"/>
      <c r="S463" s="947"/>
    </row>
    <row r="464" spans="1:19" s="948" customFormat="1" ht="12">
      <c r="A464" s="943"/>
      <c r="B464" s="944"/>
      <c r="C464" s="944"/>
      <c r="D464" s="943"/>
      <c r="E464" s="945"/>
      <c r="F464" s="830"/>
      <c r="G464" s="830"/>
      <c r="H464" s="830"/>
      <c r="I464" s="830"/>
      <c r="J464" s="830"/>
      <c r="K464" s="830"/>
      <c r="L464" s="830"/>
      <c r="M464" s="830"/>
      <c r="N464" s="830"/>
      <c r="O464" s="830"/>
      <c r="P464" s="946"/>
      <c r="Q464" s="946"/>
      <c r="R464" s="946"/>
      <c r="S464" s="947"/>
    </row>
    <row r="465" spans="1:19" s="948" customFormat="1" ht="12">
      <c r="A465" s="943"/>
      <c r="B465" s="944"/>
      <c r="C465" s="944"/>
      <c r="D465" s="943"/>
      <c r="E465" s="945"/>
      <c r="F465" s="830"/>
      <c r="G465" s="830"/>
      <c r="H465" s="830"/>
      <c r="I465" s="830"/>
      <c r="J465" s="830"/>
      <c r="K465" s="830"/>
      <c r="L465" s="830"/>
      <c r="M465" s="830"/>
      <c r="N465" s="830"/>
      <c r="O465" s="830"/>
      <c r="P465" s="946"/>
      <c r="Q465" s="946"/>
      <c r="R465" s="946"/>
      <c r="S465" s="947"/>
    </row>
    <row r="466" spans="1:19" s="948" customFormat="1" ht="12">
      <c r="A466" s="943"/>
      <c r="B466" s="944"/>
      <c r="C466" s="944"/>
      <c r="D466" s="943"/>
      <c r="E466" s="945"/>
      <c r="F466" s="830"/>
      <c r="G466" s="830"/>
      <c r="H466" s="830"/>
      <c r="I466" s="830"/>
      <c r="J466" s="830"/>
      <c r="K466" s="830"/>
      <c r="L466" s="830"/>
      <c r="M466" s="830"/>
      <c r="N466" s="830"/>
      <c r="O466" s="830"/>
      <c r="P466" s="946"/>
      <c r="Q466" s="946"/>
      <c r="R466" s="946"/>
      <c r="S466" s="947"/>
    </row>
    <row r="467" spans="1:19" s="948" customFormat="1" ht="12">
      <c r="A467" s="943"/>
      <c r="B467" s="944"/>
      <c r="C467" s="944"/>
      <c r="D467" s="943"/>
      <c r="E467" s="945"/>
      <c r="F467" s="830"/>
      <c r="G467" s="830"/>
      <c r="H467" s="830"/>
      <c r="I467" s="830"/>
      <c r="J467" s="830"/>
      <c r="K467" s="830"/>
      <c r="L467" s="830"/>
      <c r="M467" s="830"/>
      <c r="N467" s="830"/>
      <c r="O467" s="830"/>
      <c r="P467" s="946"/>
      <c r="Q467" s="946"/>
      <c r="R467" s="946"/>
      <c r="S467" s="947"/>
    </row>
    <row r="468" spans="1:19" s="948" customFormat="1" ht="12">
      <c r="A468" s="943"/>
      <c r="B468" s="944"/>
      <c r="C468" s="944"/>
      <c r="D468" s="943"/>
      <c r="E468" s="945"/>
      <c r="F468" s="830"/>
      <c r="G468" s="830"/>
      <c r="H468" s="830"/>
      <c r="I468" s="830"/>
      <c r="J468" s="830"/>
      <c r="K468" s="830"/>
      <c r="L468" s="830"/>
      <c r="M468" s="830"/>
      <c r="N468" s="830"/>
      <c r="O468" s="830"/>
      <c r="P468" s="946"/>
      <c r="Q468" s="946"/>
      <c r="R468" s="946"/>
      <c r="S468" s="947"/>
    </row>
    <row r="469" spans="1:19" s="948" customFormat="1" ht="12">
      <c r="A469" s="943"/>
      <c r="B469" s="944"/>
      <c r="C469" s="944"/>
      <c r="D469" s="943"/>
      <c r="E469" s="945"/>
      <c r="F469" s="830"/>
      <c r="G469" s="830"/>
      <c r="H469" s="830"/>
      <c r="I469" s="830"/>
      <c r="J469" s="830"/>
      <c r="K469" s="830"/>
      <c r="L469" s="830"/>
      <c r="M469" s="830"/>
      <c r="N469" s="830"/>
      <c r="O469" s="830"/>
      <c r="P469" s="946"/>
      <c r="Q469" s="946"/>
      <c r="R469" s="946"/>
      <c r="S469" s="947"/>
    </row>
    <row r="470" spans="1:19" s="948" customFormat="1" ht="12">
      <c r="A470" s="943"/>
      <c r="B470" s="944"/>
      <c r="C470" s="944"/>
      <c r="D470" s="943"/>
      <c r="E470" s="945"/>
      <c r="F470" s="830"/>
      <c r="G470" s="830"/>
      <c r="H470" s="830"/>
      <c r="I470" s="830"/>
      <c r="J470" s="830"/>
      <c r="K470" s="830"/>
      <c r="L470" s="830"/>
      <c r="M470" s="830"/>
      <c r="N470" s="830"/>
      <c r="O470" s="830"/>
      <c r="P470" s="946"/>
      <c r="Q470" s="946"/>
      <c r="R470" s="946"/>
      <c r="S470" s="947"/>
    </row>
    <row r="471" spans="1:19" s="948" customFormat="1" ht="12">
      <c r="A471" s="943"/>
      <c r="B471" s="944"/>
      <c r="C471" s="944"/>
      <c r="D471" s="943"/>
      <c r="E471" s="945"/>
      <c r="F471" s="830"/>
      <c r="G471" s="830"/>
      <c r="H471" s="830"/>
      <c r="I471" s="830"/>
      <c r="J471" s="830"/>
      <c r="K471" s="830"/>
      <c r="L471" s="830"/>
      <c r="M471" s="830"/>
      <c r="N471" s="830"/>
      <c r="O471" s="830"/>
      <c r="P471" s="946"/>
      <c r="Q471" s="946"/>
      <c r="R471" s="946"/>
      <c r="S471" s="947"/>
    </row>
    <row r="472" spans="1:19" s="948" customFormat="1" ht="12">
      <c r="A472" s="943"/>
      <c r="B472" s="944"/>
      <c r="C472" s="944"/>
      <c r="D472" s="943"/>
      <c r="E472" s="945"/>
      <c r="F472" s="830"/>
      <c r="G472" s="830"/>
      <c r="H472" s="830"/>
      <c r="I472" s="830"/>
      <c r="J472" s="830"/>
      <c r="K472" s="830"/>
      <c r="L472" s="830"/>
      <c r="M472" s="830"/>
      <c r="N472" s="830"/>
      <c r="O472" s="830"/>
      <c r="P472" s="946"/>
      <c r="Q472" s="946"/>
      <c r="R472" s="946"/>
      <c r="S472" s="947"/>
    </row>
    <row r="473" spans="1:19" s="948" customFormat="1" ht="12">
      <c r="A473" s="943"/>
      <c r="B473" s="944"/>
      <c r="C473" s="944"/>
      <c r="D473" s="943"/>
      <c r="E473" s="945"/>
      <c r="F473" s="830"/>
      <c r="G473" s="830"/>
      <c r="H473" s="830"/>
      <c r="I473" s="830"/>
      <c r="J473" s="830"/>
      <c r="K473" s="830"/>
      <c r="L473" s="830"/>
      <c r="M473" s="830"/>
      <c r="N473" s="830"/>
      <c r="O473" s="830"/>
      <c r="P473" s="946"/>
      <c r="Q473" s="946"/>
      <c r="R473" s="946"/>
      <c r="S473" s="947"/>
    </row>
    <row r="474" spans="1:19" s="948" customFormat="1" ht="12">
      <c r="A474" s="943"/>
      <c r="B474" s="944"/>
      <c r="C474" s="944"/>
      <c r="D474" s="943"/>
      <c r="E474" s="945"/>
      <c r="F474" s="830"/>
      <c r="G474" s="830"/>
      <c r="H474" s="830"/>
      <c r="I474" s="830"/>
      <c r="J474" s="830"/>
      <c r="K474" s="830"/>
      <c r="L474" s="830"/>
      <c r="M474" s="830"/>
      <c r="N474" s="830"/>
      <c r="O474" s="830"/>
      <c r="P474" s="946"/>
      <c r="Q474" s="946"/>
      <c r="R474" s="946"/>
      <c r="S474" s="947"/>
    </row>
    <row r="475" spans="1:19" s="948" customFormat="1" ht="12">
      <c r="A475" s="943"/>
      <c r="B475" s="944"/>
      <c r="C475" s="944"/>
      <c r="D475" s="943"/>
      <c r="E475" s="945"/>
      <c r="F475" s="830"/>
      <c r="G475" s="830"/>
      <c r="H475" s="830"/>
      <c r="I475" s="830"/>
      <c r="J475" s="830"/>
      <c r="K475" s="830"/>
      <c r="L475" s="830"/>
      <c r="M475" s="830"/>
      <c r="N475" s="830"/>
      <c r="O475" s="830"/>
      <c r="P475" s="946"/>
      <c r="Q475" s="946"/>
      <c r="R475" s="946"/>
      <c r="S475" s="947"/>
    </row>
    <row r="476" spans="1:19" s="948" customFormat="1" ht="12">
      <c r="A476" s="943"/>
      <c r="B476" s="944"/>
      <c r="C476" s="944"/>
      <c r="D476" s="943"/>
      <c r="E476" s="945"/>
      <c r="F476" s="830"/>
      <c r="G476" s="830"/>
      <c r="H476" s="830"/>
      <c r="I476" s="830"/>
      <c r="J476" s="830"/>
      <c r="K476" s="830"/>
      <c r="L476" s="830"/>
      <c r="M476" s="830"/>
      <c r="N476" s="830"/>
      <c r="O476" s="830"/>
      <c r="P476" s="946"/>
      <c r="Q476" s="946"/>
      <c r="R476" s="946"/>
      <c r="S476" s="947"/>
    </row>
    <row r="477" spans="1:19" s="948" customFormat="1" ht="12">
      <c r="A477" s="943"/>
      <c r="B477" s="944"/>
      <c r="C477" s="944"/>
      <c r="D477" s="943"/>
      <c r="E477" s="945"/>
      <c r="F477" s="830"/>
      <c r="G477" s="830"/>
      <c r="H477" s="830"/>
      <c r="I477" s="830"/>
      <c r="J477" s="830"/>
      <c r="K477" s="830"/>
      <c r="L477" s="830"/>
      <c r="M477" s="830"/>
      <c r="N477" s="830"/>
      <c r="O477" s="830"/>
      <c r="P477" s="946"/>
      <c r="Q477" s="946"/>
      <c r="R477" s="946"/>
      <c r="S477" s="947"/>
    </row>
    <row r="478" spans="1:19" s="948" customFormat="1" ht="12">
      <c r="A478" s="943"/>
      <c r="B478" s="944"/>
      <c r="C478" s="944"/>
      <c r="D478" s="943"/>
      <c r="E478" s="945"/>
      <c r="F478" s="830"/>
      <c r="G478" s="830"/>
      <c r="H478" s="830"/>
      <c r="I478" s="830"/>
      <c r="J478" s="830"/>
      <c r="K478" s="830"/>
      <c r="L478" s="830"/>
      <c r="M478" s="830"/>
      <c r="N478" s="830"/>
      <c r="O478" s="830"/>
      <c r="P478" s="946"/>
      <c r="Q478" s="946"/>
      <c r="R478" s="946"/>
      <c r="S478" s="947"/>
    </row>
    <row r="479" spans="1:19" s="948" customFormat="1" ht="12">
      <c r="A479" s="943"/>
      <c r="B479" s="944"/>
      <c r="C479" s="944"/>
      <c r="D479" s="943"/>
      <c r="E479" s="945"/>
      <c r="F479" s="830"/>
      <c r="G479" s="830"/>
      <c r="H479" s="830"/>
      <c r="I479" s="830"/>
      <c r="J479" s="830"/>
      <c r="K479" s="830"/>
      <c r="L479" s="830"/>
      <c r="M479" s="830"/>
      <c r="N479" s="830"/>
      <c r="O479" s="830"/>
      <c r="P479" s="946"/>
      <c r="Q479" s="946"/>
      <c r="R479" s="946"/>
      <c r="S479" s="947"/>
    </row>
    <row r="480" spans="1:19" s="948" customFormat="1" ht="12">
      <c r="A480" s="943"/>
      <c r="B480" s="944"/>
      <c r="C480" s="944"/>
      <c r="D480" s="943"/>
      <c r="E480" s="945"/>
      <c r="F480" s="830"/>
      <c r="G480" s="830"/>
      <c r="H480" s="830"/>
      <c r="I480" s="830"/>
      <c r="J480" s="830"/>
      <c r="K480" s="830"/>
      <c r="L480" s="830"/>
      <c r="M480" s="830"/>
      <c r="N480" s="830"/>
      <c r="O480" s="830"/>
      <c r="P480" s="946"/>
      <c r="Q480" s="946"/>
      <c r="R480" s="946"/>
      <c r="S480" s="947"/>
    </row>
    <row r="481" spans="1:19" s="948" customFormat="1" ht="12">
      <c r="A481" s="943"/>
      <c r="B481" s="944"/>
      <c r="C481" s="944"/>
      <c r="D481" s="943"/>
      <c r="E481" s="945"/>
      <c r="F481" s="830"/>
      <c r="G481" s="830"/>
      <c r="H481" s="830"/>
      <c r="I481" s="830"/>
      <c r="J481" s="830"/>
      <c r="K481" s="830"/>
      <c r="L481" s="830"/>
      <c r="M481" s="830"/>
      <c r="N481" s="830"/>
      <c r="O481" s="830"/>
      <c r="P481" s="946"/>
      <c r="Q481" s="946"/>
      <c r="R481" s="946"/>
      <c r="S481" s="947"/>
    </row>
    <row r="482" spans="1:19" s="948" customFormat="1" ht="12">
      <c r="A482" s="943"/>
      <c r="B482" s="944"/>
      <c r="C482" s="944"/>
      <c r="D482" s="943"/>
      <c r="E482" s="945"/>
      <c r="F482" s="830"/>
      <c r="G482" s="830"/>
      <c r="H482" s="830"/>
      <c r="I482" s="830"/>
      <c r="J482" s="830"/>
      <c r="K482" s="830"/>
      <c r="L482" s="830"/>
      <c r="M482" s="830"/>
      <c r="N482" s="830"/>
      <c r="O482" s="830"/>
      <c r="P482" s="946"/>
      <c r="Q482" s="946"/>
      <c r="R482" s="946"/>
      <c r="S482" s="947"/>
    </row>
    <row r="483" spans="1:19" s="948" customFormat="1" ht="12">
      <c r="A483" s="943"/>
      <c r="B483" s="944"/>
      <c r="C483" s="944"/>
      <c r="D483" s="943"/>
      <c r="E483" s="945"/>
      <c r="F483" s="830"/>
      <c r="G483" s="830"/>
      <c r="H483" s="830"/>
      <c r="I483" s="830"/>
      <c r="J483" s="830"/>
      <c r="K483" s="830"/>
      <c r="L483" s="830"/>
      <c r="M483" s="830"/>
      <c r="N483" s="830"/>
      <c r="O483" s="830"/>
      <c r="P483" s="946"/>
      <c r="Q483" s="946"/>
      <c r="R483" s="946"/>
      <c r="S483" s="947"/>
    </row>
    <row r="484" spans="1:19" s="948" customFormat="1" ht="12">
      <c r="A484" s="943"/>
      <c r="B484" s="944"/>
      <c r="C484" s="944"/>
      <c r="D484" s="943"/>
      <c r="E484" s="945"/>
      <c r="F484" s="830"/>
      <c r="G484" s="830"/>
      <c r="H484" s="830"/>
      <c r="I484" s="830"/>
      <c r="J484" s="830"/>
      <c r="K484" s="830"/>
      <c r="L484" s="830"/>
      <c r="M484" s="830"/>
      <c r="N484" s="830"/>
      <c r="O484" s="830"/>
      <c r="P484" s="946"/>
      <c r="Q484" s="946"/>
      <c r="R484" s="946"/>
      <c r="S484" s="947"/>
    </row>
    <row r="485" spans="1:19" s="948" customFormat="1" ht="12">
      <c r="A485" s="943"/>
      <c r="B485" s="944"/>
      <c r="C485" s="944"/>
      <c r="D485" s="943"/>
      <c r="E485" s="945"/>
      <c r="F485" s="830"/>
      <c r="G485" s="830"/>
      <c r="H485" s="830"/>
      <c r="I485" s="830"/>
      <c r="J485" s="830"/>
      <c r="K485" s="830"/>
      <c r="L485" s="830"/>
      <c r="M485" s="830"/>
      <c r="N485" s="830"/>
      <c r="O485" s="830"/>
      <c r="P485" s="946"/>
      <c r="Q485" s="946"/>
      <c r="R485" s="946"/>
      <c r="S485" s="947"/>
    </row>
    <row r="486" spans="1:19" s="948" customFormat="1" ht="12">
      <c r="A486" s="943"/>
      <c r="B486" s="944"/>
      <c r="C486" s="944"/>
      <c r="D486" s="943"/>
      <c r="E486" s="945"/>
      <c r="F486" s="830"/>
      <c r="G486" s="830"/>
      <c r="H486" s="830"/>
      <c r="I486" s="830"/>
      <c r="J486" s="830"/>
      <c r="K486" s="830"/>
      <c r="L486" s="830"/>
      <c r="M486" s="830"/>
      <c r="N486" s="830"/>
      <c r="O486" s="830"/>
      <c r="P486" s="946"/>
      <c r="Q486" s="946"/>
      <c r="R486" s="946"/>
      <c r="S486" s="947"/>
    </row>
    <row r="487" spans="1:19" s="948" customFormat="1" ht="12">
      <c r="A487" s="943"/>
      <c r="B487" s="944"/>
      <c r="C487" s="944"/>
      <c r="D487" s="943"/>
      <c r="E487" s="945"/>
      <c r="F487" s="830"/>
      <c r="G487" s="830"/>
      <c r="H487" s="830"/>
      <c r="I487" s="830"/>
      <c r="J487" s="830"/>
      <c r="K487" s="830"/>
      <c r="L487" s="830"/>
      <c r="M487" s="830"/>
      <c r="N487" s="830"/>
      <c r="O487" s="830"/>
      <c r="P487" s="946"/>
      <c r="Q487" s="946"/>
      <c r="R487" s="946"/>
      <c r="S487" s="947"/>
    </row>
    <row r="488" spans="1:19">
      <c r="A488" s="724"/>
      <c r="B488" s="725"/>
      <c r="C488" s="725"/>
      <c r="D488" s="724"/>
      <c r="E488" s="839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615"/>
      <c r="Q488" s="615"/>
      <c r="R488" s="615"/>
      <c r="S488" s="726"/>
    </row>
    <row r="489" spans="1:19">
      <c r="A489" s="724"/>
      <c r="B489" s="725"/>
      <c r="C489" s="725"/>
      <c r="D489" s="724"/>
      <c r="E489" s="839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615"/>
      <c r="Q489" s="615"/>
      <c r="R489" s="615"/>
      <c r="S489" s="726"/>
    </row>
    <row r="490" spans="1:19">
      <c r="A490" s="724"/>
      <c r="B490" s="725"/>
      <c r="C490" s="725"/>
      <c r="D490" s="724"/>
      <c r="E490" s="839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615"/>
      <c r="Q490" s="615"/>
      <c r="R490" s="615"/>
      <c r="S490" s="726"/>
    </row>
    <row r="491" spans="1:19">
      <c r="A491" s="724"/>
      <c r="B491" s="725"/>
      <c r="C491" s="725"/>
      <c r="D491" s="724"/>
      <c r="E491" s="839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615"/>
      <c r="Q491" s="615"/>
      <c r="R491" s="615"/>
      <c r="S491" s="726"/>
    </row>
    <row r="492" spans="1:19">
      <c r="A492" s="724"/>
      <c r="B492" s="725"/>
      <c r="C492" s="725"/>
      <c r="D492" s="724"/>
      <c r="E492" s="839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615"/>
      <c r="Q492" s="615"/>
      <c r="R492" s="615"/>
      <c r="S492" s="726"/>
    </row>
    <row r="493" spans="1:19">
      <c r="A493" s="724"/>
      <c r="B493" s="725"/>
      <c r="C493" s="725"/>
      <c r="D493" s="724"/>
      <c r="E493" s="839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615"/>
      <c r="Q493" s="615"/>
      <c r="R493" s="615"/>
      <c r="S493" s="726"/>
    </row>
    <row r="494" spans="1:19">
      <c r="A494" s="724"/>
      <c r="B494" s="725"/>
      <c r="C494" s="725"/>
      <c r="D494" s="724"/>
      <c r="E494" s="839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615"/>
      <c r="Q494" s="615"/>
      <c r="R494" s="615"/>
      <c r="S494" s="726"/>
    </row>
    <row r="495" spans="1:19">
      <c r="A495" s="724"/>
      <c r="B495" s="725"/>
      <c r="C495" s="725"/>
      <c r="D495" s="724"/>
      <c r="E495" s="839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615"/>
      <c r="Q495" s="615"/>
      <c r="R495" s="615"/>
      <c r="S495" s="726"/>
    </row>
    <row r="496" spans="1:19">
      <c r="A496" s="724"/>
      <c r="B496" s="725"/>
      <c r="C496" s="725"/>
      <c r="D496" s="724"/>
      <c r="E496" s="839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615"/>
      <c r="Q496" s="615"/>
      <c r="R496" s="615"/>
      <c r="S496" s="726"/>
    </row>
    <row r="497" spans="1:19">
      <c r="A497" s="724"/>
      <c r="B497" s="725"/>
      <c r="C497" s="725"/>
      <c r="D497" s="724"/>
      <c r="E497" s="839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615"/>
      <c r="Q497" s="615"/>
      <c r="R497" s="615"/>
      <c r="S497" s="726"/>
    </row>
    <row r="498" spans="1:19">
      <c r="A498" s="724"/>
      <c r="B498" s="725"/>
      <c r="C498" s="725"/>
      <c r="D498" s="724"/>
      <c r="E498" s="839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615"/>
      <c r="Q498" s="615"/>
      <c r="R498" s="615"/>
      <c r="S498" s="726"/>
    </row>
    <row r="499" spans="1:19">
      <c r="A499" s="724"/>
      <c r="B499" s="725"/>
      <c r="C499" s="725"/>
      <c r="D499" s="724"/>
      <c r="E499" s="839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615"/>
      <c r="Q499" s="615"/>
      <c r="R499" s="615"/>
      <c r="S499" s="726"/>
    </row>
    <row r="500" spans="1:19">
      <c r="A500" s="724"/>
      <c r="B500" s="725"/>
      <c r="C500" s="725"/>
      <c r="D500" s="724"/>
      <c r="E500" s="839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615"/>
      <c r="Q500" s="615"/>
      <c r="R500" s="615"/>
      <c r="S500" s="726"/>
    </row>
    <row r="501" spans="1:19">
      <c r="A501" s="724"/>
      <c r="B501" s="725"/>
      <c r="C501" s="725"/>
      <c r="D501" s="724"/>
      <c r="E501" s="839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615"/>
      <c r="Q501" s="615"/>
      <c r="R501" s="615"/>
      <c r="S501" s="726"/>
    </row>
    <row r="502" spans="1:19">
      <c r="A502" s="724"/>
      <c r="B502" s="725"/>
      <c r="C502" s="725"/>
      <c r="D502" s="724"/>
      <c r="E502" s="839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615"/>
      <c r="Q502" s="615"/>
      <c r="R502" s="615"/>
      <c r="S502" s="726"/>
    </row>
    <row r="503" spans="1:19">
      <c r="A503" s="724"/>
      <c r="B503" s="725"/>
      <c r="C503" s="725"/>
      <c r="D503" s="724"/>
      <c r="E503" s="839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615"/>
      <c r="Q503" s="615"/>
      <c r="R503" s="615"/>
      <c r="S503" s="726"/>
    </row>
    <row r="504" spans="1:19">
      <c r="A504" s="724"/>
      <c r="B504" s="725"/>
      <c r="C504" s="725"/>
      <c r="D504" s="724"/>
      <c r="E504" s="839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615"/>
      <c r="Q504" s="615"/>
      <c r="R504" s="615"/>
      <c r="S504" s="726"/>
    </row>
    <row r="505" spans="1:19">
      <c r="A505" s="724"/>
      <c r="B505" s="725"/>
      <c r="C505" s="725"/>
      <c r="D505" s="724"/>
      <c r="E505" s="839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615"/>
      <c r="Q505" s="615"/>
      <c r="R505" s="615"/>
      <c r="S505" s="726"/>
    </row>
    <row r="506" spans="1:19">
      <c r="A506" s="724"/>
      <c r="B506" s="725"/>
      <c r="C506" s="725"/>
      <c r="D506" s="724"/>
      <c r="E506" s="839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615"/>
      <c r="Q506" s="615"/>
      <c r="R506" s="615"/>
      <c r="S506" s="726"/>
    </row>
    <row r="507" spans="1:19">
      <c r="A507" s="724"/>
      <c r="B507" s="725"/>
      <c r="C507" s="725"/>
      <c r="D507" s="724"/>
      <c r="E507" s="839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615"/>
      <c r="Q507" s="615"/>
      <c r="R507" s="615"/>
      <c r="S507" s="726"/>
    </row>
    <row r="508" spans="1:19">
      <c r="A508" s="724"/>
      <c r="B508" s="725"/>
      <c r="C508" s="725"/>
      <c r="D508" s="724"/>
      <c r="E508" s="839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615"/>
      <c r="Q508" s="615"/>
    </row>
    <row r="509" spans="1:19">
      <c r="A509" s="724"/>
      <c r="B509" s="725"/>
      <c r="C509" s="725"/>
      <c r="D509" s="724"/>
      <c r="E509" s="839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615"/>
      <c r="Q509" s="615"/>
    </row>
    <row r="510" spans="1:19">
      <c r="A510" s="724"/>
      <c r="B510" s="725"/>
      <c r="C510" s="725"/>
      <c r="D510" s="724"/>
      <c r="E510" s="839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615"/>
      <c r="Q510" s="615"/>
    </row>
    <row r="511" spans="1:19">
      <c r="A511" s="724"/>
      <c r="B511" s="725"/>
      <c r="C511" s="725"/>
      <c r="D511" s="724"/>
      <c r="E511" s="839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615"/>
      <c r="Q511" s="615"/>
    </row>
    <row r="512" spans="1:19">
      <c r="A512" s="724"/>
      <c r="B512" s="725"/>
      <c r="C512" s="725"/>
      <c r="D512" s="724"/>
      <c r="E512" s="839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615"/>
      <c r="Q512" s="615"/>
    </row>
    <row r="513" spans="1:17">
      <c r="A513" s="724"/>
      <c r="B513" s="725"/>
      <c r="C513" s="725"/>
      <c r="D513" s="724"/>
      <c r="E513" s="839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615"/>
      <c r="Q513" s="615"/>
    </row>
    <row r="514" spans="1:17">
      <c r="A514" s="724"/>
      <c r="B514" s="725"/>
      <c r="C514" s="725"/>
      <c r="D514" s="724"/>
      <c r="E514" s="839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615"/>
      <c r="Q514" s="615"/>
    </row>
    <row r="515" spans="1:17">
      <c r="A515" s="724"/>
      <c r="B515" s="725"/>
      <c r="C515" s="725"/>
      <c r="D515" s="724"/>
      <c r="E515" s="839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615"/>
      <c r="Q515" s="615"/>
    </row>
    <row r="516" spans="1:17">
      <c r="A516" s="724"/>
      <c r="B516" s="725"/>
      <c r="C516" s="725"/>
      <c r="D516" s="724"/>
      <c r="E516" s="839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615"/>
      <c r="Q516" s="615"/>
    </row>
    <row r="517" spans="1:17">
      <c r="A517" s="724"/>
      <c r="B517" s="725"/>
      <c r="C517" s="725"/>
      <c r="D517" s="724"/>
      <c r="E517" s="839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615"/>
      <c r="Q517" s="615"/>
    </row>
    <row r="518" spans="1:17">
      <c r="A518" s="724"/>
      <c r="B518" s="725"/>
      <c r="C518" s="725"/>
      <c r="D518" s="724"/>
      <c r="E518" s="839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615"/>
      <c r="Q518" s="615"/>
    </row>
    <row r="519" spans="1:17">
      <c r="A519" s="724"/>
      <c r="B519" s="725"/>
      <c r="C519" s="725"/>
      <c r="D519" s="724"/>
      <c r="E519" s="839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615"/>
      <c r="Q519" s="615"/>
    </row>
    <row r="520" spans="1:17">
      <c r="A520" s="724"/>
      <c r="B520" s="725"/>
      <c r="C520" s="725"/>
      <c r="D520" s="724"/>
      <c r="E520" s="839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615"/>
      <c r="Q520" s="615"/>
    </row>
    <row r="521" spans="1:17">
      <c r="A521" s="724"/>
      <c r="B521" s="725"/>
      <c r="C521" s="725"/>
      <c r="D521" s="724"/>
      <c r="E521" s="839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615"/>
      <c r="Q521" s="615"/>
    </row>
    <row r="522" spans="1:17">
      <c r="A522" s="724"/>
      <c r="B522" s="725"/>
      <c r="C522" s="725"/>
      <c r="D522" s="724"/>
      <c r="E522" s="839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615"/>
      <c r="Q522" s="615"/>
    </row>
    <row r="523" spans="1:17">
      <c r="A523" s="724"/>
      <c r="B523" s="725"/>
      <c r="C523" s="725"/>
      <c r="D523" s="724"/>
      <c r="E523" s="839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615"/>
      <c r="Q523" s="615"/>
    </row>
    <row r="524" spans="1:17">
      <c r="A524" s="724"/>
      <c r="B524" s="725"/>
      <c r="C524" s="725"/>
      <c r="D524" s="724"/>
      <c r="E524" s="839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615"/>
      <c r="Q524" s="615"/>
    </row>
    <row r="525" spans="1:17">
      <c r="A525" s="724"/>
      <c r="B525" s="725"/>
      <c r="C525" s="725"/>
      <c r="D525" s="724"/>
      <c r="E525" s="839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615"/>
      <c r="Q525" s="615"/>
    </row>
    <row r="526" spans="1:17">
      <c r="A526" s="724"/>
      <c r="B526" s="725"/>
      <c r="C526" s="725"/>
      <c r="D526" s="724"/>
      <c r="E526" s="839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615"/>
      <c r="Q526" s="615"/>
    </row>
    <row r="527" spans="1:17">
      <c r="A527" s="724"/>
      <c r="B527" s="725"/>
      <c r="C527" s="725"/>
      <c r="D527" s="724"/>
      <c r="E527" s="839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615"/>
      <c r="Q527" s="615"/>
    </row>
    <row r="528" spans="1:17">
      <c r="A528" s="724"/>
      <c r="B528" s="725"/>
      <c r="C528" s="725"/>
      <c r="D528" s="724"/>
      <c r="E528" s="839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615"/>
      <c r="Q528" s="615"/>
    </row>
    <row r="529" spans="1:17">
      <c r="A529" s="724"/>
      <c r="B529" s="725"/>
      <c r="C529" s="725"/>
      <c r="D529" s="724"/>
      <c r="E529" s="839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615"/>
      <c r="Q529" s="615"/>
    </row>
    <row r="530" spans="1:17">
      <c r="A530" s="724"/>
      <c r="B530" s="725"/>
      <c r="C530" s="725"/>
      <c r="D530" s="724"/>
      <c r="E530" s="839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615"/>
      <c r="Q530" s="615"/>
    </row>
    <row r="531" spans="1:17">
      <c r="A531" s="724"/>
      <c r="B531" s="725"/>
      <c r="C531" s="725"/>
      <c r="D531" s="724"/>
      <c r="E531" s="839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615"/>
      <c r="Q531" s="615"/>
    </row>
    <row r="532" spans="1:17">
      <c r="A532" s="724"/>
      <c r="B532" s="725"/>
      <c r="C532" s="725"/>
      <c r="D532" s="724"/>
      <c r="E532" s="839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615"/>
      <c r="Q532" s="615"/>
    </row>
    <row r="533" spans="1:17">
      <c r="A533" s="724"/>
      <c r="B533" s="725"/>
      <c r="C533" s="725"/>
      <c r="D533" s="724"/>
      <c r="E533" s="839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615"/>
      <c r="Q533" s="615"/>
    </row>
    <row r="534" spans="1:17">
      <c r="A534" s="724"/>
      <c r="B534" s="725"/>
      <c r="C534" s="725"/>
      <c r="D534" s="724"/>
      <c r="E534" s="839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615"/>
      <c r="Q534" s="615"/>
    </row>
    <row r="535" spans="1:17">
      <c r="A535" s="724"/>
      <c r="B535" s="725"/>
      <c r="C535" s="725"/>
      <c r="D535" s="724"/>
      <c r="E535" s="839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615"/>
      <c r="Q535" s="615"/>
    </row>
    <row r="536" spans="1:17">
      <c r="A536" s="724"/>
      <c r="B536" s="725"/>
      <c r="C536" s="725"/>
      <c r="D536" s="724"/>
      <c r="E536" s="839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615"/>
      <c r="Q536" s="615"/>
    </row>
    <row r="537" spans="1:17">
      <c r="A537" s="724"/>
      <c r="B537" s="725"/>
      <c r="C537" s="725"/>
      <c r="D537" s="724"/>
      <c r="E537" s="839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615"/>
      <c r="Q537" s="615"/>
    </row>
    <row r="538" spans="1:17">
      <c r="A538" s="724"/>
      <c r="B538" s="725"/>
      <c r="C538" s="725"/>
      <c r="D538" s="724"/>
      <c r="E538" s="839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615"/>
      <c r="Q538" s="615"/>
    </row>
    <row r="539" spans="1:17">
      <c r="A539" s="724"/>
      <c r="B539" s="725"/>
      <c r="C539" s="725"/>
      <c r="D539" s="724"/>
      <c r="E539" s="839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615"/>
      <c r="Q539" s="615"/>
    </row>
    <row r="540" spans="1:17">
      <c r="A540" s="724"/>
      <c r="B540" s="725"/>
      <c r="C540" s="725"/>
      <c r="D540" s="724"/>
      <c r="E540" s="839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615"/>
      <c r="Q540" s="615"/>
    </row>
    <row r="541" spans="1:17">
      <c r="A541" s="724"/>
      <c r="B541" s="725"/>
      <c r="C541" s="725"/>
      <c r="D541" s="724"/>
      <c r="E541" s="839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615"/>
      <c r="Q541" s="615"/>
    </row>
    <row r="542" spans="1:17">
      <c r="A542" s="724"/>
      <c r="B542" s="725"/>
      <c r="C542" s="725"/>
      <c r="D542" s="724"/>
      <c r="E542" s="839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615"/>
      <c r="Q542" s="615"/>
    </row>
    <row r="543" spans="1:17">
      <c r="A543" s="724"/>
      <c r="B543" s="725"/>
      <c r="C543" s="725"/>
      <c r="D543" s="724"/>
      <c r="E543" s="839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615"/>
      <c r="Q543" s="615"/>
    </row>
    <row r="544" spans="1:17">
      <c r="A544" s="724"/>
      <c r="B544" s="725"/>
      <c r="C544" s="725"/>
      <c r="D544" s="724"/>
      <c r="E544" s="839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615"/>
      <c r="Q544" s="615"/>
    </row>
    <row r="545" spans="1:17">
      <c r="A545" s="724"/>
      <c r="B545" s="725"/>
      <c r="C545" s="725"/>
      <c r="D545" s="724"/>
      <c r="E545" s="839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615"/>
      <c r="Q545" s="615"/>
    </row>
    <row r="546" spans="1:17">
      <c r="A546" s="724"/>
      <c r="B546" s="725"/>
      <c r="C546" s="725"/>
      <c r="D546" s="724"/>
      <c r="E546" s="839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615"/>
      <c r="Q546" s="615"/>
    </row>
    <row r="547" spans="1:17">
      <c r="A547" s="724"/>
      <c r="B547" s="725"/>
      <c r="C547" s="725"/>
      <c r="D547" s="724"/>
      <c r="E547" s="839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615"/>
      <c r="Q547" s="615"/>
    </row>
    <row r="548" spans="1:17">
      <c r="A548" s="724"/>
      <c r="B548" s="725"/>
      <c r="C548" s="725"/>
      <c r="D548" s="724"/>
      <c r="E548" s="839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615"/>
      <c r="Q548" s="615"/>
    </row>
    <row r="549" spans="1:17">
      <c r="A549" s="724"/>
      <c r="B549" s="725"/>
      <c r="C549" s="725"/>
      <c r="D549" s="724"/>
      <c r="E549" s="839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615"/>
      <c r="Q549" s="615"/>
    </row>
    <row r="550" spans="1:17">
      <c r="A550" s="724"/>
      <c r="B550" s="725"/>
      <c r="C550" s="725"/>
      <c r="D550" s="724"/>
      <c r="E550" s="839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615"/>
      <c r="Q550" s="615"/>
    </row>
    <row r="551" spans="1:17">
      <c r="A551" s="724"/>
      <c r="B551" s="725"/>
      <c r="C551" s="725"/>
      <c r="D551" s="724"/>
      <c r="E551" s="839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615"/>
      <c r="Q551" s="615"/>
    </row>
    <row r="552" spans="1:17">
      <c r="A552" s="724"/>
      <c r="B552" s="725"/>
      <c r="C552" s="725"/>
      <c r="D552" s="724"/>
      <c r="E552" s="839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615"/>
      <c r="Q552" s="615"/>
    </row>
    <row r="553" spans="1:17">
      <c r="A553" s="724"/>
      <c r="B553" s="725"/>
      <c r="C553" s="725"/>
      <c r="D553" s="724"/>
      <c r="E553" s="839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615"/>
      <c r="Q553" s="615"/>
    </row>
    <row r="554" spans="1:17">
      <c r="A554" s="724"/>
      <c r="B554" s="725"/>
      <c r="C554" s="725"/>
      <c r="D554" s="724"/>
      <c r="E554" s="839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615"/>
      <c r="Q554" s="615"/>
    </row>
    <row r="555" spans="1:17">
      <c r="A555" s="724"/>
      <c r="B555" s="725"/>
      <c r="C555" s="725"/>
      <c r="D555" s="724"/>
      <c r="E555" s="839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615"/>
      <c r="Q555" s="615"/>
    </row>
    <row r="556" spans="1:17">
      <c r="A556" s="724"/>
      <c r="B556" s="725"/>
      <c r="C556" s="725"/>
      <c r="D556" s="724"/>
      <c r="E556" s="839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615"/>
      <c r="Q556" s="615"/>
    </row>
    <row r="557" spans="1:17">
      <c r="A557" s="724"/>
      <c r="B557" s="725"/>
      <c r="C557" s="725"/>
      <c r="D557" s="724"/>
      <c r="E557" s="839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615"/>
      <c r="Q557" s="615"/>
    </row>
    <row r="558" spans="1:17">
      <c r="A558" s="724"/>
      <c r="B558" s="725"/>
      <c r="C558" s="725"/>
      <c r="D558" s="724"/>
      <c r="E558" s="839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615"/>
      <c r="Q558" s="615"/>
    </row>
    <row r="559" spans="1:17">
      <c r="A559" s="724"/>
      <c r="B559" s="725"/>
      <c r="C559" s="725"/>
      <c r="D559" s="724"/>
      <c r="E559" s="839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615"/>
      <c r="Q559" s="615"/>
    </row>
    <row r="560" spans="1:17">
      <c r="A560" s="724"/>
      <c r="B560" s="725"/>
      <c r="C560" s="725"/>
      <c r="D560" s="724"/>
      <c r="E560" s="839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615"/>
      <c r="Q560" s="615"/>
    </row>
    <row r="561" spans="1:17">
      <c r="A561" s="724"/>
      <c r="B561" s="725"/>
      <c r="C561" s="725"/>
      <c r="D561" s="724"/>
      <c r="E561" s="839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615"/>
      <c r="Q561" s="615"/>
    </row>
    <row r="562" spans="1:17">
      <c r="A562" s="724"/>
      <c r="B562" s="725"/>
      <c r="C562" s="725"/>
      <c r="D562" s="724"/>
      <c r="E562" s="839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615"/>
      <c r="Q562" s="615"/>
    </row>
    <row r="563" spans="1:17">
      <c r="A563" s="724"/>
      <c r="B563" s="725"/>
      <c r="C563" s="725"/>
      <c r="D563" s="724"/>
      <c r="E563" s="839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615"/>
      <c r="Q563" s="615"/>
    </row>
    <row r="564" spans="1:17">
      <c r="A564" s="724"/>
      <c r="B564" s="725"/>
      <c r="C564" s="725"/>
      <c r="D564" s="724"/>
      <c r="E564" s="839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615"/>
      <c r="Q564" s="615"/>
    </row>
    <row r="565" spans="1:17">
      <c r="A565" s="724"/>
      <c r="B565" s="725"/>
      <c r="C565" s="725"/>
      <c r="D565" s="724"/>
      <c r="E565" s="839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615"/>
      <c r="Q565" s="615"/>
    </row>
    <row r="566" spans="1:17">
      <c r="A566" s="724"/>
      <c r="B566" s="725"/>
      <c r="C566" s="725"/>
      <c r="D566" s="724"/>
      <c r="E566" s="839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615"/>
      <c r="Q566" s="615"/>
    </row>
    <row r="567" spans="1:17">
      <c r="A567" s="724"/>
      <c r="B567" s="725"/>
      <c r="C567" s="725"/>
      <c r="D567" s="724"/>
      <c r="E567" s="839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615"/>
      <c r="Q567" s="615"/>
    </row>
    <row r="568" spans="1:17">
      <c r="A568" s="724"/>
      <c r="B568" s="725"/>
      <c r="C568" s="725"/>
      <c r="D568" s="724"/>
      <c r="E568" s="839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615"/>
    </row>
    <row r="569" spans="1:17">
      <c r="A569" s="724"/>
      <c r="B569" s="725"/>
      <c r="C569" s="725"/>
      <c r="D569" s="724"/>
      <c r="E569" s="839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615"/>
    </row>
    <row r="570" spans="1:17">
      <c r="A570" s="724"/>
      <c r="B570" s="725"/>
      <c r="C570" s="725"/>
      <c r="D570" s="724"/>
      <c r="E570" s="839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615"/>
    </row>
    <row r="571" spans="1:17">
      <c r="A571" s="724"/>
      <c r="B571" s="725"/>
      <c r="C571" s="725"/>
      <c r="D571" s="724"/>
      <c r="E571" s="839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615"/>
    </row>
    <row r="572" spans="1:17">
      <c r="A572" s="724"/>
      <c r="B572" s="725"/>
      <c r="C572" s="725"/>
      <c r="D572" s="724"/>
      <c r="E572" s="839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615"/>
    </row>
    <row r="573" spans="1:17">
      <c r="A573" s="724"/>
      <c r="B573" s="725"/>
      <c r="C573" s="725"/>
      <c r="D573" s="724"/>
      <c r="E573" s="839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615"/>
    </row>
    <row r="574" spans="1:17">
      <c r="A574" s="724"/>
      <c r="B574" s="725"/>
      <c r="C574" s="725"/>
      <c r="D574" s="724"/>
      <c r="E574" s="839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615"/>
    </row>
    <row r="575" spans="1:17">
      <c r="A575" s="724"/>
      <c r="B575" s="725"/>
      <c r="C575" s="725"/>
      <c r="D575" s="724"/>
      <c r="E575" s="839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615"/>
    </row>
    <row r="576" spans="1:17">
      <c r="A576" s="724"/>
      <c r="B576" s="725"/>
      <c r="C576" s="725"/>
      <c r="D576" s="724"/>
      <c r="E576" s="839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615"/>
    </row>
    <row r="577" spans="1:16">
      <c r="A577" s="724"/>
      <c r="B577" s="725"/>
      <c r="C577" s="725"/>
      <c r="D577" s="724"/>
      <c r="E577" s="839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615"/>
    </row>
    <row r="578" spans="1:16">
      <c r="A578" s="724"/>
      <c r="B578" s="725"/>
      <c r="C578" s="725"/>
      <c r="D578" s="724"/>
      <c r="E578" s="839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615"/>
    </row>
    <row r="579" spans="1:16">
      <c r="A579" s="724"/>
      <c r="B579" s="725"/>
      <c r="C579" s="725"/>
      <c r="D579" s="724"/>
      <c r="E579" s="839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615"/>
    </row>
    <row r="580" spans="1:16">
      <c r="A580" s="724"/>
      <c r="B580" s="725"/>
      <c r="C580" s="725"/>
      <c r="D580" s="724"/>
      <c r="E580" s="839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615"/>
    </row>
    <row r="581" spans="1:16">
      <c r="A581" s="724"/>
      <c r="B581" s="725"/>
      <c r="C581" s="725"/>
      <c r="D581" s="724"/>
      <c r="E581" s="839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615"/>
    </row>
    <row r="582" spans="1:16">
      <c r="A582" s="724"/>
      <c r="B582" s="725"/>
      <c r="C582" s="725"/>
      <c r="D582" s="724"/>
      <c r="E582" s="839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615"/>
    </row>
    <row r="583" spans="1:16">
      <c r="A583" s="724"/>
      <c r="B583" s="725"/>
      <c r="C583" s="725"/>
      <c r="D583" s="724"/>
      <c r="E583" s="839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615"/>
    </row>
    <row r="584" spans="1:16">
      <c r="A584" s="724"/>
      <c r="B584" s="725"/>
      <c r="C584" s="725"/>
      <c r="D584" s="724"/>
      <c r="E584" s="839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615"/>
    </row>
    <row r="585" spans="1:16">
      <c r="A585" s="724"/>
      <c r="B585" s="725"/>
      <c r="C585" s="725"/>
      <c r="D585" s="724"/>
      <c r="E585" s="839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615"/>
    </row>
    <row r="586" spans="1:16">
      <c r="A586" s="724"/>
      <c r="B586" s="725"/>
      <c r="C586" s="725"/>
      <c r="D586" s="724"/>
      <c r="E586" s="839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615"/>
    </row>
    <row r="587" spans="1:16">
      <c r="A587" s="724"/>
      <c r="B587" s="725"/>
      <c r="C587" s="725"/>
      <c r="D587" s="724"/>
      <c r="E587" s="839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615"/>
    </row>
    <row r="588" spans="1:16">
      <c r="A588" s="724"/>
      <c r="B588" s="725"/>
      <c r="C588" s="725"/>
      <c r="D588" s="724"/>
      <c r="E588" s="839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615"/>
    </row>
    <row r="589" spans="1:16">
      <c r="A589" s="724"/>
      <c r="B589" s="725"/>
      <c r="C589" s="725"/>
      <c r="D589" s="724"/>
      <c r="E589" s="839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615"/>
    </row>
    <row r="590" spans="1:16">
      <c r="A590" s="724"/>
      <c r="B590" s="725"/>
      <c r="C590" s="725"/>
      <c r="D590" s="724"/>
      <c r="E590" s="839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615"/>
    </row>
    <row r="591" spans="1:16">
      <c r="A591" s="724"/>
      <c r="B591" s="725"/>
      <c r="C591" s="725"/>
      <c r="D591" s="724"/>
      <c r="E591" s="839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615"/>
    </row>
    <row r="592" spans="1:16">
      <c r="A592" s="724"/>
      <c r="B592" s="725"/>
      <c r="C592" s="725"/>
      <c r="D592" s="724"/>
      <c r="E592" s="839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615"/>
    </row>
    <row r="593" spans="1:16">
      <c r="A593" s="724"/>
      <c r="B593" s="725"/>
      <c r="C593" s="725"/>
      <c r="D593" s="724"/>
      <c r="E593" s="839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615"/>
    </row>
    <row r="594" spans="1:16">
      <c r="A594" s="724"/>
      <c r="B594" s="725"/>
      <c r="C594" s="725"/>
      <c r="D594" s="724"/>
      <c r="E594" s="839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615"/>
    </row>
    <row r="595" spans="1:16">
      <c r="A595" s="724"/>
      <c r="B595" s="725"/>
      <c r="C595" s="725"/>
      <c r="D595" s="724"/>
      <c r="E595" s="839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615"/>
    </row>
    <row r="596" spans="1:16">
      <c r="A596" s="724"/>
      <c r="B596" s="725"/>
      <c r="C596" s="725"/>
      <c r="D596" s="724"/>
      <c r="E596" s="839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615"/>
    </row>
    <row r="597" spans="1:16">
      <c r="A597" s="724"/>
      <c r="B597" s="725"/>
      <c r="C597" s="725"/>
      <c r="D597" s="724"/>
      <c r="E597" s="839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615"/>
    </row>
    <row r="598" spans="1:16">
      <c r="A598" s="724"/>
      <c r="B598" s="725"/>
      <c r="C598" s="725"/>
      <c r="D598" s="724"/>
      <c r="E598" s="839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615"/>
    </row>
    <row r="599" spans="1:16">
      <c r="A599" s="724"/>
      <c r="B599" s="725"/>
      <c r="C599" s="725"/>
      <c r="D599" s="724"/>
      <c r="E599" s="839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615"/>
    </row>
    <row r="600" spans="1:16">
      <c r="A600" s="724"/>
      <c r="B600" s="725"/>
      <c r="C600" s="725"/>
      <c r="D600" s="724"/>
      <c r="E600" s="839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615"/>
    </row>
    <row r="601" spans="1:16">
      <c r="A601" s="724"/>
      <c r="B601" s="725"/>
      <c r="C601" s="725"/>
      <c r="D601" s="724"/>
      <c r="E601" s="839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615"/>
    </row>
    <row r="602" spans="1:16">
      <c r="A602" s="724"/>
      <c r="B602" s="725"/>
      <c r="C602" s="725"/>
      <c r="D602" s="724"/>
      <c r="E602" s="839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615"/>
    </row>
    <row r="603" spans="1:16">
      <c r="A603" s="724"/>
      <c r="B603" s="725"/>
      <c r="C603" s="725"/>
      <c r="D603" s="724"/>
      <c r="E603" s="839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615"/>
    </row>
    <row r="604" spans="1:16">
      <c r="A604" s="724"/>
      <c r="B604" s="725"/>
      <c r="C604" s="725"/>
      <c r="D604" s="724"/>
      <c r="E604" s="839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615"/>
    </row>
    <row r="605" spans="1:16">
      <c r="A605" s="724"/>
      <c r="B605" s="725"/>
      <c r="C605" s="725"/>
      <c r="D605" s="724"/>
      <c r="E605" s="839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615"/>
    </row>
    <row r="606" spans="1:16">
      <c r="A606" s="724"/>
      <c r="B606" s="725"/>
      <c r="C606" s="725"/>
      <c r="D606" s="724"/>
      <c r="E606" s="839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615"/>
    </row>
    <row r="607" spans="1:16">
      <c r="A607" s="724"/>
      <c r="B607" s="725"/>
      <c r="C607" s="725"/>
      <c r="D607" s="724"/>
      <c r="E607" s="839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615"/>
    </row>
    <row r="608" spans="1:16">
      <c r="A608" s="724"/>
      <c r="B608" s="725"/>
      <c r="C608" s="725"/>
      <c r="D608" s="724"/>
      <c r="E608" s="839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615"/>
    </row>
    <row r="609" spans="1:16">
      <c r="A609" s="724"/>
      <c r="B609" s="725"/>
      <c r="C609" s="725"/>
      <c r="D609" s="724"/>
      <c r="E609" s="839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615"/>
    </row>
    <row r="610" spans="1:16">
      <c r="A610" s="724"/>
      <c r="B610" s="725"/>
      <c r="C610" s="725"/>
      <c r="D610" s="724"/>
      <c r="E610" s="839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615"/>
    </row>
    <row r="611" spans="1:16">
      <c r="A611" s="724"/>
      <c r="B611" s="725"/>
      <c r="C611" s="725"/>
      <c r="D611" s="724"/>
      <c r="E611" s="839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615"/>
    </row>
    <row r="612" spans="1:16">
      <c r="A612" s="724"/>
      <c r="B612" s="725"/>
      <c r="C612" s="725"/>
      <c r="D612" s="724"/>
      <c r="E612" s="839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615"/>
    </row>
    <row r="613" spans="1:16">
      <c r="A613" s="724"/>
      <c r="B613" s="725"/>
      <c r="C613" s="725"/>
      <c r="D613" s="724"/>
      <c r="E613" s="839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615"/>
    </row>
    <row r="614" spans="1:16">
      <c r="A614" s="724"/>
      <c r="B614" s="725"/>
      <c r="C614" s="725"/>
      <c r="D614" s="724"/>
      <c r="E614" s="839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615"/>
    </row>
    <row r="615" spans="1:16">
      <c r="A615" s="724"/>
      <c r="B615" s="725"/>
      <c r="C615" s="725"/>
      <c r="D615" s="724"/>
      <c r="E615" s="839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615"/>
    </row>
    <row r="616" spans="1:16">
      <c r="A616" s="724"/>
      <c r="B616" s="725"/>
      <c r="C616" s="725"/>
      <c r="D616" s="724"/>
      <c r="E616" s="839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615"/>
    </row>
    <row r="617" spans="1:16">
      <c r="A617" s="724"/>
      <c r="B617" s="725"/>
      <c r="C617" s="725"/>
      <c r="D617" s="724"/>
      <c r="E617" s="839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615"/>
    </row>
    <row r="618" spans="1:16">
      <c r="A618" s="724"/>
      <c r="B618" s="725"/>
      <c r="C618" s="725"/>
      <c r="D618" s="724"/>
      <c r="E618" s="839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615"/>
    </row>
    <row r="619" spans="1:16">
      <c r="A619" s="724"/>
      <c r="B619" s="725"/>
      <c r="C619" s="725"/>
      <c r="D619" s="724"/>
      <c r="E619" s="839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615"/>
    </row>
    <row r="620" spans="1:16">
      <c r="A620" s="724"/>
      <c r="B620" s="725"/>
      <c r="C620" s="725"/>
      <c r="D620" s="724"/>
      <c r="E620" s="839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615"/>
    </row>
    <row r="621" spans="1:16">
      <c r="A621" s="724"/>
      <c r="B621" s="725"/>
      <c r="C621" s="725"/>
      <c r="D621" s="724"/>
      <c r="E621" s="839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615"/>
    </row>
    <row r="622" spans="1:16">
      <c r="A622" s="724"/>
      <c r="B622" s="725"/>
      <c r="C622" s="725"/>
      <c r="D622" s="724"/>
      <c r="E622" s="839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615"/>
    </row>
    <row r="623" spans="1:16">
      <c r="A623" s="724"/>
      <c r="B623" s="725"/>
      <c r="C623" s="725"/>
      <c r="D623" s="724"/>
      <c r="E623" s="839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615"/>
    </row>
    <row r="624" spans="1:16">
      <c r="A624" s="724"/>
      <c r="B624" s="725"/>
      <c r="C624" s="725"/>
      <c r="D624" s="724"/>
      <c r="E624" s="839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615"/>
    </row>
    <row r="625" spans="1:16">
      <c r="A625" s="724"/>
      <c r="B625" s="725"/>
      <c r="C625" s="725"/>
      <c r="D625" s="724"/>
      <c r="E625" s="839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615"/>
    </row>
    <row r="626" spans="1:16">
      <c r="A626" s="724"/>
      <c r="B626" s="725"/>
      <c r="C626" s="725"/>
      <c r="D626" s="724"/>
      <c r="E626" s="839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615"/>
    </row>
    <row r="627" spans="1:16">
      <c r="A627" s="724"/>
      <c r="B627" s="725"/>
      <c r="C627" s="725"/>
      <c r="D627" s="724"/>
      <c r="E627" s="839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615"/>
    </row>
    <row r="628" spans="1:16">
      <c r="A628" s="724"/>
      <c r="B628" s="725"/>
      <c r="C628" s="725"/>
      <c r="D628" s="724"/>
      <c r="E628" s="839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615"/>
    </row>
    <row r="629" spans="1:16">
      <c r="A629" s="724"/>
      <c r="B629" s="725"/>
      <c r="C629" s="725"/>
      <c r="D629" s="724"/>
      <c r="E629" s="839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615"/>
    </row>
    <row r="630" spans="1:16">
      <c r="A630" s="724"/>
      <c r="B630" s="725"/>
      <c r="C630" s="725"/>
      <c r="D630" s="724"/>
      <c r="E630" s="839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615"/>
    </row>
    <row r="631" spans="1:16">
      <c r="A631" s="724"/>
      <c r="B631" s="725"/>
      <c r="C631" s="725"/>
      <c r="D631" s="724"/>
      <c r="E631" s="839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615"/>
    </row>
    <row r="632" spans="1:16">
      <c r="A632" s="724"/>
      <c r="B632" s="725"/>
      <c r="C632" s="725"/>
      <c r="D632" s="724"/>
      <c r="E632" s="839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615"/>
    </row>
    <row r="633" spans="1:16">
      <c r="A633" s="724"/>
      <c r="B633" s="725"/>
      <c r="C633" s="725"/>
      <c r="D633" s="724"/>
      <c r="E633" s="839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615"/>
    </row>
    <row r="634" spans="1:16">
      <c r="A634" s="724"/>
      <c r="B634" s="725"/>
      <c r="C634" s="725"/>
      <c r="D634" s="724"/>
      <c r="E634" s="839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615"/>
    </row>
    <row r="635" spans="1:16">
      <c r="A635" s="724"/>
      <c r="B635" s="725"/>
      <c r="C635" s="725"/>
      <c r="D635" s="724"/>
      <c r="E635" s="839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615"/>
    </row>
    <row r="636" spans="1:16">
      <c r="A636" s="724"/>
      <c r="B636" s="725"/>
      <c r="C636" s="725"/>
      <c r="D636" s="724"/>
      <c r="E636" s="839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615"/>
    </row>
    <row r="637" spans="1:16">
      <c r="A637" s="724"/>
      <c r="B637" s="725"/>
      <c r="C637" s="725"/>
      <c r="D637" s="724"/>
      <c r="E637" s="839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615"/>
    </row>
    <row r="638" spans="1:16">
      <c r="A638" s="724"/>
      <c r="B638" s="725"/>
      <c r="C638" s="725"/>
      <c r="D638" s="724"/>
      <c r="E638" s="839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615"/>
    </row>
    <row r="639" spans="1:16">
      <c r="A639" s="724"/>
      <c r="B639" s="725"/>
      <c r="C639" s="725"/>
      <c r="D639" s="724"/>
      <c r="E639" s="839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615"/>
    </row>
    <row r="640" spans="1:16">
      <c r="A640" s="724"/>
      <c r="B640" s="725"/>
      <c r="C640" s="725"/>
      <c r="D640" s="724"/>
      <c r="E640" s="839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615"/>
    </row>
    <row r="641" spans="1:16">
      <c r="A641" s="724"/>
      <c r="B641" s="725"/>
      <c r="C641" s="725"/>
      <c r="D641" s="724"/>
      <c r="E641" s="839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615"/>
    </row>
    <row r="642" spans="1:16">
      <c r="A642" s="724"/>
      <c r="B642" s="725"/>
      <c r="C642" s="725"/>
      <c r="D642" s="724"/>
      <c r="E642" s="839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615"/>
    </row>
    <row r="643" spans="1:16">
      <c r="A643" s="724"/>
      <c r="B643" s="725"/>
      <c r="C643" s="725"/>
      <c r="D643" s="724"/>
      <c r="E643" s="839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615"/>
    </row>
    <row r="644" spans="1:16">
      <c r="A644" s="724"/>
      <c r="B644" s="725"/>
      <c r="C644" s="725"/>
      <c r="D644" s="724"/>
      <c r="E644" s="839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615"/>
    </row>
    <row r="645" spans="1:16">
      <c r="A645" s="724"/>
      <c r="B645" s="725"/>
      <c r="C645" s="725"/>
      <c r="D645" s="724"/>
      <c r="E645" s="839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615"/>
    </row>
    <row r="646" spans="1:16">
      <c r="A646" s="724"/>
    </row>
    <row r="647" spans="1:16">
      <c r="A647" s="724"/>
    </row>
    <row r="648" spans="1:16">
      <c r="A648" s="724"/>
    </row>
    <row r="649" spans="1:16">
      <c r="A649" s="724"/>
    </row>
  </sheetData>
  <mergeCells count="105">
    <mergeCell ref="P4:P5"/>
    <mergeCell ref="T4:T5"/>
    <mergeCell ref="U4:U5"/>
    <mergeCell ref="N285:N286"/>
    <mergeCell ref="N172:P172"/>
    <mergeCell ref="O56:O57"/>
    <mergeCell ref="O114:O115"/>
    <mergeCell ref="O173:O174"/>
    <mergeCell ref="O232:O233"/>
    <mergeCell ref="O285:O286"/>
    <mergeCell ref="N231:P231"/>
    <mergeCell ref="N114:N115"/>
    <mergeCell ref="A325:A329"/>
    <mergeCell ref="B325:B329"/>
    <mergeCell ref="C325:C329"/>
    <mergeCell ref="N173:N174"/>
    <mergeCell ref="M285:M286"/>
    <mergeCell ref="D285:D286"/>
    <mergeCell ref="E285:L285"/>
    <mergeCell ref="D232:D233"/>
    <mergeCell ref="A330:A333"/>
    <mergeCell ref="B330:B333"/>
    <mergeCell ref="C330:C333"/>
    <mergeCell ref="E232:L232"/>
    <mergeCell ref="A285:A286"/>
    <mergeCell ref="B285:B286"/>
    <mergeCell ref="C285:C286"/>
    <mergeCell ref="C272:C276"/>
    <mergeCell ref="C232:C233"/>
    <mergeCell ref="A283:P283"/>
    <mergeCell ref="B217:B221"/>
    <mergeCell ref="C223:C227"/>
    <mergeCell ref="B232:B233"/>
    <mergeCell ref="A158:A162"/>
    <mergeCell ref="B158:B162"/>
    <mergeCell ref="C158:C162"/>
    <mergeCell ref="A164:A168"/>
    <mergeCell ref="B164:B168"/>
    <mergeCell ref="C164:C168"/>
    <mergeCell ref="A171:P171"/>
    <mergeCell ref="N3:P3"/>
    <mergeCell ref="N55:P55"/>
    <mergeCell ref="C100:C104"/>
    <mergeCell ref="D56:D57"/>
    <mergeCell ref="N56:N57"/>
    <mergeCell ref="C48:C51"/>
    <mergeCell ref="D4:D5"/>
    <mergeCell ref="N4:N5"/>
    <mergeCell ref="C43:C46"/>
    <mergeCell ref="M4:M5"/>
    <mergeCell ref="C106:C110"/>
    <mergeCell ref="B56:B57"/>
    <mergeCell ref="C56:C57"/>
    <mergeCell ref="E114:L114"/>
    <mergeCell ref="A114:A115"/>
    <mergeCell ref="B114:B115"/>
    <mergeCell ref="C114:C115"/>
    <mergeCell ref="D114:D115"/>
    <mergeCell ref="A56:A57"/>
    <mergeCell ref="B48:B51"/>
    <mergeCell ref="A48:A51"/>
    <mergeCell ref="A106:A110"/>
    <mergeCell ref="A100:A104"/>
    <mergeCell ref="B100:B104"/>
    <mergeCell ref="B106:B110"/>
    <mergeCell ref="A173:A174"/>
    <mergeCell ref="M173:M174"/>
    <mergeCell ref="E173:L173"/>
    <mergeCell ref="C173:C174"/>
    <mergeCell ref="A4:A5"/>
    <mergeCell ref="B4:B5"/>
    <mergeCell ref="C4:C5"/>
    <mergeCell ref="B43:B46"/>
    <mergeCell ref="A43:A46"/>
    <mergeCell ref="M56:M57"/>
    <mergeCell ref="A1:P1"/>
    <mergeCell ref="A170:P170"/>
    <mergeCell ref="A229:P229"/>
    <mergeCell ref="A53:P53"/>
    <mergeCell ref="A111:P111"/>
    <mergeCell ref="E4:L4"/>
    <mergeCell ref="E56:L56"/>
    <mergeCell ref="B173:B174"/>
    <mergeCell ref="M114:M115"/>
    <mergeCell ref="N113:P113"/>
    <mergeCell ref="N284:P284"/>
    <mergeCell ref="A277:A280"/>
    <mergeCell ref="B277:B280"/>
    <mergeCell ref="C277:C280"/>
    <mergeCell ref="M232:M233"/>
    <mergeCell ref="A272:A276"/>
    <mergeCell ref="B272:B276"/>
    <mergeCell ref="A282:P282"/>
    <mergeCell ref="A232:A233"/>
    <mergeCell ref="N232:N233"/>
    <mergeCell ref="A2:O2"/>
    <mergeCell ref="A54:P54"/>
    <mergeCell ref="A112:P112"/>
    <mergeCell ref="A230:P230"/>
    <mergeCell ref="O4:O5"/>
    <mergeCell ref="D173:D174"/>
    <mergeCell ref="A217:A221"/>
    <mergeCell ref="C217:C221"/>
    <mergeCell ref="A223:A227"/>
    <mergeCell ref="B223:B227"/>
  </mergeCells>
  <phoneticPr fontId="9" type="noConversion"/>
  <printOptions horizontalCentered="1"/>
  <pageMargins left="0.6" right="0.25" top="0.56999999999999995" bottom="0.66" header="0.36" footer="0.39370078740157483"/>
  <pageSetup paperSize="9" firstPageNumber="59" fitToHeight="0" orientation="landscape" useFirstPageNumber="1" r:id="rId1"/>
  <headerFooter alignWithMargins="0">
    <oddFooter>&amp;C&amp;P</oddFooter>
  </headerFooter>
  <rowBreaks count="5" manualBreakCount="5">
    <brk id="52" max="16383" man="1"/>
    <brk id="110" max="16383" man="1"/>
    <brk id="169" max="16383" man="1"/>
    <brk id="228" max="16383" man="1"/>
    <brk id="2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He so chung</vt:lpstr>
      <vt:lpstr>LUONGNGAY</vt:lpstr>
      <vt:lpstr>Gia-DC</vt:lpstr>
      <vt:lpstr>Gia-VL</vt:lpstr>
      <vt:lpstr>Gia-TB</vt:lpstr>
      <vt:lpstr>DONGIA-NT-TH</vt:lpstr>
      <vt:lpstr>DONGIA-DT-TH</vt:lpstr>
      <vt:lpstr>DGTH</vt:lpstr>
      <vt:lpstr>IV. DONGIA CHỈNH LÝ</vt:lpstr>
      <vt:lpstr>NC-CLBD</vt:lpstr>
      <vt:lpstr>NL-CLBD</vt:lpstr>
      <vt:lpstr>DCu-CLBD</vt:lpstr>
      <vt:lpstr>VL-CLBD</vt:lpstr>
      <vt:lpstr>TBI-CLBD</vt:lpstr>
      <vt:lpstr>DGTH!Print_Titles</vt:lpstr>
      <vt:lpstr>'DONGIA-DT-TH'!Print_Titles</vt:lpstr>
      <vt:lpstr>'DONGIA-NT-TH'!Print_Titles</vt:lpstr>
      <vt:lpstr>'Gia-DC'!Print_Titles</vt:lpstr>
      <vt:lpstr>'Gia-TB'!Print_Titles</vt:lpstr>
      <vt:lpstr>'Gia-VL'!Print_Titles</vt:lpstr>
      <vt:lpstr>'IV. DONGIA CHỈNH LÝ'!Print_Titles</vt:lpstr>
    </vt:vector>
  </TitlesOfParts>
  <Company>TTKT TN&amp;MT QUANG TRI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 TUAN</dc:creator>
  <cp:lastModifiedBy>HOAI ANH</cp:lastModifiedBy>
  <cp:lastPrinted>2018-09-13T02:39:51Z</cp:lastPrinted>
  <dcterms:created xsi:type="dcterms:W3CDTF">2006-05-07T14:00:12Z</dcterms:created>
  <dcterms:modified xsi:type="dcterms:W3CDTF">2018-11-05T02:20:59Z</dcterms:modified>
</cp:coreProperties>
</file>